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4" documentId="8_{48773848-13F5-4333-BB33-C2C418F8D105}" xr6:coauthVersionLast="47" xr6:coauthVersionMax="47" xr10:uidLastSave="{32A88FE6-D032-414D-BB8B-90A79DAC965F}"/>
  <bookViews>
    <workbookView xWindow="-120" yWindow="-120" windowWidth="38640" windowHeight="21120" tabRatio="786" xr2:uid="{8A61197A-3802-4A1A-AEC3-C4FEECF65F7A}"/>
  </bookViews>
  <sheets>
    <sheet name="Retail Impact" sheetId="27" r:id="rId1"/>
    <sheet name="ELG Rev Req" sheetId="1" r:id="rId2"/>
    <sheet name="Repayment" sheetId="30" r:id="rId3"/>
    <sheet name="Depr and ADFIT" sheetId="25" r:id="rId4"/>
    <sheet name="O&amp;M" sheetId="31" r:id="rId5"/>
    <sheet name="Alloc. Factors and Property Tax" sheetId="5" r:id="rId6"/>
    <sheet name="WACC" sheetId="26" r:id="rId7"/>
    <sheet name="12mos BA" sheetId="28" r:id="rId8"/>
    <sheet name="CCR&gt;&gt;&gt;" sheetId="32" r:id="rId9"/>
    <sheet name="Summary" sheetId="33" r:id="rId10"/>
    <sheet name="Current CCR Est Rev Req" sheetId="34" r:id="rId11"/>
    <sheet name="Modified CCR Est Rev Req" sheetId="36" r:id="rId12"/>
    <sheet name="CCR Depr and ADFIT" sheetId="35" r:id="rId13"/>
  </sheets>
  <definedNames>
    <definedName name="AllocFactors">#REF!</definedName>
    <definedName name="ASD" localSheetId="6">#REF!</definedName>
    <definedName name="ASD">#REF!</definedName>
    <definedName name="Begin_AP" localSheetId="6">#REF!</definedName>
    <definedName name="Begin_AP">#REF!</definedName>
    <definedName name="Begin_Print1" localSheetId="7">#REF!</definedName>
    <definedName name="Begin_Print1" localSheetId="6">#REF!</definedName>
    <definedName name="Begin_Print1">#REF!</definedName>
    <definedName name="Begin_Print2" localSheetId="7">#REF!</definedName>
    <definedName name="Begin_Print2">#REF!</definedName>
    <definedName name="BS_BEGIN" localSheetId="6">#REF!</definedName>
    <definedName name="BS_BEGIN">#REF!</definedName>
    <definedName name="BS_CAP" localSheetId="6">#REF!</definedName>
    <definedName name="BS_CAP">#REF!</definedName>
    <definedName name="BS_END" localSheetId="6">#REF!</definedName>
    <definedName name="BS_END">#REF!</definedName>
    <definedName name="C_Begin">#REF!</definedName>
    <definedName name="C_End">#REF!</definedName>
    <definedName name="CSA" localSheetId="6">#REF!</definedName>
    <definedName name="CSA">#REF!</definedName>
    <definedName name="CSO" localSheetId="6">#REF!</definedName>
    <definedName name="CSO">#REF!</definedName>
    <definedName name="End_AP" localSheetId="6">#REF!</definedName>
    <definedName name="End_AP">#REF!</definedName>
    <definedName name="End_of_Report" localSheetId="7">#REF!</definedName>
    <definedName name="End_of_Report">#REF!</definedName>
    <definedName name="End_Print1" localSheetId="7">#REF!</definedName>
    <definedName name="End_Print1">#REF!</definedName>
    <definedName name="End_Print2" localSheetId="7">#REF!</definedName>
    <definedName name="End_Print2">#REF!</definedName>
    <definedName name="Marshall_Rate" localSheetId="6">#REF!</definedName>
    <definedName name="Marshall_Rate">#REF!</definedName>
    <definedName name="NONUTILITY" localSheetId="6">#REF!</definedName>
    <definedName name="NONUTILITY">#REF!</definedName>
    <definedName name="NvsASD" localSheetId="6">"V2017-08-31"</definedName>
    <definedName name="NvsASD">"V2013-03-31"</definedName>
    <definedName name="NvsAutoDrillOk">"VN"</definedName>
    <definedName name="NvsElapsedTime" localSheetId="6">0.00255787037167465</definedName>
    <definedName name="NvsElapsedTime">0.000115740738692693</definedName>
    <definedName name="NvsEndTime" localSheetId="6">42990.6050462963</definedName>
    <definedName name="NvsEndTime">41370.633587963</definedName>
    <definedName name="NvsInstanceHook">"""nvsMacro"""</definedName>
    <definedName name="NvsInstLang">"VENG"</definedName>
    <definedName name="NvsInstSpec" localSheetId="6">"%,FBUSINESS_UNIT,TGL_PRPT_CONS,NKYP_CORP_CONSOL"</definedName>
    <definedName name="NvsInstSpec">"%,FBUSINESS_UNIT,V117"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"%,X,RZF.ACCOUNT.,CNF.."</definedName>
    <definedName name="NvsPanelBusUnit">"V100"</definedName>
    <definedName name="NvsPanelEffdt">"V2099-01-01"</definedName>
    <definedName name="NvsPanelSetid">"VAEP"</definedName>
    <definedName name="NvsReqBU">"VX999"</definedName>
    <definedName name="NvsReqBUOnly">"VN"</definedName>
    <definedName name="NvsTransLed">"VN"</definedName>
    <definedName name="NvsTree.GL_PRPT_CONS">"NNNNN"</definedName>
    <definedName name="NvsTreeASD" localSheetId="6">"V2017-08-31"</definedName>
    <definedName name="NvsTreeASD">"V2099-01-01"</definedName>
    <definedName name="NvsValTbl.ACCOUNT">"GL_ACCOUNT_TBL"</definedName>
    <definedName name="NvsValTbl.AEP_BENEFIT_LOC">"AEP_BEN_ALL_VW"</definedName>
    <definedName name="NvsValTbl.AFFILIATE">"AFFILIATE_VW"</definedName>
    <definedName name="NvsValTbl.BUSINESS_UNIT">"BUS_UNIT_TBL_FS"</definedName>
    <definedName name="NvsValTbl.CURRENCY_CD">"CURRENCY_CD_TBL"</definedName>
    <definedName name="NvsValTbl.DEPTID">"DEPARTMENT_TBL"</definedName>
    <definedName name="OPR_ID" localSheetId="6">#REF!</definedName>
    <definedName name="OPR_ID">#REF!</definedName>
    <definedName name="PC_Percent" localSheetId="6">#REF!</definedName>
    <definedName name="PC_Percent">#REF!</definedName>
    <definedName name="_xlnm.Print_Area" localSheetId="6">WACC!$A$1:$S$45</definedName>
    <definedName name="RESERVED" localSheetId="6">#REF!</definedName>
    <definedName name="RESERVED">#REF!</definedName>
    <definedName name="Reserved_Section" localSheetId="6">#REF!</definedName>
    <definedName name="Reserved_Section">#REF!</definedName>
    <definedName name="Rev_End" localSheetId="7">#REF!</definedName>
    <definedName name="Rev_End" localSheetId="6">#REF!</definedName>
    <definedName name="Rev_End">#REF!</definedName>
    <definedName name="search_directory_name">"R:\fcm90prd\nvision\rpts\Fin_Reports\"</definedName>
    <definedName name="tim" localSheetId="7">#REF!</definedName>
    <definedName name="tim" localSheetId="6">#REF!</definedName>
    <definedName name="tim">#REF!</definedName>
    <definedName name="timm" localSheetId="7">#REF!</definedName>
    <definedName name="timm">#REF!</definedName>
    <definedName name="WV_List" localSheetId="6">#REF!</definedName>
    <definedName name="WV_Li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35" l="1"/>
  <c r="C4" i="25"/>
  <c r="R6" i="35" l="1"/>
  <c r="L24" i="36" l="1"/>
  <c r="S5" i="35"/>
  <c r="R5" i="35"/>
  <c r="R3" i="35"/>
  <c r="R2" i="35"/>
  <c r="R1" i="35"/>
  <c r="N10" i="35"/>
  <c r="N11" i="35" s="1"/>
  <c r="N12" i="35" s="1"/>
  <c r="N13" i="35" s="1"/>
  <c r="N14" i="35" s="1"/>
  <c r="N15" i="35" s="1"/>
  <c r="N16" i="35" s="1"/>
  <c r="N17" i="35" s="1"/>
  <c r="N18" i="35" s="1"/>
  <c r="N19" i="35" s="1"/>
  <c r="N20" i="35" s="1"/>
  <c r="N21" i="35" s="1"/>
  <c r="N22" i="35" s="1"/>
  <c r="N23" i="35" s="1"/>
  <c r="E47" i="27" l="1"/>
  <c r="R3" i="33"/>
  <c r="P3" i="33"/>
  <c r="M3" i="33"/>
  <c r="L3" i="33"/>
  <c r="I3" i="33"/>
  <c r="H3" i="33"/>
  <c r="F12" i="36" l="1"/>
  <c r="V12" i="36" s="1"/>
  <c r="F11" i="36"/>
  <c r="V11" i="36" s="1"/>
  <c r="F10" i="36"/>
  <c r="T10" i="36" s="1"/>
  <c r="F9" i="36"/>
  <c r="V9" i="36" s="1"/>
  <c r="F24" i="36"/>
  <c r="V24" i="36" s="1"/>
  <c r="F23" i="36"/>
  <c r="F22" i="36"/>
  <c r="T22" i="36" s="1"/>
  <c r="F21" i="36"/>
  <c r="T21" i="36" s="1"/>
  <c r="F20" i="36"/>
  <c r="T20" i="36" s="1"/>
  <c r="F19" i="36"/>
  <c r="V19" i="36" s="1"/>
  <c r="F18" i="36"/>
  <c r="V18" i="36" s="1"/>
  <c r="F17" i="36"/>
  <c r="V17" i="36" s="1"/>
  <c r="F16" i="36"/>
  <c r="V16" i="36" s="1"/>
  <c r="F15" i="36"/>
  <c r="T15" i="36" s="1"/>
  <c r="F14" i="36"/>
  <c r="T14" i="36" s="1"/>
  <c r="F13" i="36"/>
  <c r="V13" i="36" s="1"/>
  <c r="F12" i="34"/>
  <c r="V12" i="34" s="1"/>
  <c r="F11" i="34"/>
  <c r="V11" i="34" s="1"/>
  <c r="F10" i="34"/>
  <c r="T10" i="34" s="1"/>
  <c r="F9" i="34"/>
  <c r="F24" i="34"/>
  <c r="T24" i="34" s="1"/>
  <c r="F23" i="34"/>
  <c r="F22" i="34"/>
  <c r="T22" i="34" s="1"/>
  <c r="F21" i="34"/>
  <c r="F20" i="34"/>
  <c r="T20" i="34" s="1"/>
  <c r="F19" i="34"/>
  <c r="V19" i="34" s="1"/>
  <c r="F18" i="34"/>
  <c r="V18" i="34" s="1"/>
  <c r="F17" i="34"/>
  <c r="V17" i="34" s="1"/>
  <c r="F16" i="34"/>
  <c r="V16" i="34" s="1"/>
  <c r="F15" i="34"/>
  <c r="V15" i="34" s="1"/>
  <c r="F14" i="34"/>
  <c r="T14" i="34" s="1"/>
  <c r="F13" i="34"/>
  <c r="N2" i="35"/>
  <c r="N8" i="35" s="1"/>
  <c r="N9" i="35" s="1"/>
  <c r="N24" i="35" s="1"/>
  <c r="N25" i="35" s="1"/>
  <c r="N26" i="35" s="1"/>
  <c r="N27" i="35" s="1"/>
  <c r="N28" i="35" s="1"/>
  <c r="N29" i="35" s="1"/>
  <c r="N30" i="35" s="1"/>
  <c r="N31" i="35" s="1"/>
  <c r="N32" i="35" s="1"/>
  <c r="N33" i="35" s="1"/>
  <c r="H35" i="36" s="1"/>
  <c r="C8" i="35"/>
  <c r="H9" i="34" s="1"/>
  <c r="F205" i="36"/>
  <c r="V205" i="36" s="1"/>
  <c r="F204" i="36"/>
  <c r="V204" i="36" s="1"/>
  <c r="F203" i="36"/>
  <c r="V203" i="36" s="1"/>
  <c r="F202" i="36"/>
  <c r="V202" i="36" s="1"/>
  <c r="F201" i="36"/>
  <c r="T201" i="36" s="1"/>
  <c r="F200" i="36"/>
  <c r="V200" i="36" s="1"/>
  <c r="F199" i="36"/>
  <c r="T199" i="36" s="1"/>
  <c r="F198" i="36"/>
  <c r="T198" i="36" s="1"/>
  <c r="F197" i="36"/>
  <c r="T197" i="36" s="1"/>
  <c r="F196" i="36"/>
  <c r="T196" i="36" s="1"/>
  <c r="F195" i="36"/>
  <c r="V195" i="36" s="1"/>
  <c r="F194" i="36"/>
  <c r="V194" i="36" s="1"/>
  <c r="F193" i="36"/>
  <c r="V193" i="36" s="1"/>
  <c r="F192" i="36"/>
  <c r="V192" i="36" s="1"/>
  <c r="F191" i="36"/>
  <c r="T191" i="36" s="1"/>
  <c r="F190" i="36"/>
  <c r="T190" i="36" s="1"/>
  <c r="F189" i="36"/>
  <c r="T189" i="36" s="1"/>
  <c r="F188" i="36"/>
  <c r="V188" i="36" s="1"/>
  <c r="F187" i="36"/>
  <c r="V187" i="36" s="1"/>
  <c r="F186" i="36"/>
  <c r="V186" i="36" s="1"/>
  <c r="F185" i="36"/>
  <c r="V185" i="36" s="1"/>
  <c r="F184" i="36"/>
  <c r="V184" i="36" s="1"/>
  <c r="F183" i="36"/>
  <c r="T183" i="36" s="1"/>
  <c r="F182" i="36"/>
  <c r="T182" i="36" s="1"/>
  <c r="F181" i="36"/>
  <c r="T181" i="36" s="1"/>
  <c r="F180" i="36"/>
  <c r="V180" i="36" s="1"/>
  <c r="F179" i="36"/>
  <c r="V179" i="36" s="1"/>
  <c r="F178" i="36"/>
  <c r="V178" i="36" s="1"/>
  <c r="F177" i="36"/>
  <c r="V177" i="36" s="1"/>
  <c r="F176" i="36"/>
  <c r="T176" i="36" s="1"/>
  <c r="F175" i="36"/>
  <c r="T175" i="36" s="1"/>
  <c r="F174" i="36"/>
  <c r="T174" i="36" s="1"/>
  <c r="F173" i="36"/>
  <c r="T173" i="36" s="1"/>
  <c r="F172" i="36"/>
  <c r="V172" i="36" s="1"/>
  <c r="F171" i="36"/>
  <c r="V171" i="36" s="1"/>
  <c r="F170" i="36"/>
  <c r="V170" i="36" s="1"/>
  <c r="F169" i="36"/>
  <c r="V169" i="36" s="1"/>
  <c r="F168" i="36"/>
  <c r="V168" i="36" s="1"/>
  <c r="F167" i="36"/>
  <c r="T167" i="36" s="1"/>
  <c r="F166" i="36"/>
  <c r="T166" i="36" s="1"/>
  <c r="F165" i="36"/>
  <c r="T165" i="36" s="1"/>
  <c r="F164" i="36"/>
  <c r="V164" i="36" s="1"/>
  <c r="F163" i="36"/>
  <c r="T163" i="36" s="1"/>
  <c r="F162" i="36"/>
  <c r="V162" i="36" s="1"/>
  <c r="F161" i="36"/>
  <c r="T161" i="36" s="1"/>
  <c r="F160" i="36"/>
  <c r="V160" i="36" s="1"/>
  <c r="F159" i="36"/>
  <c r="V159" i="36" s="1"/>
  <c r="F158" i="36"/>
  <c r="V158" i="36" s="1"/>
  <c r="F157" i="36"/>
  <c r="T157" i="36" s="1"/>
  <c r="F156" i="36"/>
  <c r="T156" i="36" s="1"/>
  <c r="F155" i="36"/>
  <c r="T155" i="36" s="1"/>
  <c r="F154" i="36"/>
  <c r="V154" i="36" s="1"/>
  <c r="F153" i="36"/>
  <c r="T153" i="36" s="1"/>
  <c r="F152" i="36"/>
  <c r="V152" i="36" s="1"/>
  <c r="F151" i="36"/>
  <c r="V151" i="36" s="1"/>
  <c r="F150" i="36"/>
  <c r="V150" i="36" s="1"/>
  <c r="F149" i="36"/>
  <c r="T149" i="36" s="1"/>
  <c r="F148" i="36"/>
  <c r="V148" i="36" s="1"/>
  <c r="F147" i="36"/>
  <c r="T147" i="36" s="1"/>
  <c r="F146" i="36"/>
  <c r="V146" i="36" s="1"/>
  <c r="F145" i="36"/>
  <c r="T145" i="36" s="1"/>
  <c r="F144" i="36"/>
  <c r="V144" i="36" s="1"/>
  <c r="F143" i="36"/>
  <c r="V143" i="36" s="1"/>
  <c r="F142" i="36"/>
  <c r="T142" i="36" s="1"/>
  <c r="F141" i="36"/>
  <c r="T141" i="36" s="1"/>
  <c r="F140" i="36"/>
  <c r="V140" i="36" s="1"/>
  <c r="F139" i="36"/>
  <c r="T139" i="36" s="1"/>
  <c r="F138" i="36"/>
  <c r="V138" i="36" s="1"/>
  <c r="F137" i="36"/>
  <c r="T137" i="36" s="1"/>
  <c r="F136" i="36"/>
  <c r="T136" i="36" s="1"/>
  <c r="F135" i="36"/>
  <c r="T135" i="36" s="1"/>
  <c r="F134" i="36"/>
  <c r="V134" i="36" s="1"/>
  <c r="F133" i="36"/>
  <c r="T133" i="36" s="1"/>
  <c r="F132" i="36"/>
  <c r="V132" i="36" s="1"/>
  <c r="F131" i="36"/>
  <c r="T131" i="36" s="1"/>
  <c r="F130" i="36"/>
  <c r="V130" i="36" s="1"/>
  <c r="F129" i="36"/>
  <c r="T129" i="36" s="1"/>
  <c r="F128" i="36"/>
  <c r="V128" i="36" s="1"/>
  <c r="F127" i="36"/>
  <c r="T127" i="36" s="1"/>
  <c r="F126" i="36"/>
  <c r="T126" i="36" s="1"/>
  <c r="F125" i="36"/>
  <c r="T125" i="36" s="1"/>
  <c r="F124" i="36"/>
  <c r="V124" i="36" s="1"/>
  <c r="F123" i="36"/>
  <c r="T123" i="36" s="1"/>
  <c r="F122" i="36"/>
  <c r="V122" i="36" s="1"/>
  <c r="F121" i="36"/>
  <c r="T121" i="36" s="1"/>
  <c r="F120" i="36"/>
  <c r="V120" i="36" s="1"/>
  <c r="F119" i="36"/>
  <c r="T119" i="36" s="1"/>
  <c r="F118" i="36"/>
  <c r="V118" i="36" s="1"/>
  <c r="F117" i="36"/>
  <c r="T117" i="36" s="1"/>
  <c r="F116" i="36"/>
  <c r="T116" i="36" s="1"/>
  <c r="F115" i="36"/>
  <c r="T115" i="36" s="1"/>
  <c r="F114" i="36"/>
  <c r="V114" i="36" s="1"/>
  <c r="F113" i="36"/>
  <c r="T113" i="36" s="1"/>
  <c r="F112" i="36"/>
  <c r="V112" i="36" s="1"/>
  <c r="F111" i="36"/>
  <c r="T111" i="36" s="1"/>
  <c r="F110" i="36"/>
  <c r="V110" i="36" s="1"/>
  <c r="F109" i="36"/>
  <c r="T109" i="36" s="1"/>
  <c r="F108" i="36"/>
  <c r="V108" i="36" s="1"/>
  <c r="F107" i="36"/>
  <c r="T107" i="36" s="1"/>
  <c r="F106" i="36"/>
  <c r="V106" i="36" s="1"/>
  <c r="F105" i="36"/>
  <c r="T105" i="36" s="1"/>
  <c r="F104" i="36"/>
  <c r="V104" i="36" s="1"/>
  <c r="F103" i="36"/>
  <c r="T103" i="36" s="1"/>
  <c r="F102" i="36"/>
  <c r="T102" i="36" s="1"/>
  <c r="F101" i="36"/>
  <c r="T101" i="36" s="1"/>
  <c r="F100" i="36"/>
  <c r="T100" i="36" s="1"/>
  <c r="F99" i="36"/>
  <c r="T99" i="36" s="1"/>
  <c r="F98" i="36"/>
  <c r="V98" i="36" s="1"/>
  <c r="F97" i="36"/>
  <c r="T97" i="36" s="1"/>
  <c r="F96" i="36"/>
  <c r="V96" i="36" s="1"/>
  <c r="F95" i="36"/>
  <c r="T95" i="36" s="1"/>
  <c r="F94" i="36"/>
  <c r="V94" i="36" s="1"/>
  <c r="F93" i="36"/>
  <c r="T93" i="36" s="1"/>
  <c r="F92" i="36"/>
  <c r="T92" i="36" s="1"/>
  <c r="F91" i="36"/>
  <c r="T91" i="36" s="1"/>
  <c r="F90" i="36"/>
  <c r="V90" i="36" s="1"/>
  <c r="F89" i="36"/>
  <c r="V89" i="36" s="1"/>
  <c r="F88" i="36"/>
  <c r="V88" i="36" s="1"/>
  <c r="F87" i="36"/>
  <c r="V87" i="36" s="1"/>
  <c r="F86" i="36"/>
  <c r="T86" i="36" s="1"/>
  <c r="F85" i="36"/>
  <c r="T85" i="36" s="1"/>
  <c r="F84" i="36"/>
  <c r="T84" i="36" s="1"/>
  <c r="F83" i="36"/>
  <c r="T83" i="36" s="1"/>
  <c r="F82" i="36"/>
  <c r="T82" i="36" s="1"/>
  <c r="F81" i="36"/>
  <c r="V81" i="36" s="1"/>
  <c r="F80" i="36"/>
  <c r="T80" i="36" s="1"/>
  <c r="F79" i="36"/>
  <c r="V79" i="36" s="1"/>
  <c r="F78" i="36"/>
  <c r="V78" i="36" s="1"/>
  <c r="F77" i="36"/>
  <c r="T77" i="36" s="1"/>
  <c r="F76" i="36"/>
  <c r="T76" i="36" s="1"/>
  <c r="F75" i="36"/>
  <c r="T75" i="36" s="1"/>
  <c r="F74" i="36"/>
  <c r="T74" i="36" s="1"/>
  <c r="F73" i="36"/>
  <c r="V73" i="36" s="1"/>
  <c r="F72" i="36"/>
  <c r="T72" i="36" s="1"/>
  <c r="F71" i="36"/>
  <c r="V71" i="36" s="1"/>
  <c r="F70" i="36"/>
  <c r="V70" i="36" s="1"/>
  <c r="F69" i="36"/>
  <c r="V69" i="36" s="1"/>
  <c r="F68" i="36"/>
  <c r="T68" i="36" s="1"/>
  <c r="F67" i="36"/>
  <c r="T67" i="36" s="1"/>
  <c r="F66" i="36"/>
  <c r="T66" i="36" s="1"/>
  <c r="F65" i="36"/>
  <c r="V65" i="36" s="1"/>
  <c r="F64" i="36"/>
  <c r="T64" i="36" s="1"/>
  <c r="F63" i="36"/>
  <c r="V63" i="36" s="1"/>
  <c r="F62" i="36"/>
  <c r="V62" i="36" s="1"/>
  <c r="F61" i="36"/>
  <c r="V61" i="36" s="1"/>
  <c r="F60" i="36"/>
  <c r="T60" i="36" s="1"/>
  <c r="F59" i="36"/>
  <c r="T59" i="36" s="1"/>
  <c r="F58" i="36"/>
  <c r="T58" i="36" s="1"/>
  <c r="F57" i="36"/>
  <c r="V57" i="36" s="1"/>
  <c r="F56" i="36"/>
  <c r="T56" i="36" s="1"/>
  <c r="F55" i="36"/>
  <c r="V55" i="36" s="1"/>
  <c r="F54" i="36"/>
  <c r="V54" i="36" s="1"/>
  <c r="F53" i="36"/>
  <c r="V53" i="36" s="1"/>
  <c r="F52" i="36"/>
  <c r="T52" i="36" s="1"/>
  <c r="F51" i="36"/>
  <c r="T51" i="36" s="1"/>
  <c r="F50" i="36"/>
  <c r="V50" i="36" s="1"/>
  <c r="F49" i="36"/>
  <c r="V49" i="36" s="1"/>
  <c r="F48" i="36"/>
  <c r="T48" i="36" s="1"/>
  <c r="F47" i="36"/>
  <c r="V47" i="36" s="1"/>
  <c r="F46" i="36"/>
  <c r="V46" i="36" s="1"/>
  <c r="F45" i="36"/>
  <c r="V45" i="36" s="1"/>
  <c r="F44" i="36"/>
  <c r="T44" i="36" s="1"/>
  <c r="F43" i="36"/>
  <c r="T43" i="36" s="1"/>
  <c r="F42" i="36"/>
  <c r="V42" i="36" s="1"/>
  <c r="F41" i="36"/>
  <c r="V41" i="36" s="1"/>
  <c r="F40" i="36"/>
  <c r="T40" i="36" s="1"/>
  <c r="F39" i="36"/>
  <c r="V39" i="36" s="1"/>
  <c r="F38" i="36"/>
  <c r="V38" i="36" s="1"/>
  <c r="F37" i="36"/>
  <c r="V37" i="36" s="1"/>
  <c r="F36" i="36"/>
  <c r="T36" i="36" s="1"/>
  <c r="F35" i="36"/>
  <c r="T35" i="36" s="1"/>
  <c r="F34" i="36"/>
  <c r="T34" i="36" s="1"/>
  <c r="F33" i="36"/>
  <c r="V33" i="36" s="1"/>
  <c r="F32" i="36"/>
  <c r="T32" i="36" s="1"/>
  <c r="F31" i="36"/>
  <c r="V31" i="36" s="1"/>
  <c r="F30" i="36"/>
  <c r="V30" i="36" s="1"/>
  <c r="F29" i="36"/>
  <c r="V29" i="36" s="1"/>
  <c r="F28" i="36"/>
  <c r="T28" i="36" s="1"/>
  <c r="F27" i="36"/>
  <c r="T27" i="36" s="1"/>
  <c r="F26" i="36"/>
  <c r="V26" i="36" s="1"/>
  <c r="D7" i="36"/>
  <c r="F7" i="36" s="1"/>
  <c r="H7" i="36" s="1"/>
  <c r="J7" i="36" s="1"/>
  <c r="L7" i="36" s="1"/>
  <c r="N7" i="36" s="1"/>
  <c r="P7" i="36" s="1"/>
  <c r="R7" i="36" s="1"/>
  <c r="T7" i="36" s="1"/>
  <c r="V7" i="36" s="1"/>
  <c r="X7" i="36" s="1"/>
  <c r="Z7" i="36" s="1"/>
  <c r="AB7" i="36" s="1"/>
  <c r="P203" i="35"/>
  <c r="P202" i="35"/>
  <c r="P201" i="35"/>
  <c r="P200" i="35"/>
  <c r="P199" i="35"/>
  <c r="P198" i="35"/>
  <c r="P197" i="35"/>
  <c r="P196" i="35"/>
  <c r="P195" i="35"/>
  <c r="P194" i="35"/>
  <c r="P193" i="35"/>
  <c r="P192" i="35"/>
  <c r="P191" i="35"/>
  <c r="P190" i="35"/>
  <c r="P189" i="35"/>
  <c r="P188" i="35"/>
  <c r="P187" i="35"/>
  <c r="P186" i="35"/>
  <c r="P185" i="35"/>
  <c r="P184" i="35"/>
  <c r="P183" i="35"/>
  <c r="P182" i="35"/>
  <c r="P181" i="35"/>
  <c r="P180" i="35"/>
  <c r="P179" i="35"/>
  <c r="P178" i="35"/>
  <c r="P177" i="35"/>
  <c r="P176" i="35"/>
  <c r="P175" i="35"/>
  <c r="P174" i="35"/>
  <c r="P173" i="35"/>
  <c r="P172" i="35"/>
  <c r="P171" i="35"/>
  <c r="P170" i="35"/>
  <c r="P169" i="35"/>
  <c r="P168" i="35"/>
  <c r="P167" i="35"/>
  <c r="P166" i="35"/>
  <c r="P165" i="35"/>
  <c r="P164" i="35"/>
  <c r="P163" i="35"/>
  <c r="P162" i="35"/>
  <c r="P161" i="35"/>
  <c r="P160" i="35"/>
  <c r="P159" i="35"/>
  <c r="P158" i="35"/>
  <c r="P157" i="35"/>
  <c r="P156" i="35"/>
  <c r="P155" i="35"/>
  <c r="P154" i="35"/>
  <c r="P153" i="35"/>
  <c r="P152" i="35"/>
  <c r="P151" i="35"/>
  <c r="P150" i="35"/>
  <c r="P149" i="35"/>
  <c r="P148" i="35"/>
  <c r="P147" i="35"/>
  <c r="P146" i="35"/>
  <c r="P145" i="35"/>
  <c r="P144" i="35"/>
  <c r="P143" i="35"/>
  <c r="P142" i="35"/>
  <c r="P141" i="35"/>
  <c r="P140" i="35"/>
  <c r="P139" i="35"/>
  <c r="P138" i="35"/>
  <c r="P137" i="35"/>
  <c r="P136" i="35"/>
  <c r="P135" i="35"/>
  <c r="P134" i="35"/>
  <c r="P133" i="35"/>
  <c r="P132" i="35"/>
  <c r="P131" i="35"/>
  <c r="P130" i="35"/>
  <c r="P129" i="35"/>
  <c r="P128" i="35"/>
  <c r="P127" i="35"/>
  <c r="P126" i="35"/>
  <c r="P125" i="35"/>
  <c r="P124" i="35"/>
  <c r="P123" i="35"/>
  <c r="P122" i="35"/>
  <c r="P121" i="35"/>
  <c r="P120" i="35"/>
  <c r="P119" i="35"/>
  <c r="P118" i="35"/>
  <c r="P117" i="35"/>
  <c r="P116" i="35"/>
  <c r="P115" i="35"/>
  <c r="P114" i="35"/>
  <c r="P113" i="35"/>
  <c r="P112" i="35"/>
  <c r="P111" i="35"/>
  <c r="P110" i="35"/>
  <c r="P109" i="35"/>
  <c r="P108" i="35"/>
  <c r="P107" i="35"/>
  <c r="P106" i="35"/>
  <c r="P105" i="35"/>
  <c r="P104" i="35"/>
  <c r="P103" i="35"/>
  <c r="P102" i="35"/>
  <c r="P101" i="35"/>
  <c r="P100" i="35"/>
  <c r="P99" i="35"/>
  <c r="P98" i="35"/>
  <c r="P97" i="35"/>
  <c r="P96" i="35"/>
  <c r="P95" i="35"/>
  <c r="P94" i="35"/>
  <c r="P93" i="35"/>
  <c r="P92" i="35"/>
  <c r="P91" i="35"/>
  <c r="P90" i="35"/>
  <c r="P89" i="35"/>
  <c r="P88" i="35"/>
  <c r="P87" i="35"/>
  <c r="P86" i="35"/>
  <c r="P85" i="35"/>
  <c r="P84" i="35"/>
  <c r="P83" i="35"/>
  <c r="P82" i="35"/>
  <c r="P81" i="35"/>
  <c r="P80" i="35"/>
  <c r="P79" i="35"/>
  <c r="P78" i="35"/>
  <c r="P77" i="35"/>
  <c r="P76" i="35"/>
  <c r="P75" i="35"/>
  <c r="P74" i="35"/>
  <c r="P73" i="35"/>
  <c r="P72" i="35"/>
  <c r="P71" i="35"/>
  <c r="P70" i="35"/>
  <c r="P69" i="35"/>
  <c r="P68" i="35"/>
  <c r="P67" i="35"/>
  <c r="P66" i="35"/>
  <c r="P65" i="35"/>
  <c r="P64" i="35"/>
  <c r="P63" i="35"/>
  <c r="P62" i="35"/>
  <c r="P61" i="35"/>
  <c r="P60" i="35"/>
  <c r="P59" i="35"/>
  <c r="P58" i="35"/>
  <c r="P57" i="35"/>
  <c r="P56" i="35"/>
  <c r="P55" i="35"/>
  <c r="P54" i="35"/>
  <c r="P53" i="35"/>
  <c r="P52" i="35"/>
  <c r="P51" i="35"/>
  <c r="P50" i="35"/>
  <c r="P49" i="35"/>
  <c r="P48" i="35"/>
  <c r="P47" i="35"/>
  <c r="P46" i="35"/>
  <c r="P45" i="35"/>
  <c r="P44" i="35"/>
  <c r="P43" i="35"/>
  <c r="P42" i="35"/>
  <c r="P41" i="35"/>
  <c r="P40" i="35"/>
  <c r="P39" i="35"/>
  <c r="P38" i="35"/>
  <c r="P37" i="35"/>
  <c r="P36" i="35"/>
  <c r="P35" i="35"/>
  <c r="P34" i="35"/>
  <c r="P33" i="35"/>
  <c r="P32" i="35"/>
  <c r="P31" i="35"/>
  <c r="P30" i="35"/>
  <c r="P29" i="35"/>
  <c r="P28" i="35"/>
  <c r="P27" i="35"/>
  <c r="P26" i="35"/>
  <c r="P25" i="35"/>
  <c r="P24" i="35"/>
  <c r="P23" i="35"/>
  <c r="P22" i="35"/>
  <c r="P21" i="35"/>
  <c r="P20" i="35"/>
  <c r="P19" i="35"/>
  <c r="P18" i="35"/>
  <c r="P17" i="35"/>
  <c r="P16" i="35"/>
  <c r="P15" i="35"/>
  <c r="P14" i="35"/>
  <c r="P13" i="35"/>
  <c r="P12" i="35"/>
  <c r="P11" i="35"/>
  <c r="P10" i="35"/>
  <c r="P9" i="35"/>
  <c r="Q9" i="35" s="1"/>
  <c r="R9" i="35" s="1"/>
  <c r="P8" i="35"/>
  <c r="Q8" i="35" s="1"/>
  <c r="R8" i="35" s="1"/>
  <c r="F61" i="34"/>
  <c r="T61" i="34" s="1"/>
  <c r="F60" i="34"/>
  <c r="V60" i="34" s="1"/>
  <c r="F59" i="34"/>
  <c r="T59" i="34" s="1"/>
  <c r="F58" i="34"/>
  <c r="V58" i="34" s="1"/>
  <c r="F57" i="34"/>
  <c r="V57" i="34" s="1"/>
  <c r="F56" i="34"/>
  <c r="V56" i="34" s="1"/>
  <c r="F55" i="34"/>
  <c r="T55" i="34" s="1"/>
  <c r="F54" i="34"/>
  <c r="V54" i="34" s="1"/>
  <c r="F53" i="34"/>
  <c r="T53" i="34" s="1"/>
  <c r="F52" i="34"/>
  <c r="V52" i="34" s="1"/>
  <c r="F51" i="34"/>
  <c r="V51" i="34" s="1"/>
  <c r="F50" i="34"/>
  <c r="V50" i="34" s="1"/>
  <c r="F49" i="34"/>
  <c r="V49" i="34" s="1"/>
  <c r="F48" i="34"/>
  <c r="V48" i="34" s="1"/>
  <c r="F47" i="34"/>
  <c r="V47" i="34" s="1"/>
  <c r="F46" i="34"/>
  <c r="T46" i="34" s="1"/>
  <c r="F45" i="34"/>
  <c r="V45" i="34" s="1"/>
  <c r="F44" i="34"/>
  <c r="V44" i="34" s="1"/>
  <c r="F43" i="34"/>
  <c r="T43" i="34" s="1"/>
  <c r="F42" i="34"/>
  <c r="T42" i="34" s="1"/>
  <c r="F41" i="34"/>
  <c r="V41" i="34" s="1"/>
  <c r="F40" i="34"/>
  <c r="T40" i="34" s="1"/>
  <c r="F39" i="34"/>
  <c r="V39" i="34" s="1"/>
  <c r="F38" i="34"/>
  <c r="V38" i="34" s="1"/>
  <c r="F37" i="34"/>
  <c r="T37" i="34" s="1"/>
  <c r="F36" i="34"/>
  <c r="T36" i="34" s="1"/>
  <c r="F35" i="34"/>
  <c r="T35" i="34" s="1"/>
  <c r="F34" i="34"/>
  <c r="T34" i="34" s="1"/>
  <c r="F33" i="34"/>
  <c r="V33" i="34" s="1"/>
  <c r="F32" i="34"/>
  <c r="V32" i="34" s="1"/>
  <c r="F31" i="34"/>
  <c r="T31" i="34" s="1"/>
  <c r="F30" i="34"/>
  <c r="V30" i="34" s="1"/>
  <c r="F29" i="34"/>
  <c r="T29" i="34" s="1"/>
  <c r="F28" i="34"/>
  <c r="T28" i="34" s="1"/>
  <c r="F27" i="34"/>
  <c r="T27" i="34" s="1"/>
  <c r="F26" i="34"/>
  <c r="T26" i="34" s="1"/>
  <c r="E59" i="35"/>
  <c r="E58" i="35"/>
  <c r="E57" i="35"/>
  <c r="E56" i="35"/>
  <c r="E55" i="35"/>
  <c r="E54" i="35"/>
  <c r="E53" i="35"/>
  <c r="E52" i="35"/>
  <c r="E51" i="35"/>
  <c r="E50" i="35"/>
  <c r="E49" i="35"/>
  <c r="E48" i="35"/>
  <c r="E47" i="35"/>
  <c r="E46" i="35"/>
  <c r="E45" i="35"/>
  <c r="E44" i="35"/>
  <c r="E43" i="35"/>
  <c r="E42" i="35"/>
  <c r="E41" i="35"/>
  <c r="E40" i="35"/>
  <c r="E39" i="35"/>
  <c r="E38" i="35"/>
  <c r="E37" i="35"/>
  <c r="E36" i="35"/>
  <c r="D7" i="34"/>
  <c r="F7" i="34" s="1"/>
  <c r="H7" i="34" s="1"/>
  <c r="J7" i="34" s="1"/>
  <c r="L7" i="34" s="1"/>
  <c r="N7" i="34" s="1"/>
  <c r="P7" i="34" s="1"/>
  <c r="R7" i="34" s="1"/>
  <c r="T7" i="34" s="1"/>
  <c r="V7" i="34" s="1"/>
  <c r="X7" i="34" s="1"/>
  <c r="H9" i="36" l="1"/>
  <c r="T9" i="36"/>
  <c r="T17" i="36"/>
  <c r="H17" i="36"/>
  <c r="H10" i="36"/>
  <c r="H18" i="36"/>
  <c r="T18" i="36"/>
  <c r="H11" i="36"/>
  <c r="H19" i="36"/>
  <c r="T11" i="36"/>
  <c r="T19" i="36"/>
  <c r="H12" i="36"/>
  <c r="H20" i="36"/>
  <c r="T12" i="36"/>
  <c r="H13" i="36"/>
  <c r="H21" i="36"/>
  <c r="T13" i="36"/>
  <c r="H14" i="36"/>
  <c r="H22" i="36"/>
  <c r="H15" i="36"/>
  <c r="H23" i="36"/>
  <c r="T23" i="36"/>
  <c r="H16" i="36"/>
  <c r="H24" i="36"/>
  <c r="T16" i="36"/>
  <c r="T24" i="36"/>
  <c r="T17" i="34"/>
  <c r="H27" i="36"/>
  <c r="H28" i="36"/>
  <c r="H26" i="36"/>
  <c r="H34" i="36"/>
  <c r="H29" i="36"/>
  <c r="H30" i="36"/>
  <c r="H31" i="36"/>
  <c r="H32" i="36"/>
  <c r="H33" i="36"/>
  <c r="V22" i="36"/>
  <c r="V14" i="36"/>
  <c r="V21" i="36"/>
  <c r="V10" i="36"/>
  <c r="V15" i="36"/>
  <c r="V23" i="36"/>
  <c r="V20" i="36"/>
  <c r="T16" i="34"/>
  <c r="V10" i="34"/>
  <c r="T9" i="34"/>
  <c r="V24" i="34"/>
  <c r="V201" i="36"/>
  <c r="T11" i="34"/>
  <c r="V9" i="34"/>
  <c r="T12" i="34"/>
  <c r="V23" i="34"/>
  <c r="V14" i="34"/>
  <c r="T18" i="34"/>
  <c r="T19" i="34"/>
  <c r="V22" i="34"/>
  <c r="T15" i="34"/>
  <c r="V20" i="34"/>
  <c r="T23" i="34"/>
  <c r="T13" i="34"/>
  <c r="T21" i="34"/>
  <c r="V13" i="34"/>
  <c r="V21" i="34"/>
  <c r="T200" i="36"/>
  <c r="V58" i="36"/>
  <c r="T152" i="36"/>
  <c r="T180" i="36"/>
  <c r="V59" i="36"/>
  <c r="V176" i="36"/>
  <c r="N34" i="35"/>
  <c r="T124" i="36"/>
  <c r="T144" i="36"/>
  <c r="T188" i="36"/>
  <c r="T104" i="36"/>
  <c r="T128" i="36"/>
  <c r="T160" i="36"/>
  <c r="T192" i="36"/>
  <c r="T108" i="36"/>
  <c r="T132" i="36"/>
  <c r="T168" i="36"/>
  <c r="T88" i="36"/>
  <c r="T110" i="36"/>
  <c r="T134" i="36"/>
  <c r="T94" i="36"/>
  <c r="T118" i="36"/>
  <c r="T140" i="36"/>
  <c r="T204" i="36"/>
  <c r="T96" i="36"/>
  <c r="T120" i="36"/>
  <c r="T184" i="36"/>
  <c r="T31" i="36"/>
  <c r="T39" i="36"/>
  <c r="T47" i="36"/>
  <c r="T55" i="36"/>
  <c r="T63" i="36"/>
  <c r="T71" i="36"/>
  <c r="T79" i="36"/>
  <c r="T87" i="36"/>
  <c r="T143" i="36"/>
  <c r="T151" i="36"/>
  <c r="T159" i="36"/>
  <c r="T112" i="36"/>
  <c r="T33" i="36"/>
  <c r="T41" i="36"/>
  <c r="T49" i="36"/>
  <c r="T57" i="36"/>
  <c r="T65" i="36"/>
  <c r="T73" i="36"/>
  <c r="T81" i="36"/>
  <c r="T89" i="36"/>
  <c r="T169" i="36"/>
  <c r="T177" i="36"/>
  <c r="T185" i="36"/>
  <c r="T193" i="36"/>
  <c r="V43" i="34"/>
  <c r="T26" i="36"/>
  <c r="T42" i="36"/>
  <c r="T50" i="36"/>
  <c r="T90" i="36"/>
  <c r="T98" i="36"/>
  <c r="T106" i="36"/>
  <c r="T114" i="36"/>
  <c r="T122" i="36"/>
  <c r="T130" i="36"/>
  <c r="T138" i="36"/>
  <c r="T146" i="36"/>
  <c r="T154" i="36"/>
  <c r="T162" i="36"/>
  <c r="T170" i="36"/>
  <c r="T178" i="36"/>
  <c r="T186" i="36"/>
  <c r="T194" i="36"/>
  <c r="T202" i="36"/>
  <c r="T171" i="36"/>
  <c r="T179" i="36"/>
  <c r="T187" i="36"/>
  <c r="T195" i="36"/>
  <c r="T203" i="36"/>
  <c r="T148" i="36"/>
  <c r="T164" i="36"/>
  <c r="T172" i="36"/>
  <c r="T29" i="36"/>
  <c r="T37" i="36"/>
  <c r="T45" i="36"/>
  <c r="T53" i="36"/>
  <c r="T61" i="36"/>
  <c r="T69" i="36"/>
  <c r="T205" i="36"/>
  <c r="T30" i="36"/>
  <c r="T38" i="36"/>
  <c r="T46" i="36"/>
  <c r="T54" i="36"/>
  <c r="T62" i="36"/>
  <c r="T70" i="36"/>
  <c r="T78" i="36"/>
  <c r="T150" i="36"/>
  <c r="T158" i="36"/>
  <c r="V156" i="36"/>
  <c r="V85" i="36"/>
  <c r="V91" i="36"/>
  <c r="V117" i="36"/>
  <c r="V93" i="36"/>
  <c r="V36" i="34"/>
  <c r="T32" i="34"/>
  <c r="V86" i="36"/>
  <c r="V113" i="36"/>
  <c r="V136" i="36"/>
  <c r="V153" i="36"/>
  <c r="V157" i="36"/>
  <c r="V196" i="36"/>
  <c r="T39" i="34"/>
  <c r="V75" i="36"/>
  <c r="T47" i="34"/>
  <c r="V34" i="34"/>
  <c r="V42" i="34"/>
  <c r="V27" i="36"/>
  <c r="V43" i="36"/>
  <c r="V74" i="36"/>
  <c r="V125" i="36"/>
  <c r="V165" i="36"/>
  <c r="V181" i="36"/>
  <c r="V189" i="36"/>
  <c r="T48" i="34"/>
  <c r="V100" i="36"/>
  <c r="T56" i="34"/>
  <c r="V28" i="34"/>
  <c r="T33" i="34"/>
  <c r="T41" i="34"/>
  <c r="T49" i="34"/>
  <c r="T57" i="34"/>
  <c r="T58" i="34"/>
  <c r="V35" i="36"/>
  <c r="V51" i="36"/>
  <c r="V67" i="36"/>
  <c r="V83" i="36"/>
  <c r="V116" i="36"/>
  <c r="V133" i="36"/>
  <c r="T51" i="34"/>
  <c r="T50" i="34"/>
  <c r="V26" i="34"/>
  <c r="V34" i="36"/>
  <c r="V66" i="36"/>
  <c r="V77" i="36"/>
  <c r="V82" i="36"/>
  <c r="V97" i="36"/>
  <c r="V173" i="36"/>
  <c r="T44" i="34"/>
  <c r="T52" i="34"/>
  <c r="T60" i="34"/>
  <c r="V109" i="36"/>
  <c r="T45" i="34"/>
  <c r="V101" i="36"/>
  <c r="V137" i="36"/>
  <c r="V141" i="36"/>
  <c r="V149" i="36"/>
  <c r="V197" i="36"/>
  <c r="T30" i="34"/>
  <c r="T38" i="34"/>
  <c r="T54" i="34"/>
  <c r="V35" i="34"/>
  <c r="V27" i="34"/>
  <c r="V92" i="36"/>
  <c r="V145" i="36"/>
  <c r="V28" i="36"/>
  <c r="V163" i="36"/>
  <c r="V36" i="36"/>
  <c r="V44" i="36"/>
  <c r="V52" i="36"/>
  <c r="V60" i="36"/>
  <c r="V68" i="36"/>
  <c r="V76" i="36"/>
  <c r="V102" i="36"/>
  <c r="V123" i="36"/>
  <c r="V147" i="36"/>
  <c r="V84" i="36"/>
  <c r="V105" i="36"/>
  <c r="V126" i="36"/>
  <c r="V99" i="36"/>
  <c r="V32" i="36"/>
  <c r="V40" i="36"/>
  <c r="V48" i="36"/>
  <c r="V56" i="36"/>
  <c r="V64" i="36"/>
  <c r="V72" i="36"/>
  <c r="V80" i="36"/>
  <c r="V139" i="36"/>
  <c r="V115" i="36"/>
  <c r="V129" i="36"/>
  <c r="V155" i="36"/>
  <c r="V131" i="36"/>
  <c r="V142" i="36"/>
  <c r="V107" i="36"/>
  <c r="V121" i="36"/>
  <c r="V161" i="36"/>
  <c r="V166" i="36"/>
  <c r="V174" i="36"/>
  <c r="V182" i="36"/>
  <c r="V190" i="36"/>
  <c r="V198" i="36"/>
  <c r="V95" i="36"/>
  <c r="V103" i="36"/>
  <c r="V111" i="36"/>
  <c r="V119" i="36"/>
  <c r="V127" i="36"/>
  <c r="V135" i="36"/>
  <c r="V167" i="36"/>
  <c r="V175" i="36"/>
  <c r="V183" i="36"/>
  <c r="V191" i="36"/>
  <c r="V199" i="36"/>
  <c r="S8" i="35"/>
  <c r="S9" i="35"/>
  <c r="Q10" i="35"/>
  <c r="R10" i="35" s="1"/>
  <c r="Z7" i="34"/>
  <c r="AB7" i="34" s="1"/>
  <c r="V40" i="34"/>
  <c r="V31" i="34"/>
  <c r="V55" i="34"/>
  <c r="V59" i="34"/>
  <c r="V53" i="34"/>
  <c r="V61" i="34"/>
  <c r="V29" i="34"/>
  <c r="V46" i="34"/>
  <c r="V37" i="34"/>
  <c r="N8" i="30"/>
  <c r="N35" i="35" l="1"/>
  <c r="H36" i="36"/>
  <c r="Q11" i="35"/>
  <c r="R11" i="35" s="1"/>
  <c r="S11" i="35" s="1"/>
  <c r="S10" i="35"/>
  <c r="K7" i="31"/>
  <c r="K9" i="31" s="1"/>
  <c r="K10" i="31" s="1"/>
  <c r="K11" i="31" s="1"/>
  <c r="J7" i="31"/>
  <c r="J9" i="31" s="1"/>
  <c r="J10" i="31" s="1"/>
  <c r="J11" i="31" s="1"/>
  <c r="I7" i="31"/>
  <c r="I9" i="31" s="1"/>
  <c r="I10" i="31" s="1"/>
  <c r="I11" i="31" s="1"/>
  <c r="H7" i="31"/>
  <c r="H9" i="31" s="1"/>
  <c r="H10" i="31" s="1"/>
  <c r="H11" i="31" s="1"/>
  <c r="G7" i="31"/>
  <c r="G9" i="31" s="1"/>
  <c r="G10" i="31" s="1"/>
  <c r="G11" i="31" s="1"/>
  <c r="F7" i="31"/>
  <c r="F9" i="31" s="1"/>
  <c r="F10" i="31" s="1"/>
  <c r="F11" i="31" s="1"/>
  <c r="E7" i="31"/>
  <c r="E9" i="31" s="1"/>
  <c r="E10" i="31" s="1"/>
  <c r="E11" i="31" s="1"/>
  <c r="D7" i="31"/>
  <c r="D9" i="31" s="1"/>
  <c r="D10" i="31" s="1"/>
  <c r="D11" i="31" s="1"/>
  <c r="C7" i="31"/>
  <c r="C9" i="31" s="1"/>
  <c r="C10" i="31" s="1"/>
  <c r="C11" i="31" s="1"/>
  <c r="B7" i="31"/>
  <c r="B9" i="31" s="1"/>
  <c r="B10" i="31" s="1"/>
  <c r="B11" i="31" s="1"/>
  <c r="X64" i="1" l="1"/>
  <c r="X65" i="1"/>
  <c r="X57" i="1"/>
  <c r="X88" i="1"/>
  <c r="X87" i="1"/>
  <c r="X86" i="1"/>
  <c r="X85" i="1"/>
  <c r="X92" i="1"/>
  <c r="X84" i="1"/>
  <c r="X89" i="1"/>
  <c r="X91" i="1"/>
  <c r="X83" i="1"/>
  <c r="X81" i="1"/>
  <c r="X90" i="1"/>
  <c r="X82" i="1"/>
  <c r="X16" i="1"/>
  <c r="X9" i="1"/>
  <c r="X15" i="1"/>
  <c r="X12" i="1"/>
  <c r="X14" i="1"/>
  <c r="X13" i="1"/>
  <c r="X20" i="1"/>
  <c r="X11" i="1"/>
  <c r="X19" i="1"/>
  <c r="X17" i="1"/>
  <c r="X18" i="1"/>
  <c r="X10" i="1"/>
  <c r="X128" i="1"/>
  <c r="X129" i="1" s="1"/>
  <c r="X130" i="1" s="1"/>
  <c r="X131" i="1" s="1"/>
  <c r="X132" i="1" s="1"/>
  <c r="X133" i="1" s="1"/>
  <c r="X134" i="1" s="1"/>
  <c r="X135" i="1" s="1"/>
  <c r="X136" i="1" s="1"/>
  <c r="X137" i="1" s="1"/>
  <c r="X138" i="1" s="1"/>
  <c r="X139" i="1" s="1"/>
  <c r="X140" i="1" s="1"/>
  <c r="X141" i="1" s="1"/>
  <c r="X142" i="1" s="1"/>
  <c r="X143" i="1" s="1"/>
  <c r="X144" i="1" s="1"/>
  <c r="X145" i="1" s="1"/>
  <c r="X146" i="1" s="1"/>
  <c r="X147" i="1" s="1"/>
  <c r="X148" i="1" s="1"/>
  <c r="X149" i="1" s="1"/>
  <c r="X150" i="1" s="1"/>
  <c r="X151" i="1" s="1"/>
  <c r="X152" i="1" s="1"/>
  <c r="X153" i="1" s="1"/>
  <c r="X154" i="1" s="1"/>
  <c r="X155" i="1" s="1"/>
  <c r="X156" i="1" s="1"/>
  <c r="X157" i="1" s="1"/>
  <c r="X158" i="1" s="1"/>
  <c r="X159" i="1" s="1"/>
  <c r="X160" i="1" s="1"/>
  <c r="X161" i="1" s="1"/>
  <c r="X162" i="1" s="1"/>
  <c r="X163" i="1" s="1"/>
  <c r="X164" i="1" s="1"/>
  <c r="X165" i="1" s="1"/>
  <c r="X166" i="1" s="1"/>
  <c r="X167" i="1" s="1"/>
  <c r="X168" i="1" s="1"/>
  <c r="X169" i="1" s="1"/>
  <c r="X170" i="1" s="1"/>
  <c r="X171" i="1" s="1"/>
  <c r="X172" i="1" s="1"/>
  <c r="X173" i="1" s="1"/>
  <c r="X174" i="1" s="1"/>
  <c r="X175" i="1" s="1"/>
  <c r="X176" i="1" s="1"/>
  <c r="X177" i="1" s="1"/>
  <c r="X178" i="1" s="1"/>
  <c r="X179" i="1" s="1"/>
  <c r="X180" i="1" s="1"/>
  <c r="X181" i="1" s="1"/>
  <c r="X182" i="1" s="1"/>
  <c r="X183" i="1" s="1"/>
  <c r="X184" i="1" s="1"/>
  <c r="X185" i="1" s="1"/>
  <c r="X186" i="1" s="1"/>
  <c r="X187" i="1" s="1"/>
  <c r="X188" i="1" s="1"/>
  <c r="X120" i="1"/>
  <c r="X127" i="1"/>
  <c r="X119" i="1"/>
  <c r="X126" i="1"/>
  <c r="X118" i="1"/>
  <c r="X125" i="1"/>
  <c r="X117" i="1"/>
  <c r="X121" i="1"/>
  <c r="X124" i="1"/>
  <c r="X123" i="1"/>
  <c r="X122" i="1"/>
  <c r="X80" i="1"/>
  <c r="X72" i="1"/>
  <c r="X79" i="1"/>
  <c r="X71" i="1"/>
  <c r="X78" i="1"/>
  <c r="X70" i="1"/>
  <c r="X77" i="1"/>
  <c r="X69" i="1"/>
  <c r="X76" i="1"/>
  <c r="X73" i="1"/>
  <c r="X75" i="1"/>
  <c r="X74" i="1"/>
  <c r="X104" i="1"/>
  <c r="X96" i="1"/>
  <c r="X97" i="1"/>
  <c r="X103" i="1"/>
  <c r="X95" i="1"/>
  <c r="X102" i="1"/>
  <c r="X94" i="1"/>
  <c r="X101" i="1"/>
  <c r="X93" i="1"/>
  <c r="X100" i="1"/>
  <c r="X99" i="1"/>
  <c r="X98" i="1"/>
  <c r="X112" i="1"/>
  <c r="X111" i="1"/>
  <c r="X110" i="1"/>
  <c r="X109" i="1"/>
  <c r="X116" i="1"/>
  <c r="X108" i="1"/>
  <c r="X113" i="1"/>
  <c r="X115" i="1"/>
  <c r="X107" i="1"/>
  <c r="X114" i="1"/>
  <c r="X106" i="1"/>
  <c r="X105" i="1"/>
  <c r="X32" i="1"/>
  <c r="X24" i="1"/>
  <c r="X31" i="1"/>
  <c r="X23" i="1"/>
  <c r="X27" i="1"/>
  <c r="X30" i="1"/>
  <c r="X22" i="1"/>
  <c r="X29" i="1"/>
  <c r="X21" i="1"/>
  <c r="X28" i="1"/>
  <c r="X25" i="1"/>
  <c r="X26" i="1"/>
  <c r="X40" i="1"/>
  <c r="X39" i="1"/>
  <c r="X35" i="1"/>
  <c r="X38" i="1"/>
  <c r="X37" i="1"/>
  <c r="X44" i="1"/>
  <c r="X36" i="1"/>
  <c r="X41" i="1"/>
  <c r="X43" i="1"/>
  <c r="X42" i="1"/>
  <c r="X34" i="1"/>
  <c r="X33" i="1"/>
  <c r="X56" i="1"/>
  <c r="X48" i="1"/>
  <c r="X55" i="1"/>
  <c r="X47" i="1"/>
  <c r="X54" i="1"/>
  <c r="X46" i="1"/>
  <c r="X53" i="1"/>
  <c r="X45" i="1"/>
  <c r="X51" i="1"/>
  <c r="X52" i="1"/>
  <c r="X49" i="1"/>
  <c r="X50" i="1"/>
  <c r="X58" i="1"/>
  <c r="X66" i="1"/>
  <c r="X67" i="1"/>
  <c r="X60" i="1"/>
  <c r="X68" i="1"/>
  <c r="X61" i="1"/>
  <c r="X62" i="1"/>
  <c r="X63" i="1"/>
  <c r="X59" i="1"/>
  <c r="N36" i="35"/>
  <c r="H37" i="36"/>
  <c r="Q12" i="35"/>
  <c r="R12" i="35" s="1"/>
  <c r="C18" i="5"/>
  <c r="Z23" i="36" l="1"/>
  <c r="Z15" i="36"/>
  <c r="Z10" i="34"/>
  <c r="Z18" i="34"/>
  <c r="Z201" i="36"/>
  <c r="Z193" i="36"/>
  <c r="Z185" i="36"/>
  <c r="Z177" i="36"/>
  <c r="Z169" i="36"/>
  <c r="Z161" i="36"/>
  <c r="Z153" i="36"/>
  <c r="Z145" i="36"/>
  <c r="Z137" i="36"/>
  <c r="Z129" i="36"/>
  <c r="Z121" i="36"/>
  <c r="Z113" i="36"/>
  <c r="Z105" i="36"/>
  <c r="Z97" i="36"/>
  <c r="Z89" i="36"/>
  <c r="Z81" i="36"/>
  <c r="Z73" i="36"/>
  <c r="Z65" i="36"/>
  <c r="Z57" i="36"/>
  <c r="Z49" i="36"/>
  <c r="Z41" i="36"/>
  <c r="Z33" i="36"/>
  <c r="Z12" i="36"/>
  <c r="Z20" i="36"/>
  <c r="Z12" i="34"/>
  <c r="Z23" i="34"/>
  <c r="Z15" i="34"/>
  <c r="Z198" i="36"/>
  <c r="Z190" i="36"/>
  <c r="Z182" i="36"/>
  <c r="Z174" i="36"/>
  <c r="Z166" i="36"/>
  <c r="Z158" i="36"/>
  <c r="Z150" i="36"/>
  <c r="Z142" i="36"/>
  <c r="Z134" i="36"/>
  <c r="Z126" i="36"/>
  <c r="Z118" i="36"/>
  <c r="Z110" i="36"/>
  <c r="Z102" i="36"/>
  <c r="Z94" i="36"/>
  <c r="Z86" i="36"/>
  <c r="Z78" i="36"/>
  <c r="Z70" i="36"/>
  <c r="Z62" i="36"/>
  <c r="Z54" i="36"/>
  <c r="Z46" i="36"/>
  <c r="Z38" i="36"/>
  <c r="Z30" i="36"/>
  <c r="Z9" i="36"/>
  <c r="Z17" i="36"/>
  <c r="Z20" i="34"/>
  <c r="Z203" i="36"/>
  <c r="Z195" i="36"/>
  <c r="Z187" i="36"/>
  <c r="Z179" i="36"/>
  <c r="Z171" i="36"/>
  <c r="Z163" i="36"/>
  <c r="Z155" i="36"/>
  <c r="Z147" i="36"/>
  <c r="Z139" i="36"/>
  <c r="Z131" i="36"/>
  <c r="Z123" i="36"/>
  <c r="Z115" i="36"/>
  <c r="Z107" i="36"/>
  <c r="Z99" i="36"/>
  <c r="Z91" i="36"/>
  <c r="Z83" i="36"/>
  <c r="Z75" i="36"/>
  <c r="Z67" i="36"/>
  <c r="Z59" i="36"/>
  <c r="Z51" i="36"/>
  <c r="Z43" i="36"/>
  <c r="Z35" i="36"/>
  <c r="Z27" i="36"/>
  <c r="Z22" i="36"/>
  <c r="Z14" i="36"/>
  <c r="Z9" i="34"/>
  <c r="Z17" i="34"/>
  <c r="Z200" i="36"/>
  <c r="Z192" i="36"/>
  <c r="Z184" i="36"/>
  <c r="Z176" i="36"/>
  <c r="Z168" i="36"/>
  <c r="Z160" i="36"/>
  <c r="Z152" i="36"/>
  <c r="Z144" i="36"/>
  <c r="Z136" i="36"/>
  <c r="Z128" i="36"/>
  <c r="Z120" i="36"/>
  <c r="Z112" i="36"/>
  <c r="Z104" i="36"/>
  <c r="Z96" i="36"/>
  <c r="Z88" i="36"/>
  <c r="Z80" i="36"/>
  <c r="Z72" i="36"/>
  <c r="Z64" i="36"/>
  <c r="Z56" i="36"/>
  <c r="Z48" i="36"/>
  <c r="Z40" i="36"/>
  <c r="Z32" i="36"/>
  <c r="Z58" i="34"/>
  <c r="Z54" i="34"/>
  <c r="Z50" i="34"/>
  <c r="Z46" i="34"/>
  <c r="Z42" i="34"/>
  <c r="Z38" i="34"/>
  <c r="Z34" i="34"/>
  <c r="Z30" i="34"/>
  <c r="Z11" i="36"/>
  <c r="Z19" i="36"/>
  <c r="Z11" i="34"/>
  <c r="Z22" i="34"/>
  <c r="Z14" i="34"/>
  <c r="Z205" i="36"/>
  <c r="Z197" i="36"/>
  <c r="Z189" i="36"/>
  <c r="Z181" i="36"/>
  <c r="Z173" i="36"/>
  <c r="Z165" i="36"/>
  <c r="Z157" i="36"/>
  <c r="Z149" i="36"/>
  <c r="Z141" i="36"/>
  <c r="Z133" i="36"/>
  <c r="Z125" i="36"/>
  <c r="Z117" i="36"/>
  <c r="Z109" i="36"/>
  <c r="Z101" i="36"/>
  <c r="Z93" i="36"/>
  <c r="Z85" i="36"/>
  <c r="Z77" i="36"/>
  <c r="Z69" i="36"/>
  <c r="Z61" i="36"/>
  <c r="Z53" i="36"/>
  <c r="Z45" i="36"/>
  <c r="Z37" i="36"/>
  <c r="Z29" i="36"/>
  <c r="Z24" i="36"/>
  <c r="Z16" i="36"/>
  <c r="Z19" i="34"/>
  <c r="Z202" i="36"/>
  <c r="Z194" i="36"/>
  <c r="Z186" i="36"/>
  <c r="Z178" i="36"/>
  <c r="Z170" i="36"/>
  <c r="Z162" i="36"/>
  <c r="Z154" i="36"/>
  <c r="Z146" i="36"/>
  <c r="Z138" i="36"/>
  <c r="Z130" i="36"/>
  <c r="Z122" i="36"/>
  <c r="Z114" i="36"/>
  <c r="Z106" i="36"/>
  <c r="Z98" i="36"/>
  <c r="Z90" i="36"/>
  <c r="Z82" i="36"/>
  <c r="Z74" i="36"/>
  <c r="Z66" i="36"/>
  <c r="Z58" i="36"/>
  <c r="Z50" i="36"/>
  <c r="Z42" i="36"/>
  <c r="Z34" i="36"/>
  <c r="Z26" i="36"/>
  <c r="Z61" i="34"/>
  <c r="Z57" i="34"/>
  <c r="Z53" i="34"/>
  <c r="Z49" i="34"/>
  <c r="Z45" i="34"/>
  <c r="Z41" i="34"/>
  <c r="Z37" i="34"/>
  <c r="Z21" i="36"/>
  <c r="Z13" i="36"/>
  <c r="Z24" i="34"/>
  <c r="Z16" i="34"/>
  <c r="Z199" i="36"/>
  <c r="Z191" i="36"/>
  <c r="Z183" i="36"/>
  <c r="Z175" i="36"/>
  <c r="Z167" i="36"/>
  <c r="Z159" i="36"/>
  <c r="Z151" i="36"/>
  <c r="Z143" i="36"/>
  <c r="Z135" i="36"/>
  <c r="Z127" i="36"/>
  <c r="Z119" i="36"/>
  <c r="Z111" i="36"/>
  <c r="Z103" i="36"/>
  <c r="Z95" i="36"/>
  <c r="Z87" i="36"/>
  <c r="Z79" i="36"/>
  <c r="Z71" i="36"/>
  <c r="Z63" i="36"/>
  <c r="Z55" i="36"/>
  <c r="Z47" i="36"/>
  <c r="Z39" i="36"/>
  <c r="Z31" i="36"/>
  <c r="Z10" i="36"/>
  <c r="Z18" i="36"/>
  <c r="Z21" i="34"/>
  <c r="Z13" i="34"/>
  <c r="Z204" i="36"/>
  <c r="Z196" i="36"/>
  <c r="Z188" i="36"/>
  <c r="Z180" i="36"/>
  <c r="Z172" i="36"/>
  <c r="Z164" i="36"/>
  <c r="Z156" i="36"/>
  <c r="Z148" i="36"/>
  <c r="Z140" i="36"/>
  <c r="Z132" i="36"/>
  <c r="Z124" i="36"/>
  <c r="Z116" i="36"/>
  <c r="Z108" i="36"/>
  <c r="Z100" i="36"/>
  <c r="Z92" i="36"/>
  <c r="Z84" i="36"/>
  <c r="Z76" i="36"/>
  <c r="Z68" i="36"/>
  <c r="Z60" i="36"/>
  <c r="Z52" i="36"/>
  <c r="Z44" i="36"/>
  <c r="Z36" i="36"/>
  <c r="Z28" i="36"/>
  <c r="Z39" i="34"/>
  <c r="Z28" i="34"/>
  <c r="Z52" i="34"/>
  <c r="Z51" i="34"/>
  <c r="Z44" i="34"/>
  <c r="Z32" i="34"/>
  <c r="Z56" i="34"/>
  <c r="Z27" i="34"/>
  <c r="Z43" i="34"/>
  <c r="Z36" i="34"/>
  <c r="Z31" i="34"/>
  <c r="Z55" i="34"/>
  <c r="Z48" i="34"/>
  <c r="Z26" i="34"/>
  <c r="Z33" i="34"/>
  <c r="Z60" i="34"/>
  <c r="Z35" i="34"/>
  <c r="Z47" i="34"/>
  <c r="Z40" i="34"/>
  <c r="Z29" i="34"/>
  <c r="Z59" i="34"/>
  <c r="Q13" i="35"/>
  <c r="R13" i="35" s="1"/>
  <c r="N37" i="35"/>
  <c r="H38" i="36"/>
  <c r="S12" i="35"/>
  <c r="M4" i="28"/>
  <c r="M5" i="28"/>
  <c r="M6" i="28"/>
  <c r="M7" i="28"/>
  <c r="M8" i="28"/>
  <c r="M9" i="28"/>
  <c r="M10" i="28"/>
  <c r="M11" i="28"/>
  <c r="M12" i="28"/>
  <c r="M13" i="28"/>
  <c r="M14" i="28"/>
  <c r="M15" i="28"/>
  <c r="Q14" i="35" l="1"/>
  <c r="R14" i="35" s="1"/>
  <c r="N38" i="35"/>
  <c r="H39" i="36"/>
  <c r="S13" i="35"/>
  <c r="T56" i="30"/>
  <c r="T55" i="30"/>
  <c r="T54" i="30"/>
  <c r="T53" i="30"/>
  <c r="T52" i="30"/>
  <c r="T51" i="30"/>
  <c r="T50" i="30"/>
  <c r="T49" i="30"/>
  <c r="T48" i="30"/>
  <c r="T47" i="30"/>
  <c r="T46" i="30"/>
  <c r="T45" i="30"/>
  <c r="T44" i="30"/>
  <c r="T43" i="30"/>
  <c r="T42" i="30"/>
  <c r="T41" i="30"/>
  <c r="T40" i="30"/>
  <c r="T39" i="30"/>
  <c r="T38" i="30"/>
  <c r="T37" i="30"/>
  <c r="T36" i="30"/>
  <c r="T35" i="30"/>
  <c r="T34" i="30"/>
  <c r="T33" i="30"/>
  <c r="T32" i="30"/>
  <c r="T31" i="30"/>
  <c r="T30" i="30"/>
  <c r="T29" i="30"/>
  <c r="T28" i="30"/>
  <c r="T27" i="30"/>
  <c r="T26" i="30"/>
  <c r="T25" i="30"/>
  <c r="T24" i="30"/>
  <c r="T23" i="30"/>
  <c r="T22" i="30"/>
  <c r="T21" i="30"/>
  <c r="T20" i="30"/>
  <c r="T19" i="30"/>
  <c r="T18" i="30"/>
  <c r="T17" i="30"/>
  <c r="T16" i="30"/>
  <c r="T15" i="30"/>
  <c r="T14" i="30"/>
  <c r="T13" i="30"/>
  <c r="T12" i="30"/>
  <c r="T11" i="30"/>
  <c r="T10" i="30"/>
  <c r="T9" i="30"/>
  <c r="T57" i="30"/>
  <c r="X81" i="30"/>
  <c r="T80" i="30"/>
  <c r="N80" i="30"/>
  <c r="N81" i="30" s="1"/>
  <c r="C1" i="25" s="1"/>
  <c r="T79" i="30"/>
  <c r="N79" i="30"/>
  <c r="T78" i="30"/>
  <c r="N78" i="30"/>
  <c r="R79" i="30" s="1"/>
  <c r="T77" i="30"/>
  <c r="N77" i="30"/>
  <c r="R78" i="30" s="1"/>
  <c r="T76" i="30"/>
  <c r="N76" i="30"/>
  <c r="R77" i="30" s="1"/>
  <c r="T75" i="30"/>
  <c r="N75" i="30"/>
  <c r="R76" i="30" s="1"/>
  <c r="T74" i="30"/>
  <c r="N74" i="30"/>
  <c r="R75" i="30" s="1"/>
  <c r="T73" i="30"/>
  <c r="N73" i="30"/>
  <c r="R74" i="30" s="1"/>
  <c r="T72" i="30"/>
  <c r="N72" i="30"/>
  <c r="R73" i="30" s="1"/>
  <c r="T71" i="30"/>
  <c r="N71" i="30"/>
  <c r="R72" i="30" s="1"/>
  <c r="T70" i="30"/>
  <c r="N70" i="30"/>
  <c r="R71" i="30" s="1"/>
  <c r="T69" i="30"/>
  <c r="N69" i="30"/>
  <c r="T68" i="30"/>
  <c r="N68" i="30"/>
  <c r="R69" i="30" s="1"/>
  <c r="T67" i="30"/>
  <c r="N67" i="30"/>
  <c r="R68" i="30" s="1"/>
  <c r="T66" i="30"/>
  <c r="N66" i="30"/>
  <c r="R67" i="30" s="1"/>
  <c r="T65" i="30"/>
  <c r="N65" i="30"/>
  <c r="T64" i="30"/>
  <c r="N64" i="30"/>
  <c r="R65" i="30" s="1"/>
  <c r="T63" i="30"/>
  <c r="N63" i="30"/>
  <c r="T62" i="30"/>
  <c r="N62" i="30"/>
  <c r="T61" i="30"/>
  <c r="N61" i="30"/>
  <c r="T60" i="30"/>
  <c r="N60" i="30"/>
  <c r="R61" i="30" s="1"/>
  <c r="T59" i="30"/>
  <c r="N59" i="30"/>
  <c r="R60" i="30" s="1"/>
  <c r="T58" i="30"/>
  <c r="N58" i="30"/>
  <c r="R59" i="30" s="1"/>
  <c r="N57" i="30"/>
  <c r="R58" i="30" s="1"/>
  <c r="N56" i="30"/>
  <c r="R57" i="30" s="1"/>
  <c r="N54" i="30"/>
  <c r="R55" i="30" s="1"/>
  <c r="N52" i="30"/>
  <c r="R53" i="30" s="1"/>
  <c r="N50" i="30"/>
  <c r="R51" i="30" s="1"/>
  <c r="N48" i="30"/>
  <c r="R49" i="30" s="1"/>
  <c r="N46" i="30"/>
  <c r="R47" i="30" s="1"/>
  <c r="N45" i="30"/>
  <c r="R46" i="30" s="1"/>
  <c r="N44" i="30"/>
  <c r="R45" i="30" s="1"/>
  <c r="N42" i="30"/>
  <c r="R43" i="30" s="1"/>
  <c r="N40" i="30"/>
  <c r="R41" i="30" s="1"/>
  <c r="N38" i="30"/>
  <c r="R39" i="30" s="1"/>
  <c r="N37" i="30"/>
  <c r="R38" i="30" s="1"/>
  <c r="N36" i="30"/>
  <c r="R37" i="30" s="1"/>
  <c r="N34" i="30"/>
  <c r="R35" i="30" s="1"/>
  <c r="N32" i="30"/>
  <c r="R33" i="30" s="1"/>
  <c r="N27" i="30"/>
  <c r="R28" i="30" s="1"/>
  <c r="N26" i="30"/>
  <c r="R27" i="30" s="1"/>
  <c r="N23" i="30"/>
  <c r="R24" i="30" s="1"/>
  <c r="N21" i="30"/>
  <c r="R22" i="30" s="1"/>
  <c r="N20" i="30"/>
  <c r="R21" i="30" s="1"/>
  <c r="N19" i="30"/>
  <c r="R20" i="30" s="1"/>
  <c r="N18" i="30"/>
  <c r="R19" i="30" s="1"/>
  <c r="N17" i="30"/>
  <c r="R18" i="30" s="1"/>
  <c r="N15" i="30"/>
  <c r="R16" i="30" s="1"/>
  <c r="N14" i="30"/>
  <c r="R15" i="30" s="1"/>
  <c r="N11" i="30"/>
  <c r="R12" i="30" s="1"/>
  <c r="N9" i="30"/>
  <c r="R10" i="30" s="1"/>
  <c r="R9" i="30"/>
  <c r="D7" i="30"/>
  <c r="F7" i="30" s="1"/>
  <c r="D7" i="1"/>
  <c r="F7" i="1" s="1"/>
  <c r="H7" i="1" s="1"/>
  <c r="J7" i="1" s="1"/>
  <c r="R7" i="1" s="1"/>
  <c r="Q15" i="35" l="1"/>
  <c r="R15" i="35" s="1"/>
  <c r="H7" i="30"/>
  <c r="J7" i="30" s="1"/>
  <c r="L7" i="30" s="1"/>
  <c r="N7" i="30" s="1"/>
  <c r="P7" i="30" s="1"/>
  <c r="R7" i="30" s="1"/>
  <c r="T7" i="30" s="1"/>
  <c r="V7" i="30" s="1"/>
  <c r="X7" i="30" s="1"/>
  <c r="Z7" i="30" s="1"/>
  <c r="AB7" i="30" s="1"/>
  <c r="T8" i="30"/>
  <c r="Z8" i="30" s="1"/>
  <c r="AB8" i="30" s="1"/>
  <c r="N39" i="35"/>
  <c r="H40" i="36"/>
  <c r="S14" i="35"/>
  <c r="R80" i="30"/>
  <c r="Z80" i="30" s="1"/>
  <c r="AB80" i="30" s="1"/>
  <c r="Z65" i="30"/>
  <c r="AB65" i="30" s="1"/>
  <c r="Z69" i="30"/>
  <c r="AB69" i="30" s="1"/>
  <c r="R66" i="30"/>
  <c r="Z66" i="30" s="1"/>
  <c r="AB66" i="30" s="1"/>
  <c r="Z59" i="30"/>
  <c r="AB59" i="30" s="1"/>
  <c r="Z60" i="30"/>
  <c r="AB60" i="30" s="1"/>
  <c r="R62" i="30"/>
  <c r="Z62" i="30" s="1"/>
  <c r="AB62" i="30" s="1"/>
  <c r="R70" i="30"/>
  <c r="Z70" i="30" s="1"/>
  <c r="AB70" i="30" s="1"/>
  <c r="Z77" i="30"/>
  <c r="AB77" i="30" s="1"/>
  <c r="R63" i="30"/>
  <c r="Z63" i="30" s="1"/>
  <c r="AB63" i="30" s="1"/>
  <c r="R64" i="30"/>
  <c r="Z64" i="30" s="1"/>
  <c r="AB64" i="30" s="1"/>
  <c r="Z75" i="30"/>
  <c r="AB75" i="30" s="1"/>
  <c r="Z78" i="30"/>
  <c r="AB78" i="30" s="1"/>
  <c r="Z79" i="30"/>
  <c r="AB79" i="30" s="1"/>
  <c r="Z71" i="30"/>
  <c r="AB71" i="30" s="1"/>
  <c r="Z58" i="30"/>
  <c r="AB58" i="30" s="1"/>
  <c r="Z73" i="30"/>
  <c r="AB73" i="30" s="1"/>
  <c r="T7" i="1"/>
  <c r="V7" i="1" s="1"/>
  <c r="X7" i="1" s="1"/>
  <c r="Z7" i="1" s="1"/>
  <c r="AB7" i="1" s="1"/>
  <c r="C7" i="25"/>
  <c r="H9" i="1" s="1"/>
  <c r="Z76" i="30"/>
  <c r="AB76" i="30" s="1"/>
  <c r="Z22" i="30"/>
  <c r="AB22" i="30" s="1"/>
  <c r="Z20" i="30"/>
  <c r="AB20" i="30" s="1"/>
  <c r="Z53" i="30"/>
  <c r="AB53" i="30" s="1"/>
  <c r="Z49" i="30"/>
  <c r="AB49" i="30" s="1"/>
  <c r="Z45" i="30"/>
  <c r="AB45" i="30" s="1"/>
  <c r="Z18" i="30"/>
  <c r="AB18" i="30" s="1"/>
  <c r="Z41" i="30"/>
  <c r="AB41" i="30" s="1"/>
  <c r="Z37" i="30"/>
  <c r="AB37" i="30" s="1"/>
  <c r="Z33" i="30"/>
  <c r="AB33" i="30" s="1"/>
  <c r="Z74" i="30"/>
  <c r="AB74" i="30" s="1"/>
  <c r="Z12" i="30"/>
  <c r="AB12" i="30" s="1"/>
  <c r="N16" i="30"/>
  <c r="Z27" i="30"/>
  <c r="AB27" i="30" s="1"/>
  <c r="Z67" i="30"/>
  <c r="AB67" i="30" s="1"/>
  <c r="Z46" i="30"/>
  <c r="AB46" i="30" s="1"/>
  <c r="Z15" i="30"/>
  <c r="AB15" i="30" s="1"/>
  <c r="Z61" i="30"/>
  <c r="AB61" i="30" s="1"/>
  <c r="Z68" i="30"/>
  <c r="AB68" i="30" s="1"/>
  <c r="N28" i="30"/>
  <c r="N49" i="30"/>
  <c r="R50" i="30" s="1"/>
  <c r="Z57" i="30"/>
  <c r="AB57" i="30" s="1"/>
  <c r="Z72" i="30"/>
  <c r="AB72" i="30" s="1"/>
  <c r="Z10" i="30"/>
  <c r="AB10" i="30" s="1"/>
  <c r="N13" i="30"/>
  <c r="R14" i="30" s="1"/>
  <c r="N53" i="30"/>
  <c r="Z16" i="30"/>
  <c r="AB16" i="30" s="1"/>
  <c r="Z28" i="30"/>
  <c r="AB28" i="30" s="1"/>
  <c r="N10" i="30"/>
  <c r="R11" i="30" s="1"/>
  <c r="N22" i="30"/>
  <c r="R23" i="30" s="1"/>
  <c r="Z24" i="30"/>
  <c r="AB24" i="30" s="1"/>
  <c r="N12" i="30"/>
  <c r="R13" i="30" s="1"/>
  <c r="N41" i="30"/>
  <c r="R42" i="30" s="1"/>
  <c r="N33" i="30"/>
  <c r="Z38" i="30"/>
  <c r="AB38" i="30" s="1"/>
  <c r="Z55" i="30"/>
  <c r="AB55" i="30" s="1"/>
  <c r="N55" i="30"/>
  <c r="Z43" i="30"/>
  <c r="AB43" i="30" s="1"/>
  <c r="N43" i="30"/>
  <c r="R44" i="30" s="1"/>
  <c r="Z39" i="30"/>
  <c r="AB39" i="30" s="1"/>
  <c r="N39" i="30"/>
  <c r="Z47" i="30"/>
  <c r="AB47" i="30" s="1"/>
  <c r="N47" i="30"/>
  <c r="R48" i="30" s="1"/>
  <c r="Z35" i="30"/>
  <c r="AB35" i="30" s="1"/>
  <c r="N35" i="30"/>
  <c r="R36" i="30" s="1"/>
  <c r="Z51" i="30"/>
  <c r="AB51" i="30" s="1"/>
  <c r="N51" i="30"/>
  <c r="R52" i="30" s="1"/>
  <c r="N24" i="30"/>
  <c r="R25" i="30" s="1"/>
  <c r="N25" i="30"/>
  <c r="R26" i="30" s="1"/>
  <c r="N29" i="30"/>
  <c r="R30" i="30" s="1"/>
  <c r="N30" i="30"/>
  <c r="N31" i="30"/>
  <c r="R32" i="30" s="1"/>
  <c r="Q16" i="35" l="1"/>
  <c r="R16" i="35" s="1"/>
  <c r="N40" i="35"/>
  <c r="H41" i="36"/>
  <c r="S15" i="35"/>
  <c r="F13" i="1"/>
  <c r="F21" i="1"/>
  <c r="F29" i="1"/>
  <c r="F37" i="1"/>
  <c r="F45" i="1"/>
  <c r="F53" i="1"/>
  <c r="F61" i="1"/>
  <c r="F69" i="1"/>
  <c r="F77" i="1"/>
  <c r="F85" i="1"/>
  <c r="F93" i="1"/>
  <c r="F101" i="1"/>
  <c r="F109" i="1"/>
  <c r="F117" i="1"/>
  <c r="F125" i="1"/>
  <c r="F133" i="1"/>
  <c r="F141" i="1"/>
  <c r="F149" i="1"/>
  <c r="F157" i="1"/>
  <c r="F165" i="1"/>
  <c r="F173" i="1"/>
  <c r="F181" i="1"/>
  <c r="F16" i="1"/>
  <c r="F24" i="1"/>
  <c r="F32" i="1"/>
  <c r="F40" i="1"/>
  <c r="F48" i="1"/>
  <c r="F56" i="1"/>
  <c r="F64" i="1"/>
  <c r="F72" i="1"/>
  <c r="F80" i="1"/>
  <c r="F88" i="1"/>
  <c r="F96" i="1"/>
  <c r="F104" i="1"/>
  <c r="F112" i="1"/>
  <c r="F120" i="1"/>
  <c r="F128" i="1"/>
  <c r="F136" i="1"/>
  <c r="F144" i="1"/>
  <c r="F152" i="1"/>
  <c r="F160" i="1"/>
  <c r="F168" i="1"/>
  <c r="F176" i="1"/>
  <c r="F184" i="1"/>
  <c r="F11" i="1"/>
  <c r="F19" i="1"/>
  <c r="F27" i="1"/>
  <c r="F35" i="1"/>
  <c r="F43" i="1"/>
  <c r="F51" i="1"/>
  <c r="F59" i="1"/>
  <c r="F67" i="1"/>
  <c r="F75" i="1"/>
  <c r="F83" i="1"/>
  <c r="F91" i="1"/>
  <c r="F99" i="1"/>
  <c r="F107" i="1"/>
  <c r="F115" i="1"/>
  <c r="F123" i="1"/>
  <c r="F131" i="1"/>
  <c r="F139" i="1"/>
  <c r="F147" i="1"/>
  <c r="F155" i="1"/>
  <c r="F163" i="1"/>
  <c r="F171" i="1"/>
  <c r="F179" i="1"/>
  <c r="F187" i="1"/>
  <c r="F14" i="1"/>
  <c r="F22" i="1"/>
  <c r="F30" i="1"/>
  <c r="F38" i="1"/>
  <c r="F46" i="1"/>
  <c r="F54" i="1"/>
  <c r="F62" i="1"/>
  <c r="F70" i="1"/>
  <c r="F78" i="1"/>
  <c r="F86" i="1"/>
  <c r="F94" i="1"/>
  <c r="F102" i="1"/>
  <c r="F110" i="1"/>
  <c r="F118" i="1"/>
  <c r="F126" i="1"/>
  <c r="F134" i="1"/>
  <c r="F142" i="1"/>
  <c r="F150" i="1"/>
  <c r="F158" i="1"/>
  <c r="F166" i="1"/>
  <c r="F174" i="1"/>
  <c r="F182" i="1"/>
  <c r="F9" i="1"/>
  <c r="F17" i="1"/>
  <c r="F25" i="1"/>
  <c r="F33" i="1"/>
  <c r="F41" i="1"/>
  <c r="F49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69" i="1"/>
  <c r="F177" i="1"/>
  <c r="F185" i="1"/>
  <c r="F12" i="1"/>
  <c r="F20" i="1"/>
  <c r="F28" i="1"/>
  <c r="F36" i="1"/>
  <c r="F44" i="1"/>
  <c r="F52" i="1"/>
  <c r="F60" i="1"/>
  <c r="F68" i="1"/>
  <c r="F76" i="1"/>
  <c r="F84" i="1"/>
  <c r="F92" i="1"/>
  <c r="F100" i="1"/>
  <c r="F108" i="1"/>
  <c r="F116" i="1"/>
  <c r="F124" i="1"/>
  <c r="F132" i="1"/>
  <c r="F140" i="1"/>
  <c r="F148" i="1"/>
  <c r="F156" i="1"/>
  <c r="F164" i="1"/>
  <c r="F172" i="1"/>
  <c r="F180" i="1"/>
  <c r="F188" i="1"/>
  <c r="F23" i="1"/>
  <c r="F55" i="1"/>
  <c r="F87" i="1"/>
  <c r="F119" i="1"/>
  <c r="F151" i="1"/>
  <c r="F183" i="1"/>
  <c r="F34" i="1"/>
  <c r="F66" i="1"/>
  <c r="F98" i="1"/>
  <c r="F130" i="1"/>
  <c r="F162" i="1"/>
  <c r="F15" i="1"/>
  <c r="F47" i="1"/>
  <c r="F79" i="1"/>
  <c r="F111" i="1"/>
  <c r="F143" i="1"/>
  <c r="F175" i="1"/>
  <c r="F90" i="1"/>
  <c r="F122" i="1"/>
  <c r="F186" i="1"/>
  <c r="F106" i="1"/>
  <c r="F26" i="1"/>
  <c r="F58" i="1"/>
  <c r="F154" i="1"/>
  <c r="F10" i="1"/>
  <c r="F138" i="1"/>
  <c r="F39" i="1"/>
  <c r="F71" i="1"/>
  <c r="F103" i="1"/>
  <c r="F135" i="1"/>
  <c r="F167" i="1"/>
  <c r="F31" i="1"/>
  <c r="F95" i="1"/>
  <c r="F42" i="1"/>
  <c r="F18" i="1"/>
  <c r="F50" i="1"/>
  <c r="F82" i="1"/>
  <c r="F114" i="1"/>
  <c r="F146" i="1"/>
  <c r="F178" i="1"/>
  <c r="F63" i="1"/>
  <c r="F127" i="1"/>
  <c r="F159" i="1"/>
  <c r="F74" i="1"/>
  <c r="F170" i="1"/>
  <c r="R56" i="30"/>
  <c r="Z56" i="30" s="1"/>
  <c r="AB56" i="30" s="1"/>
  <c r="R17" i="30"/>
  <c r="R31" i="30"/>
  <c r="Z31" i="30" s="1"/>
  <c r="AB31" i="30" s="1"/>
  <c r="R29" i="30"/>
  <c r="Z29" i="30" s="1"/>
  <c r="AB29" i="30" s="1"/>
  <c r="R34" i="30"/>
  <c r="Z34" i="30" s="1"/>
  <c r="AB34" i="30" s="1"/>
  <c r="R54" i="30"/>
  <c r="Z54" i="30" s="1"/>
  <c r="AB54" i="30" s="1"/>
  <c r="R40" i="30"/>
  <c r="Z40" i="30" s="1"/>
  <c r="AB40" i="30" s="1"/>
  <c r="AD7" i="1"/>
  <c r="AF7" i="1" s="1"/>
  <c r="AH7" i="1" s="1"/>
  <c r="AJ7" i="1" s="1"/>
  <c r="V81" i="30"/>
  <c r="Z48" i="30"/>
  <c r="AB48" i="30" s="1"/>
  <c r="Z21" i="30"/>
  <c r="AB21" i="30" s="1"/>
  <c r="Z9" i="30"/>
  <c r="AB9" i="30" s="1"/>
  <c r="Z36" i="30"/>
  <c r="AB36" i="30" s="1"/>
  <c r="Z23" i="30"/>
  <c r="AB23" i="30" s="1"/>
  <c r="Z13" i="30"/>
  <c r="AB13" i="30" s="1"/>
  <c r="Z14" i="30"/>
  <c r="AB14" i="30" s="1"/>
  <c r="Z19" i="30"/>
  <c r="AB19" i="30" s="1"/>
  <c r="Z30" i="30"/>
  <c r="AB30" i="30" s="1"/>
  <c r="Z32" i="30"/>
  <c r="AB32" i="30" s="1"/>
  <c r="Z26" i="30"/>
  <c r="AB26" i="30" s="1"/>
  <c r="Z52" i="30"/>
  <c r="AB52" i="30" s="1"/>
  <c r="Z44" i="30"/>
  <c r="AB44" i="30" s="1"/>
  <c r="Z50" i="30"/>
  <c r="AB50" i="30" s="1"/>
  <c r="Z11" i="30"/>
  <c r="AB11" i="30" s="1"/>
  <c r="Z25" i="30"/>
  <c r="AB25" i="30" s="1"/>
  <c r="Z42" i="30"/>
  <c r="AB42" i="30" s="1"/>
  <c r="T81" i="30"/>
  <c r="Q17" i="35" l="1"/>
  <c r="Q18" i="35" s="1"/>
  <c r="N41" i="35"/>
  <c r="H42" i="36"/>
  <c r="S16" i="35"/>
  <c r="R81" i="30"/>
  <c r="Z17" i="30"/>
  <c r="AB17" i="30" s="1"/>
  <c r="AB81" i="30" s="1"/>
  <c r="AB9" i="1"/>
  <c r="Z9" i="1"/>
  <c r="R17" i="35" l="1"/>
  <c r="N1" i="25"/>
  <c r="L37" i="1" s="1"/>
  <c r="AD188" i="1"/>
  <c r="AD180" i="1"/>
  <c r="AD172" i="1"/>
  <c r="AD164" i="1"/>
  <c r="AD156" i="1"/>
  <c r="AD148" i="1"/>
  <c r="AD140" i="1"/>
  <c r="AD132" i="1"/>
  <c r="AD124" i="1"/>
  <c r="AD116" i="1"/>
  <c r="AD108" i="1"/>
  <c r="AD187" i="1"/>
  <c r="AD179" i="1"/>
  <c r="AD171" i="1"/>
  <c r="AD163" i="1"/>
  <c r="AD155" i="1"/>
  <c r="AD147" i="1"/>
  <c r="AD139" i="1"/>
  <c r="AD131" i="1"/>
  <c r="AD123" i="1"/>
  <c r="AD115" i="1"/>
  <c r="AD107" i="1"/>
  <c r="AD99" i="1"/>
  <c r="AD91" i="1"/>
  <c r="AD83" i="1"/>
  <c r="AD75" i="1"/>
  <c r="AD67" i="1"/>
  <c r="AD59" i="1"/>
  <c r="AD51" i="1"/>
  <c r="AD43" i="1"/>
  <c r="AD35" i="1"/>
  <c r="AD27" i="1"/>
  <c r="AD19" i="1"/>
  <c r="AD11" i="1"/>
  <c r="AD186" i="1"/>
  <c r="AD178" i="1"/>
  <c r="AD170" i="1"/>
  <c r="AD162" i="1"/>
  <c r="AD154" i="1"/>
  <c r="AD146" i="1"/>
  <c r="AD138" i="1"/>
  <c r="AD130" i="1"/>
  <c r="AD122" i="1"/>
  <c r="AD114" i="1"/>
  <c r="AD106" i="1"/>
  <c r="AD98" i="1"/>
  <c r="AD90" i="1"/>
  <c r="AD82" i="1"/>
  <c r="AD74" i="1"/>
  <c r="AD66" i="1"/>
  <c r="AD58" i="1"/>
  <c r="AD50" i="1"/>
  <c r="AD42" i="1"/>
  <c r="AD34" i="1"/>
  <c r="AD26" i="1"/>
  <c r="AD18" i="1"/>
  <c r="AD10" i="1"/>
  <c r="AD184" i="1"/>
  <c r="AD176" i="1"/>
  <c r="AD168" i="1"/>
  <c r="AD160" i="1"/>
  <c r="AD152" i="1"/>
  <c r="AD144" i="1"/>
  <c r="AD136" i="1"/>
  <c r="AD128" i="1"/>
  <c r="AD120" i="1"/>
  <c r="AD112" i="1"/>
  <c r="AD104" i="1"/>
  <c r="AD96" i="1"/>
  <c r="AD88" i="1"/>
  <c r="AD80" i="1"/>
  <c r="AD72" i="1"/>
  <c r="AD64" i="1"/>
  <c r="AD56" i="1"/>
  <c r="AD48" i="1"/>
  <c r="AD40" i="1"/>
  <c r="AD32" i="1"/>
  <c r="AD24" i="1"/>
  <c r="AD16" i="1"/>
  <c r="AD183" i="1"/>
  <c r="AD167" i="1"/>
  <c r="AD151" i="1"/>
  <c r="AD135" i="1"/>
  <c r="AD119" i="1"/>
  <c r="AD103" i="1"/>
  <c r="AD92" i="1"/>
  <c r="AD78" i="1"/>
  <c r="AD65" i="1"/>
  <c r="AD53" i="1"/>
  <c r="AD39" i="1"/>
  <c r="AD28" i="1"/>
  <c r="AD14" i="1"/>
  <c r="AD185" i="1"/>
  <c r="AD182" i="1"/>
  <c r="AD166" i="1"/>
  <c r="AD150" i="1"/>
  <c r="AD134" i="1"/>
  <c r="AD118" i="1"/>
  <c r="AD102" i="1"/>
  <c r="AD89" i="1"/>
  <c r="AD77" i="1"/>
  <c r="AD63" i="1"/>
  <c r="AD52" i="1"/>
  <c r="AD38" i="1"/>
  <c r="AD25" i="1"/>
  <c r="AD13" i="1"/>
  <c r="AD121" i="1"/>
  <c r="AD181" i="1"/>
  <c r="AD165" i="1"/>
  <c r="AD149" i="1"/>
  <c r="AD133" i="1"/>
  <c r="AD117" i="1"/>
  <c r="AD101" i="1"/>
  <c r="AD87" i="1"/>
  <c r="AD76" i="1"/>
  <c r="AD62" i="1"/>
  <c r="AD49" i="1"/>
  <c r="AD37" i="1"/>
  <c r="AD23" i="1"/>
  <c r="AD12" i="1"/>
  <c r="AD137" i="1"/>
  <c r="AD177" i="1"/>
  <c r="AD161" i="1"/>
  <c r="AD145" i="1"/>
  <c r="AD129" i="1"/>
  <c r="AD113" i="1"/>
  <c r="AD100" i="1"/>
  <c r="AD86" i="1"/>
  <c r="AD73" i="1"/>
  <c r="AD61" i="1"/>
  <c r="AD47" i="1"/>
  <c r="AD36" i="1"/>
  <c r="AD22" i="1"/>
  <c r="AD9" i="1"/>
  <c r="AD169" i="1"/>
  <c r="AD93" i="1"/>
  <c r="AD68" i="1"/>
  <c r="AD15" i="1"/>
  <c r="AD175" i="1"/>
  <c r="AD159" i="1"/>
  <c r="AD143" i="1"/>
  <c r="AD127" i="1"/>
  <c r="AD111" i="1"/>
  <c r="AD97" i="1"/>
  <c r="AD85" i="1"/>
  <c r="AD71" i="1"/>
  <c r="AD60" i="1"/>
  <c r="AD46" i="1"/>
  <c r="AD33" i="1"/>
  <c r="AD21" i="1"/>
  <c r="AD105" i="1"/>
  <c r="AD174" i="1"/>
  <c r="AD158" i="1"/>
  <c r="AD142" i="1"/>
  <c r="AD126" i="1"/>
  <c r="AD110" i="1"/>
  <c r="AD95" i="1"/>
  <c r="AD84" i="1"/>
  <c r="AD70" i="1"/>
  <c r="AD57" i="1"/>
  <c r="AD45" i="1"/>
  <c r="AD31" i="1"/>
  <c r="AD20" i="1"/>
  <c r="AD41" i="1"/>
  <c r="AD173" i="1"/>
  <c r="AD157" i="1"/>
  <c r="AD141" i="1"/>
  <c r="AD125" i="1"/>
  <c r="AD109" i="1"/>
  <c r="AD94" i="1"/>
  <c r="AD81" i="1"/>
  <c r="AD69" i="1"/>
  <c r="AD55" i="1"/>
  <c r="AD44" i="1"/>
  <c r="AD30" i="1"/>
  <c r="AD17" i="1"/>
  <c r="AD153" i="1"/>
  <c r="AD79" i="1"/>
  <c r="AD54" i="1"/>
  <c r="AD29" i="1"/>
  <c r="N42" i="35"/>
  <c r="H43" i="36"/>
  <c r="R18" i="35"/>
  <c r="Q19" i="35"/>
  <c r="S17" i="35"/>
  <c r="L63" i="1"/>
  <c r="L31" i="1"/>
  <c r="L11" i="1"/>
  <c r="L18" i="1"/>
  <c r="L46" i="1"/>
  <c r="Z81" i="30"/>
  <c r="AB82" i="30" s="1"/>
  <c r="AD81" i="30"/>
  <c r="M82" i="28"/>
  <c r="M81" i="28"/>
  <c r="M80" i="28"/>
  <c r="M79" i="28"/>
  <c r="M78" i="28"/>
  <c r="M77" i="28"/>
  <c r="M76" i="28"/>
  <c r="M75" i="28"/>
  <c r="M74" i="28"/>
  <c r="M73" i="28"/>
  <c r="M72" i="28"/>
  <c r="M70" i="28"/>
  <c r="M69" i="28"/>
  <c r="M68" i="28"/>
  <c r="M67" i="28"/>
  <c r="M66" i="28"/>
  <c r="M65" i="28"/>
  <c r="M64" i="28"/>
  <c r="M63" i="28"/>
  <c r="M62" i="28"/>
  <c r="M61" i="28"/>
  <c r="M60" i="28"/>
  <c r="M58" i="28"/>
  <c r="M56" i="28"/>
  <c r="M54" i="28"/>
  <c r="M53" i="28"/>
  <c r="M52" i="28"/>
  <c r="M51" i="28"/>
  <c r="M50" i="28"/>
  <c r="M49" i="28"/>
  <c r="M48" i="28"/>
  <c r="M47" i="28"/>
  <c r="M46" i="28"/>
  <c r="M45" i="28"/>
  <c r="M44" i="28"/>
  <c r="L56" i="1" l="1"/>
  <c r="L20" i="1"/>
  <c r="L72" i="1"/>
  <c r="L38" i="1"/>
  <c r="L42" i="1"/>
  <c r="L45" i="1"/>
  <c r="L15" i="1"/>
  <c r="L79" i="1"/>
  <c r="L59" i="1"/>
  <c r="L33" i="1"/>
  <c r="L75" i="1"/>
  <c r="L61" i="1"/>
  <c r="L49" i="1"/>
  <c r="L14" i="1"/>
  <c r="L23" i="1"/>
  <c r="L34" i="1"/>
  <c r="L36" i="1"/>
  <c r="L30" i="1"/>
  <c r="L17" i="1"/>
  <c r="L66" i="1"/>
  <c r="L71" i="1"/>
  <c r="L29" i="1"/>
  <c r="L16" i="1"/>
  <c r="L57" i="1"/>
  <c r="L19" i="1"/>
  <c r="L44" i="1"/>
  <c r="L69" i="1"/>
  <c r="L40" i="1"/>
  <c r="L22" i="1"/>
  <c r="L43" i="1"/>
  <c r="L68" i="1"/>
  <c r="L55" i="1"/>
  <c r="L64" i="1"/>
  <c r="L41" i="1"/>
  <c r="L26" i="1"/>
  <c r="L47" i="1"/>
  <c r="L67" i="1"/>
  <c r="L28" i="1"/>
  <c r="L70" i="1"/>
  <c r="L53" i="1"/>
  <c r="L24" i="1"/>
  <c r="L78" i="1"/>
  <c r="L65" i="1"/>
  <c r="L50" i="1"/>
  <c r="L27" i="1"/>
  <c r="L54" i="1"/>
  <c r="L52" i="1"/>
  <c r="L13" i="1"/>
  <c r="L77" i="1"/>
  <c r="N7" i="25"/>
  <c r="N9" i="1" s="1"/>
  <c r="L32" i="1"/>
  <c r="L9" i="1"/>
  <c r="L73" i="1"/>
  <c r="L58" i="1"/>
  <c r="L35" i="1"/>
  <c r="L39" i="1"/>
  <c r="L60" i="1"/>
  <c r="L21" i="1"/>
  <c r="L62" i="1"/>
  <c r="L48" i="1"/>
  <c r="L25" i="1"/>
  <c r="L10" i="1"/>
  <c r="L74" i="1"/>
  <c r="L51" i="1"/>
  <c r="L12" i="1"/>
  <c r="L76" i="1"/>
  <c r="L183" i="1"/>
  <c r="L175" i="1"/>
  <c r="L167" i="1"/>
  <c r="L159" i="1"/>
  <c r="L151" i="1"/>
  <c r="L143" i="1"/>
  <c r="L135" i="1"/>
  <c r="L127" i="1"/>
  <c r="L119" i="1"/>
  <c r="L111" i="1"/>
  <c r="L103" i="1"/>
  <c r="L95" i="1"/>
  <c r="L87" i="1"/>
  <c r="L83" i="1"/>
  <c r="L96" i="1"/>
  <c r="L88" i="1"/>
  <c r="L165" i="1"/>
  <c r="L133" i="1"/>
  <c r="L188" i="1"/>
  <c r="L180" i="1"/>
  <c r="L172" i="1"/>
  <c r="L164" i="1"/>
  <c r="L156" i="1"/>
  <c r="L148" i="1"/>
  <c r="L140" i="1"/>
  <c r="L132" i="1"/>
  <c r="L124" i="1"/>
  <c r="L116" i="1"/>
  <c r="L108" i="1"/>
  <c r="L100" i="1"/>
  <c r="L92" i="1"/>
  <c r="L84" i="1"/>
  <c r="L81" i="1"/>
  <c r="L163" i="1"/>
  <c r="L123" i="1"/>
  <c r="L115" i="1"/>
  <c r="L91" i="1"/>
  <c r="L104" i="1"/>
  <c r="L130" i="1"/>
  <c r="L90" i="1"/>
  <c r="L82" i="1"/>
  <c r="L185" i="1"/>
  <c r="L177" i="1"/>
  <c r="L169" i="1"/>
  <c r="L161" i="1"/>
  <c r="L153" i="1"/>
  <c r="L145" i="1"/>
  <c r="L137" i="1"/>
  <c r="L129" i="1"/>
  <c r="L121" i="1"/>
  <c r="L113" i="1"/>
  <c r="L105" i="1"/>
  <c r="L97" i="1"/>
  <c r="L89" i="1"/>
  <c r="L139" i="1"/>
  <c r="L131" i="1"/>
  <c r="L112" i="1"/>
  <c r="L182" i="1"/>
  <c r="L174" i="1"/>
  <c r="L166" i="1"/>
  <c r="L158" i="1"/>
  <c r="L150" i="1"/>
  <c r="L142" i="1"/>
  <c r="L134" i="1"/>
  <c r="L126" i="1"/>
  <c r="L118" i="1"/>
  <c r="L110" i="1"/>
  <c r="L102" i="1"/>
  <c r="L94" i="1"/>
  <c r="L86" i="1"/>
  <c r="L80" i="1"/>
  <c r="L107" i="1"/>
  <c r="L101" i="1"/>
  <c r="L154" i="1"/>
  <c r="L146" i="1"/>
  <c r="L138" i="1"/>
  <c r="L114" i="1"/>
  <c r="L187" i="1"/>
  <c r="L179" i="1"/>
  <c r="L171" i="1"/>
  <c r="L155" i="1"/>
  <c r="L147" i="1"/>
  <c r="L99" i="1"/>
  <c r="L157" i="1"/>
  <c r="L117" i="1"/>
  <c r="L85" i="1"/>
  <c r="L184" i="1"/>
  <c r="L176" i="1"/>
  <c r="L168" i="1"/>
  <c r="L160" i="1"/>
  <c r="L152" i="1"/>
  <c r="L144" i="1"/>
  <c r="L136" i="1"/>
  <c r="L128" i="1"/>
  <c r="L120" i="1"/>
  <c r="L125" i="1"/>
  <c r="L93" i="1"/>
  <c r="L186" i="1"/>
  <c r="L178" i="1"/>
  <c r="L162" i="1"/>
  <c r="L106" i="1"/>
  <c r="L181" i="1"/>
  <c r="L173" i="1"/>
  <c r="L149" i="1"/>
  <c r="L141" i="1"/>
  <c r="L109" i="1"/>
  <c r="L170" i="1"/>
  <c r="L122" i="1"/>
  <c r="L98" i="1"/>
  <c r="Z82" i="30"/>
  <c r="N43" i="35"/>
  <c r="H44" i="36"/>
  <c r="R19" i="35"/>
  <c r="Q20" i="35"/>
  <c r="S18" i="35"/>
  <c r="F43" i="28"/>
  <c r="E43" i="28"/>
  <c r="D43" i="28"/>
  <c r="C43" i="28"/>
  <c r="M42" i="28"/>
  <c r="M41" i="28"/>
  <c r="M40" i="28"/>
  <c r="M39" i="28"/>
  <c r="M38" i="28"/>
  <c r="M37" i="28"/>
  <c r="M36" i="28"/>
  <c r="M35" i="28"/>
  <c r="M34" i="28"/>
  <c r="M33" i="28"/>
  <c r="M32" i="28"/>
  <c r="M31" i="28"/>
  <c r="M30" i="28"/>
  <c r="M29" i="28"/>
  <c r="M28" i="28"/>
  <c r="M27" i="28"/>
  <c r="M26" i="28"/>
  <c r="M25" i="28"/>
  <c r="M24" i="28"/>
  <c r="M23" i="28"/>
  <c r="M22" i="28"/>
  <c r="M21" i="28"/>
  <c r="M20" i="28"/>
  <c r="M19" i="28"/>
  <c r="M18" i="28"/>
  <c r="M17" i="28"/>
  <c r="F87" i="28"/>
  <c r="E87" i="28"/>
  <c r="D87" i="28"/>
  <c r="C87" i="28"/>
  <c r="F85" i="28"/>
  <c r="E85" i="28"/>
  <c r="D85" i="28"/>
  <c r="C85" i="28"/>
  <c r="F83" i="28"/>
  <c r="E83" i="28"/>
  <c r="D83" i="28"/>
  <c r="C83" i="28"/>
  <c r="F71" i="28"/>
  <c r="E71" i="28"/>
  <c r="D71" i="28"/>
  <c r="C71" i="28"/>
  <c r="F59" i="28"/>
  <c r="E59" i="28"/>
  <c r="D59" i="28"/>
  <c r="C59" i="28"/>
  <c r="F57" i="28"/>
  <c r="E57" i="28"/>
  <c r="D57" i="28"/>
  <c r="C57" i="28"/>
  <c r="F55" i="28"/>
  <c r="E55" i="28"/>
  <c r="D55" i="28"/>
  <c r="C55" i="28"/>
  <c r="F16" i="28"/>
  <c r="E16" i="28"/>
  <c r="D16" i="28"/>
  <c r="C16" i="28"/>
  <c r="E27" i="27"/>
  <c r="O7" i="25" l="1"/>
  <c r="P7" i="25" s="1"/>
  <c r="P9" i="1" s="1"/>
  <c r="N8" i="25"/>
  <c r="H43" i="28"/>
  <c r="M52" i="27" s="1"/>
  <c r="L52" i="27" s="1"/>
  <c r="F31" i="27"/>
  <c r="Q3" i="33" s="1"/>
  <c r="F51" i="27"/>
  <c r="H57" i="28"/>
  <c r="M47" i="27" s="1"/>
  <c r="L47" i="27" s="1"/>
  <c r="H71" i="28"/>
  <c r="M49" i="27" s="1"/>
  <c r="L49" i="27" s="1"/>
  <c r="H85" i="28"/>
  <c r="M53" i="27" s="1"/>
  <c r="L53" i="27" s="1"/>
  <c r="H16" i="28"/>
  <c r="M45" i="27" s="1"/>
  <c r="L45" i="27" s="1"/>
  <c r="H55" i="28"/>
  <c r="M46" i="27" s="1"/>
  <c r="L46" i="27" s="1"/>
  <c r="H59" i="28"/>
  <c r="M48" i="27" s="1"/>
  <c r="L48" i="27" s="1"/>
  <c r="H83" i="28"/>
  <c r="M50" i="27" s="1"/>
  <c r="L50" i="27" s="1"/>
  <c r="H87" i="28"/>
  <c r="M51" i="27" s="1"/>
  <c r="L51" i="27" s="1"/>
  <c r="N44" i="35"/>
  <c r="H45" i="36"/>
  <c r="R20" i="35"/>
  <c r="Q21" i="35"/>
  <c r="O8" i="35"/>
  <c r="T8" i="35" s="1"/>
  <c r="U8" i="35" s="1"/>
  <c r="J9" i="36" s="1"/>
  <c r="L9" i="36" s="1"/>
  <c r="S19" i="35"/>
  <c r="E32" i="35"/>
  <c r="E24" i="35"/>
  <c r="E31" i="35"/>
  <c r="E30" i="35"/>
  <c r="E35" i="35"/>
  <c r="E29" i="35"/>
  <c r="E27" i="35"/>
  <c r="E26" i="35"/>
  <c r="E28" i="35"/>
  <c r="E33" i="35"/>
  <c r="E25" i="35"/>
  <c r="E34" i="35"/>
  <c r="D8" i="35"/>
  <c r="C9" i="35"/>
  <c r="H10" i="34" s="1"/>
  <c r="N9" i="25"/>
  <c r="N10" i="1"/>
  <c r="O8" i="25"/>
  <c r="P8" i="25" s="1"/>
  <c r="P10" i="1" s="1"/>
  <c r="J59" i="28"/>
  <c r="J83" i="28"/>
  <c r="J87" i="28"/>
  <c r="J71" i="28"/>
  <c r="I59" i="28"/>
  <c r="I83" i="28"/>
  <c r="I85" i="28"/>
  <c r="J85" i="28"/>
  <c r="I71" i="28"/>
  <c r="J57" i="28"/>
  <c r="I57" i="28"/>
  <c r="I43" i="28"/>
  <c r="M27" i="27"/>
  <c r="L27" i="27" s="1"/>
  <c r="D90" i="28"/>
  <c r="E90" i="28"/>
  <c r="C90" i="28"/>
  <c r="I16" i="28"/>
  <c r="J16" i="28"/>
  <c r="I55" i="28"/>
  <c r="J55" i="28"/>
  <c r="J43" i="28"/>
  <c r="I87" i="28"/>
  <c r="M29" i="27" l="1"/>
  <c r="L29" i="27" s="1"/>
  <c r="M25" i="27"/>
  <c r="L25" i="27" s="1"/>
  <c r="M32" i="27"/>
  <c r="L32" i="27" s="1"/>
  <c r="M31" i="27"/>
  <c r="L31" i="27" s="1"/>
  <c r="M30" i="27"/>
  <c r="L30" i="27" s="1"/>
  <c r="M33" i="27"/>
  <c r="L33" i="27" s="1"/>
  <c r="M28" i="27"/>
  <c r="L28" i="27" s="1"/>
  <c r="M26" i="27"/>
  <c r="L26" i="27" s="1"/>
  <c r="O25" i="27"/>
  <c r="O45" i="27"/>
  <c r="N27" i="27"/>
  <c r="N47" i="27"/>
  <c r="O28" i="27"/>
  <c r="O48" i="27"/>
  <c r="O31" i="27"/>
  <c r="O51" i="27"/>
  <c r="E31" i="27"/>
  <c r="G31" i="27" s="1"/>
  <c r="S3" i="33" s="1"/>
  <c r="E51" i="27"/>
  <c r="G51" i="27" s="1"/>
  <c r="N29" i="27"/>
  <c r="N49" i="27"/>
  <c r="N30" i="27"/>
  <c r="N50" i="27"/>
  <c r="N28" i="27"/>
  <c r="N48" i="27"/>
  <c r="N32" i="27"/>
  <c r="N52" i="27"/>
  <c r="N33" i="27"/>
  <c r="N53" i="27"/>
  <c r="O26" i="27"/>
  <c r="O46" i="27"/>
  <c r="O33" i="27"/>
  <c r="O53" i="27"/>
  <c r="O32" i="27"/>
  <c r="O52" i="27"/>
  <c r="O29" i="27"/>
  <c r="O49" i="27"/>
  <c r="N31" i="27"/>
  <c r="N51" i="27"/>
  <c r="N26" i="27"/>
  <c r="N46" i="27"/>
  <c r="N25" i="27"/>
  <c r="N45" i="27"/>
  <c r="O27" i="27"/>
  <c r="O47" i="27"/>
  <c r="O30" i="27"/>
  <c r="O50" i="27"/>
  <c r="N45" i="35"/>
  <c r="H46" i="36"/>
  <c r="O9" i="35"/>
  <c r="T9" i="35" s="1"/>
  <c r="U9" i="35" s="1"/>
  <c r="J10" i="36" s="1"/>
  <c r="L10" i="36" s="1"/>
  <c r="R21" i="35"/>
  <c r="Q22" i="35"/>
  <c r="S20" i="35"/>
  <c r="D9" i="35"/>
  <c r="C10" i="35"/>
  <c r="H11" i="34" s="1"/>
  <c r="N10" i="25"/>
  <c r="N11" i="1"/>
  <c r="O9" i="25"/>
  <c r="P9" i="25" s="1"/>
  <c r="P11" i="1" s="1"/>
  <c r="C8" i="25"/>
  <c r="H10" i="1" s="1"/>
  <c r="O28" i="26"/>
  <c r="O38" i="26" s="1"/>
  <c r="S26" i="26"/>
  <c r="S24" i="26"/>
  <c r="S22" i="26"/>
  <c r="B12" i="26"/>
  <c r="B13" i="26" s="1"/>
  <c r="B14" i="26" s="1"/>
  <c r="B16" i="26" s="1"/>
  <c r="N46" i="35" l="1"/>
  <c r="H47" i="36"/>
  <c r="O10" i="35"/>
  <c r="T10" i="35" s="1"/>
  <c r="U10" i="35" s="1"/>
  <c r="J11" i="36" s="1"/>
  <c r="L11" i="36" s="1"/>
  <c r="R22" i="35"/>
  <c r="Q23" i="35"/>
  <c r="S21" i="35"/>
  <c r="D10" i="35"/>
  <c r="C11" i="35"/>
  <c r="H12" i="34" s="1"/>
  <c r="N11" i="25"/>
  <c r="N12" i="1"/>
  <c r="O10" i="25"/>
  <c r="P10" i="25" s="1"/>
  <c r="P12" i="1" s="1"/>
  <c r="C9" i="25"/>
  <c r="H11" i="1" s="1"/>
  <c r="S28" i="26"/>
  <c r="S30" i="26" s="1"/>
  <c r="S32" i="26" s="1"/>
  <c r="O11" i="26"/>
  <c r="O12" i="26"/>
  <c r="O13" i="26"/>
  <c r="F16" i="26"/>
  <c r="N47" i="35" l="1"/>
  <c r="H48" i="36"/>
  <c r="R23" i="35"/>
  <c r="Q24" i="35"/>
  <c r="S22" i="35"/>
  <c r="O11" i="35"/>
  <c r="T11" i="35" s="1"/>
  <c r="U11" i="35" s="1"/>
  <c r="J12" i="36" s="1"/>
  <c r="L12" i="36" s="1"/>
  <c r="D11" i="35"/>
  <c r="C12" i="35"/>
  <c r="H13" i="34" s="1"/>
  <c r="N12" i="25"/>
  <c r="N13" i="1"/>
  <c r="O11" i="25"/>
  <c r="P11" i="25" s="1"/>
  <c r="P13" i="1" s="1"/>
  <c r="C10" i="25"/>
  <c r="H12" i="1" s="1"/>
  <c r="S34" i="26"/>
  <c r="S36" i="26" s="1"/>
  <c r="S38" i="26" s="1"/>
  <c r="O14" i="26" s="1"/>
  <c r="H12" i="26"/>
  <c r="M12" i="26" s="1"/>
  <c r="S12" i="26" s="1"/>
  <c r="H14" i="26"/>
  <c r="M14" i="26" s="1"/>
  <c r="H11" i="26"/>
  <c r="H13" i="26"/>
  <c r="M13" i="26" s="1"/>
  <c r="S13" i="26" s="1"/>
  <c r="N48" i="35" l="1"/>
  <c r="H49" i="36"/>
  <c r="O12" i="35"/>
  <c r="T12" i="35" s="1"/>
  <c r="U12" i="35" s="1"/>
  <c r="J13" i="36" s="1"/>
  <c r="L13" i="36" s="1"/>
  <c r="R24" i="35"/>
  <c r="Q25" i="35"/>
  <c r="S23" i="35"/>
  <c r="C13" i="35"/>
  <c r="H14" i="34" s="1"/>
  <c r="D12" i="35"/>
  <c r="N13" i="25"/>
  <c r="N14" i="1"/>
  <c r="O12" i="25"/>
  <c r="P12" i="25" s="1"/>
  <c r="P14" i="1" s="1"/>
  <c r="C11" i="25"/>
  <c r="H13" i="1" s="1"/>
  <c r="S14" i="26"/>
  <c r="H16" i="26"/>
  <c r="M11" i="26"/>
  <c r="N49" i="35" l="1"/>
  <c r="H50" i="36"/>
  <c r="S24" i="35"/>
  <c r="O13" i="35"/>
  <c r="T13" i="35" s="1"/>
  <c r="U13" i="35" s="1"/>
  <c r="J14" i="36" s="1"/>
  <c r="L14" i="36" s="1"/>
  <c r="R25" i="35"/>
  <c r="Q26" i="35"/>
  <c r="C14" i="35"/>
  <c r="H15" i="34" s="1"/>
  <c r="D13" i="35"/>
  <c r="N14" i="25"/>
  <c r="N15" i="1"/>
  <c r="O13" i="25"/>
  <c r="P13" i="25" s="1"/>
  <c r="P15" i="1" s="1"/>
  <c r="C12" i="25"/>
  <c r="H14" i="1" s="1"/>
  <c r="S11" i="26"/>
  <c r="S16" i="26" s="1"/>
  <c r="M16" i="26"/>
  <c r="N10" i="36" l="1"/>
  <c r="P10" i="36" s="1"/>
  <c r="X10" i="36" s="1"/>
  <c r="AB10" i="36" s="1"/>
  <c r="N18" i="36"/>
  <c r="N21" i="34"/>
  <c r="N13" i="34"/>
  <c r="N204" i="36"/>
  <c r="N196" i="36"/>
  <c r="N188" i="36"/>
  <c r="N180" i="36"/>
  <c r="N172" i="36"/>
  <c r="N164" i="36"/>
  <c r="N156" i="36"/>
  <c r="N148" i="36"/>
  <c r="N140" i="36"/>
  <c r="N132" i="36"/>
  <c r="N124" i="36"/>
  <c r="N116" i="36"/>
  <c r="N108" i="36"/>
  <c r="N100" i="36"/>
  <c r="N92" i="36"/>
  <c r="N84" i="36"/>
  <c r="N76" i="36"/>
  <c r="N68" i="36"/>
  <c r="N60" i="36"/>
  <c r="N52" i="36"/>
  <c r="N44" i="36"/>
  <c r="N36" i="36"/>
  <c r="N28" i="36"/>
  <c r="N23" i="36"/>
  <c r="N15" i="36"/>
  <c r="N10" i="34"/>
  <c r="N18" i="34"/>
  <c r="N201" i="36"/>
  <c r="N193" i="36"/>
  <c r="N185" i="36"/>
  <c r="N177" i="36"/>
  <c r="N169" i="36"/>
  <c r="N161" i="36"/>
  <c r="N153" i="36"/>
  <c r="N145" i="36"/>
  <c r="N137" i="36"/>
  <c r="N129" i="36"/>
  <c r="N121" i="36"/>
  <c r="N113" i="36"/>
  <c r="N105" i="36"/>
  <c r="N97" i="36"/>
  <c r="N89" i="36"/>
  <c r="N81" i="36"/>
  <c r="N73" i="36"/>
  <c r="N65" i="36"/>
  <c r="N57" i="36"/>
  <c r="N49" i="36"/>
  <c r="N41" i="36"/>
  <c r="N33" i="36"/>
  <c r="N12" i="36"/>
  <c r="P12" i="36" s="1"/>
  <c r="X12" i="36" s="1"/>
  <c r="AB12" i="36" s="1"/>
  <c r="N20" i="36"/>
  <c r="N12" i="34"/>
  <c r="N23" i="34"/>
  <c r="N15" i="34"/>
  <c r="N198" i="36"/>
  <c r="N190" i="36"/>
  <c r="N182" i="36"/>
  <c r="N174" i="36"/>
  <c r="N166" i="36"/>
  <c r="N158" i="36"/>
  <c r="N150" i="36"/>
  <c r="N142" i="36"/>
  <c r="N134" i="36"/>
  <c r="N126" i="36"/>
  <c r="N118" i="36"/>
  <c r="N110" i="36"/>
  <c r="N102" i="36"/>
  <c r="N94" i="36"/>
  <c r="N86" i="36"/>
  <c r="N78" i="36"/>
  <c r="N70" i="36"/>
  <c r="N62" i="36"/>
  <c r="N54" i="36"/>
  <c r="N46" i="36"/>
  <c r="N38" i="36"/>
  <c r="N30" i="36"/>
  <c r="N59" i="34"/>
  <c r="N55" i="34"/>
  <c r="N51" i="34"/>
  <c r="N47" i="34"/>
  <c r="N43" i="34"/>
  <c r="N39" i="34"/>
  <c r="N35" i="34"/>
  <c r="N9" i="36"/>
  <c r="P9" i="36" s="1"/>
  <c r="X9" i="36" s="1"/>
  <c r="AB9" i="36" s="1"/>
  <c r="N17" i="36"/>
  <c r="N20" i="34"/>
  <c r="N203" i="36"/>
  <c r="N195" i="36"/>
  <c r="N187" i="36"/>
  <c r="N179" i="36"/>
  <c r="N171" i="36"/>
  <c r="N163" i="36"/>
  <c r="N155" i="36"/>
  <c r="N147" i="36"/>
  <c r="N139" i="36"/>
  <c r="N131" i="36"/>
  <c r="N123" i="36"/>
  <c r="N115" i="36"/>
  <c r="N107" i="36"/>
  <c r="N99" i="36"/>
  <c r="N91" i="36"/>
  <c r="N83" i="36"/>
  <c r="N75" i="36"/>
  <c r="N67" i="36"/>
  <c r="N59" i="36"/>
  <c r="N51" i="36"/>
  <c r="N43" i="36"/>
  <c r="N35" i="36"/>
  <c r="N27" i="36"/>
  <c r="N22" i="36"/>
  <c r="N14" i="36"/>
  <c r="P14" i="36" s="1"/>
  <c r="X14" i="36" s="1"/>
  <c r="AB14" i="36" s="1"/>
  <c r="N9" i="34"/>
  <c r="N17" i="34"/>
  <c r="N200" i="36"/>
  <c r="N192" i="36"/>
  <c r="N184" i="36"/>
  <c r="N176" i="36"/>
  <c r="N168" i="36"/>
  <c r="N160" i="36"/>
  <c r="N152" i="36"/>
  <c r="N144" i="36"/>
  <c r="N136" i="36"/>
  <c r="N128" i="36"/>
  <c r="N120" i="36"/>
  <c r="N112" i="36"/>
  <c r="N104" i="36"/>
  <c r="N96" i="36"/>
  <c r="N88" i="36"/>
  <c r="N80" i="36"/>
  <c r="N72" i="36"/>
  <c r="N64" i="36"/>
  <c r="N56" i="36"/>
  <c r="N48" i="36"/>
  <c r="N40" i="36"/>
  <c r="N32" i="36"/>
  <c r="N11" i="36"/>
  <c r="P11" i="36" s="1"/>
  <c r="X11" i="36" s="1"/>
  <c r="AB11" i="36" s="1"/>
  <c r="N19" i="36"/>
  <c r="N22" i="34"/>
  <c r="N14" i="34"/>
  <c r="N205" i="36"/>
  <c r="N197" i="36"/>
  <c r="N189" i="36"/>
  <c r="N181" i="36"/>
  <c r="N173" i="36"/>
  <c r="N165" i="36"/>
  <c r="N157" i="36"/>
  <c r="N149" i="36"/>
  <c r="N141" i="36"/>
  <c r="N133" i="36"/>
  <c r="N125" i="36"/>
  <c r="N117" i="36"/>
  <c r="N109" i="36"/>
  <c r="N101" i="36"/>
  <c r="N93" i="36"/>
  <c r="N85" i="36"/>
  <c r="N77" i="36"/>
  <c r="N69" i="36"/>
  <c r="N61" i="36"/>
  <c r="N53" i="36"/>
  <c r="N45" i="36"/>
  <c r="N37" i="36"/>
  <c r="N29" i="36"/>
  <c r="N24" i="36"/>
  <c r="N16" i="36"/>
  <c r="N11" i="34"/>
  <c r="N19" i="34"/>
  <c r="N202" i="36"/>
  <c r="N194" i="36"/>
  <c r="N186" i="36"/>
  <c r="N178" i="36"/>
  <c r="N170" i="36"/>
  <c r="N162" i="36"/>
  <c r="N154" i="36"/>
  <c r="N146" i="36"/>
  <c r="N138" i="36"/>
  <c r="N130" i="36"/>
  <c r="N122" i="36"/>
  <c r="N114" i="36"/>
  <c r="N106" i="36"/>
  <c r="N98" i="36"/>
  <c r="N90" i="36"/>
  <c r="N82" i="36"/>
  <c r="N74" i="36"/>
  <c r="N66" i="36"/>
  <c r="N58" i="36"/>
  <c r="N50" i="36"/>
  <c r="N42" i="36"/>
  <c r="N34" i="36"/>
  <c r="N26" i="36"/>
  <c r="N21" i="36"/>
  <c r="N13" i="36"/>
  <c r="P13" i="36" s="1"/>
  <c r="X13" i="36" s="1"/>
  <c r="AB13" i="36" s="1"/>
  <c r="N24" i="34"/>
  <c r="N16" i="34"/>
  <c r="N199" i="36"/>
  <c r="N191" i="36"/>
  <c r="N183" i="36"/>
  <c r="N175" i="36"/>
  <c r="N167" i="36"/>
  <c r="N159" i="36"/>
  <c r="N151" i="36"/>
  <c r="N143" i="36"/>
  <c r="N135" i="36"/>
  <c r="N127" i="36"/>
  <c r="N119" i="36"/>
  <c r="N111" i="36"/>
  <c r="N103" i="36"/>
  <c r="N95" i="36"/>
  <c r="N87" i="36"/>
  <c r="N79" i="36"/>
  <c r="N71" i="36"/>
  <c r="N63" i="36"/>
  <c r="N55" i="36"/>
  <c r="N47" i="36"/>
  <c r="N39" i="36"/>
  <c r="N31" i="36"/>
  <c r="N58" i="34"/>
  <c r="N52" i="34"/>
  <c r="N45" i="34"/>
  <c r="N33" i="34"/>
  <c r="N57" i="34"/>
  <c r="N38" i="34"/>
  <c r="N28" i="34"/>
  <c r="N29" i="34"/>
  <c r="N50" i="34"/>
  <c r="N44" i="34"/>
  <c r="N37" i="34"/>
  <c r="N32" i="34"/>
  <c r="N40" i="34"/>
  <c r="N56" i="34"/>
  <c r="N49" i="34"/>
  <c r="N27" i="34"/>
  <c r="N46" i="34"/>
  <c r="N61" i="34"/>
  <c r="N42" i="34"/>
  <c r="N36" i="34"/>
  <c r="N31" i="34"/>
  <c r="N54" i="34"/>
  <c r="N48" i="34"/>
  <c r="N41" i="34"/>
  <c r="N30" i="34"/>
  <c r="N26" i="34"/>
  <c r="N60" i="34"/>
  <c r="N53" i="34"/>
  <c r="N34" i="34"/>
  <c r="N50" i="35"/>
  <c r="H51" i="36"/>
  <c r="O14" i="35"/>
  <c r="T14" i="35" s="1"/>
  <c r="U14" i="35" s="1"/>
  <c r="J15" i="36" s="1"/>
  <c r="L15" i="36" s="1"/>
  <c r="R26" i="35"/>
  <c r="Q27" i="35"/>
  <c r="S25" i="35"/>
  <c r="D14" i="35"/>
  <c r="C15" i="35"/>
  <c r="H16" i="34" s="1"/>
  <c r="N15" i="25"/>
  <c r="N16" i="1"/>
  <c r="O14" i="25"/>
  <c r="P14" i="25" s="1"/>
  <c r="P16" i="1" s="1"/>
  <c r="C13" i="25"/>
  <c r="H15" i="1" s="1"/>
  <c r="T184" i="1"/>
  <c r="T176" i="1"/>
  <c r="T168" i="1"/>
  <c r="T160" i="1"/>
  <c r="T152" i="1"/>
  <c r="T144" i="1"/>
  <c r="T136" i="1"/>
  <c r="T128" i="1"/>
  <c r="T120" i="1"/>
  <c r="T112" i="1"/>
  <c r="T104" i="1"/>
  <c r="T96" i="1"/>
  <c r="T88" i="1"/>
  <c r="T80" i="1"/>
  <c r="T72" i="1"/>
  <c r="T64" i="1"/>
  <c r="T56" i="1"/>
  <c r="T48" i="1"/>
  <c r="T40" i="1"/>
  <c r="T32" i="1"/>
  <c r="T24" i="1"/>
  <c r="T16" i="1"/>
  <c r="T161" i="1"/>
  <c r="T145" i="1"/>
  <c r="T129" i="1"/>
  <c r="T121" i="1"/>
  <c r="T105" i="1"/>
  <c r="T89" i="1"/>
  <c r="T73" i="1"/>
  <c r="T57" i="1"/>
  <c r="T33" i="1"/>
  <c r="T9" i="1"/>
  <c r="T183" i="1"/>
  <c r="T175" i="1"/>
  <c r="T167" i="1"/>
  <c r="T159" i="1"/>
  <c r="T151" i="1"/>
  <c r="T143" i="1"/>
  <c r="T135" i="1"/>
  <c r="T127" i="1"/>
  <c r="T119" i="1"/>
  <c r="T111" i="1"/>
  <c r="T103" i="1"/>
  <c r="T95" i="1"/>
  <c r="T87" i="1"/>
  <c r="T79" i="1"/>
  <c r="T71" i="1"/>
  <c r="T63" i="1"/>
  <c r="T55" i="1"/>
  <c r="T47" i="1"/>
  <c r="T39" i="1"/>
  <c r="T31" i="1"/>
  <c r="T23" i="1"/>
  <c r="T15" i="1"/>
  <c r="T186" i="1"/>
  <c r="T178" i="1"/>
  <c r="T170" i="1"/>
  <c r="T162" i="1"/>
  <c r="T154" i="1"/>
  <c r="T146" i="1"/>
  <c r="T138" i="1"/>
  <c r="T130" i="1"/>
  <c r="T122" i="1"/>
  <c r="T114" i="1"/>
  <c r="T106" i="1"/>
  <c r="T98" i="1"/>
  <c r="T90" i="1"/>
  <c r="T82" i="1"/>
  <c r="T74" i="1"/>
  <c r="T66" i="1"/>
  <c r="T58" i="1"/>
  <c r="T50" i="1"/>
  <c r="T42" i="1"/>
  <c r="T34" i="1"/>
  <c r="T26" i="1"/>
  <c r="T18" i="1"/>
  <c r="T10" i="1"/>
  <c r="T153" i="1"/>
  <c r="T49" i="1"/>
  <c r="T182" i="1"/>
  <c r="T174" i="1"/>
  <c r="T166" i="1"/>
  <c r="T158" i="1"/>
  <c r="T150" i="1"/>
  <c r="T142" i="1"/>
  <c r="T134" i="1"/>
  <c r="T126" i="1"/>
  <c r="T118" i="1"/>
  <c r="T110" i="1"/>
  <c r="T102" i="1"/>
  <c r="T94" i="1"/>
  <c r="T86" i="1"/>
  <c r="T78" i="1"/>
  <c r="T70" i="1"/>
  <c r="T62" i="1"/>
  <c r="T54" i="1"/>
  <c r="T46" i="1"/>
  <c r="T38" i="1"/>
  <c r="T30" i="1"/>
  <c r="T22" i="1"/>
  <c r="T14" i="1"/>
  <c r="T169" i="1"/>
  <c r="T181" i="1"/>
  <c r="T173" i="1"/>
  <c r="T165" i="1"/>
  <c r="T157" i="1"/>
  <c r="T149" i="1"/>
  <c r="T141" i="1"/>
  <c r="T133" i="1"/>
  <c r="T125" i="1"/>
  <c r="T117" i="1"/>
  <c r="T109" i="1"/>
  <c r="T101" i="1"/>
  <c r="T93" i="1"/>
  <c r="T85" i="1"/>
  <c r="T77" i="1"/>
  <c r="T69" i="1"/>
  <c r="T61" i="1"/>
  <c r="T53" i="1"/>
  <c r="T45" i="1"/>
  <c r="T37" i="1"/>
  <c r="T29" i="1"/>
  <c r="T21" i="1"/>
  <c r="T13" i="1"/>
  <c r="T188" i="1"/>
  <c r="T180" i="1"/>
  <c r="T172" i="1"/>
  <c r="T164" i="1"/>
  <c r="T156" i="1"/>
  <c r="T148" i="1"/>
  <c r="T140" i="1"/>
  <c r="T132" i="1"/>
  <c r="T124" i="1"/>
  <c r="T116" i="1"/>
  <c r="T108" i="1"/>
  <c r="T100" i="1"/>
  <c r="T92" i="1"/>
  <c r="T84" i="1"/>
  <c r="T76" i="1"/>
  <c r="T68" i="1"/>
  <c r="T60" i="1"/>
  <c r="T52" i="1"/>
  <c r="T44" i="1"/>
  <c r="T36" i="1"/>
  <c r="T28" i="1"/>
  <c r="T20" i="1"/>
  <c r="T12" i="1"/>
  <c r="T185" i="1"/>
  <c r="T25" i="1"/>
  <c r="T187" i="1"/>
  <c r="T179" i="1"/>
  <c r="T171" i="1"/>
  <c r="T163" i="1"/>
  <c r="T155" i="1"/>
  <c r="T147" i="1"/>
  <c r="T139" i="1"/>
  <c r="T131" i="1"/>
  <c r="T123" i="1"/>
  <c r="T115" i="1"/>
  <c r="T107" i="1"/>
  <c r="T99" i="1"/>
  <c r="T91" i="1"/>
  <c r="T83" i="1"/>
  <c r="T75" i="1"/>
  <c r="T67" i="1"/>
  <c r="T59" i="1"/>
  <c r="T51" i="1"/>
  <c r="T43" i="1"/>
  <c r="T35" i="1"/>
  <c r="T27" i="1"/>
  <c r="T19" i="1"/>
  <c r="T11" i="1"/>
  <c r="T177" i="1"/>
  <c r="T137" i="1"/>
  <c r="T113" i="1"/>
  <c r="T97" i="1"/>
  <c r="T81" i="1"/>
  <c r="T65" i="1"/>
  <c r="T41" i="1"/>
  <c r="T17" i="1"/>
  <c r="P15" i="36" l="1"/>
  <c r="X15" i="36" s="1"/>
  <c r="AB15" i="36" s="1"/>
  <c r="N51" i="35"/>
  <c r="H52" i="36"/>
  <c r="R27" i="35"/>
  <c r="Q28" i="35"/>
  <c r="S26" i="35"/>
  <c r="O15" i="35"/>
  <c r="T15" i="35" s="1"/>
  <c r="U15" i="35" s="1"/>
  <c r="J16" i="36" s="1"/>
  <c r="L16" i="36" s="1"/>
  <c r="P16" i="36" s="1"/>
  <c r="X16" i="36" s="1"/>
  <c r="AB16" i="36" s="1"/>
  <c r="C16" i="35"/>
  <c r="H17" i="34" s="1"/>
  <c r="D15" i="35"/>
  <c r="N16" i="25"/>
  <c r="N17" i="1"/>
  <c r="O15" i="25"/>
  <c r="P15" i="25" s="1"/>
  <c r="P17" i="1" s="1"/>
  <c r="C14" i="25"/>
  <c r="H16" i="1" s="1"/>
  <c r="AB47" i="1"/>
  <c r="Z47" i="1"/>
  <c r="AB79" i="1"/>
  <c r="Z79" i="1"/>
  <c r="AB103" i="1"/>
  <c r="Z103" i="1"/>
  <c r="Z143" i="1"/>
  <c r="AB143" i="1"/>
  <c r="Z159" i="1"/>
  <c r="AB159" i="1"/>
  <c r="AB175" i="1"/>
  <c r="Z175" i="1"/>
  <c r="Z16" i="1"/>
  <c r="AB16" i="1"/>
  <c r="AB24" i="1"/>
  <c r="Z24" i="1"/>
  <c r="Z32" i="1"/>
  <c r="AB32" i="1"/>
  <c r="AB40" i="1"/>
  <c r="Z40" i="1"/>
  <c r="Z48" i="1"/>
  <c r="AB48" i="1"/>
  <c r="Z64" i="1"/>
  <c r="AB64" i="1"/>
  <c r="AB72" i="1"/>
  <c r="Z72" i="1"/>
  <c r="Z80" i="1"/>
  <c r="AB80" i="1"/>
  <c r="AB88" i="1"/>
  <c r="Z88" i="1"/>
  <c r="Z96" i="1"/>
  <c r="AB96" i="1"/>
  <c r="AB104" i="1"/>
  <c r="Z104" i="1"/>
  <c r="Z112" i="1"/>
  <c r="AB112" i="1"/>
  <c r="AB120" i="1"/>
  <c r="Z120" i="1"/>
  <c r="Z128" i="1"/>
  <c r="AB128" i="1"/>
  <c r="AB144" i="1"/>
  <c r="Z144" i="1"/>
  <c r="Z152" i="1"/>
  <c r="AB152" i="1"/>
  <c r="AB160" i="1"/>
  <c r="Z160" i="1"/>
  <c r="Z168" i="1"/>
  <c r="AB168" i="1"/>
  <c r="AB176" i="1"/>
  <c r="Z176" i="1"/>
  <c r="Z184" i="1"/>
  <c r="AB184" i="1"/>
  <c r="AB17" i="1"/>
  <c r="Z17" i="1"/>
  <c r="AB25" i="1"/>
  <c r="Z25" i="1"/>
  <c r="AB33" i="1"/>
  <c r="Z33" i="1"/>
  <c r="AB41" i="1"/>
  <c r="Z41" i="1"/>
  <c r="AB49" i="1"/>
  <c r="Z49" i="1"/>
  <c r="AB57" i="1"/>
  <c r="Z57" i="1"/>
  <c r="AB65" i="1"/>
  <c r="Z65" i="1"/>
  <c r="AB73" i="1"/>
  <c r="Z73" i="1"/>
  <c r="AB81" i="1"/>
  <c r="Z81" i="1"/>
  <c r="AB89" i="1"/>
  <c r="Z89" i="1"/>
  <c r="AB97" i="1"/>
  <c r="Z97" i="1"/>
  <c r="AB105" i="1"/>
  <c r="Z105" i="1"/>
  <c r="AB113" i="1"/>
  <c r="Z113" i="1"/>
  <c r="AB121" i="1"/>
  <c r="Z121" i="1"/>
  <c r="AB129" i="1"/>
  <c r="Z129" i="1"/>
  <c r="AB137" i="1"/>
  <c r="Z137" i="1"/>
  <c r="AB145" i="1"/>
  <c r="Z145" i="1"/>
  <c r="AB153" i="1"/>
  <c r="Z153" i="1"/>
  <c r="AB161" i="1"/>
  <c r="Z161" i="1"/>
  <c r="AB169" i="1"/>
  <c r="Z169" i="1"/>
  <c r="AB177" i="1"/>
  <c r="Z177" i="1"/>
  <c r="AB185" i="1"/>
  <c r="Z185" i="1"/>
  <c r="AB15" i="1"/>
  <c r="Z15" i="1"/>
  <c r="AB39" i="1"/>
  <c r="Z39" i="1"/>
  <c r="AB71" i="1"/>
  <c r="Z71" i="1"/>
  <c r="AB127" i="1"/>
  <c r="Z127" i="1"/>
  <c r="AB18" i="1"/>
  <c r="Z18" i="1"/>
  <c r="AB34" i="1"/>
  <c r="Z34" i="1"/>
  <c r="AB58" i="1"/>
  <c r="Z58" i="1"/>
  <c r="AB74" i="1"/>
  <c r="Z74" i="1"/>
  <c r="AB90" i="1"/>
  <c r="Z90" i="1"/>
  <c r="AB106" i="1"/>
  <c r="Z106" i="1"/>
  <c r="AB122" i="1"/>
  <c r="Z122" i="1"/>
  <c r="AB138" i="1"/>
  <c r="Z138" i="1"/>
  <c r="AB154" i="1"/>
  <c r="Z154" i="1"/>
  <c r="AB178" i="1"/>
  <c r="Z178" i="1"/>
  <c r="Z11" i="1"/>
  <c r="AB11" i="1"/>
  <c r="AB35" i="1"/>
  <c r="Z35" i="1"/>
  <c r="AB51" i="1"/>
  <c r="Z51" i="1"/>
  <c r="AB83" i="1"/>
  <c r="Z83" i="1"/>
  <c r="Z107" i="1"/>
  <c r="AB107" i="1"/>
  <c r="Z123" i="1"/>
  <c r="AB123" i="1"/>
  <c r="Z139" i="1"/>
  <c r="AB139" i="1"/>
  <c r="Z155" i="1"/>
  <c r="AB155" i="1"/>
  <c r="Z171" i="1"/>
  <c r="AB171" i="1"/>
  <c r="AB179" i="1"/>
  <c r="Z179" i="1"/>
  <c r="Z12" i="1"/>
  <c r="AB12" i="1"/>
  <c r="Z28" i="1"/>
  <c r="AB28" i="1"/>
  <c r="Z36" i="1"/>
  <c r="AB36" i="1"/>
  <c r="AB44" i="1"/>
  <c r="Z44" i="1"/>
  <c r="Z52" i="1"/>
  <c r="AB52" i="1"/>
  <c r="AB60" i="1"/>
  <c r="Z60" i="1"/>
  <c r="Z68" i="1"/>
  <c r="AB68" i="1"/>
  <c r="AB76" i="1"/>
  <c r="Z76" i="1"/>
  <c r="Z84" i="1"/>
  <c r="AB84" i="1"/>
  <c r="AB92" i="1"/>
  <c r="Z92" i="1"/>
  <c r="Z100" i="1"/>
  <c r="AB100" i="1"/>
  <c r="AB108" i="1"/>
  <c r="Z108" i="1"/>
  <c r="Z116" i="1"/>
  <c r="AB116" i="1"/>
  <c r="Z124" i="1"/>
  <c r="AB124" i="1"/>
  <c r="AB132" i="1"/>
  <c r="Z132" i="1"/>
  <c r="Z140" i="1"/>
  <c r="AB140" i="1"/>
  <c r="AB148" i="1"/>
  <c r="Z148" i="1"/>
  <c r="Z156" i="1"/>
  <c r="AB156" i="1"/>
  <c r="AB164" i="1"/>
  <c r="Z164" i="1"/>
  <c r="Z172" i="1"/>
  <c r="AB172" i="1"/>
  <c r="Z180" i="1"/>
  <c r="AB180" i="1"/>
  <c r="AB188" i="1"/>
  <c r="Z188" i="1"/>
  <c r="AB31" i="1"/>
  <c r="Z31" i="1"/>
  <c r="AB63" i="1"/>
  <c r="Z63" i="1"/>
  <c r="Z119" i="1"/>
  <c r="AB119" i="1"/>
  <c r="AB10" i="1"/>
  <c r="Z10" i="1"/>
  <c r="AB26" i="1"/>
  <c r="Z26" i="1"/>
  <c r="AB42" i="1"/>
  <c r="Z42" i="1"/>
  <c r="AB50" i="1"/>
  <c r="Z50" i="1"/>
  <c r="AB66" i="1"/>
  <c r="Z66" i="1"/>
  <c r="AB82" i="1"/>
  <c r="Z82" i="1"/>
  <c r="AB98" i="1"/>
  <c r="Z98" i="1"/>
  <c r="AB114" i="1"/>
  <c r="Z114" i="1"/>
  <c r="AB130" i="1"/>
  <c r="Z130" i="1"/>
  <c r="AB146" i="1"/>
  <c r="Z146" i="1"/>
  <c r="AB162" i="1"/>
  <c r="Z162" i="1"/>
  <c r="AB170" i="1"/>
  <c r="Z170" i="1"/>
  <c r="AB186" i="1"/>
  <c r="Z186" i="1"/>
  <c r="AB19" i="1"/>
  <c r="Z19" i="1"/>
  <c r="Z27" i="1"/>
  <c r="AB27" i="1"/>
  <c r="Z43" i="1"/>
  <c r="AB43" i="1"/>
  <c r="Z59" i="1"/>
  <c r="AB59" i="1"/>
  <c r="AB67" i="1"/>
  <c r="Z67" i="1"/>
  <c r="Z75" i="1"/>
  <c r="AB75" i="1"/>
  <c r="Z91" i="1"/>
  <c r="AB91" i="1"/>
  <c r="AB99" i="1"/>
  <c r="Z99" i="1"/>
  <c r="AB115" i="1"/>
  <c r="Z115" i="1"/>
  <c r="AB131" i="1"/>
  <c r="Z131" i="1"/>
  <c r="AB147" i="1"/>
  <c r="Z147" i="1"/>
  <c r="AB163" i="1"/>
  <c r="Z163" i="1"/>
  <c r="Z187" i="1"/>
  <c r="AB187" i="1"/>
  <c r="AB20" i="1"/>
  <c r="Z20" i="1"/>
  <c r="Z13" i="1"/>
  <c r="AB13" i="1"/>
  <c r="Z21" i="1"/>
  <c r="AB21" i="1"/>
  <c r="Z29" i="1"/>
  <c r="AB29" i="1"/>
  <c r="Z37" i="1"/>
  <c r="AB37" i="1"/>
  <c r="Z45" i="1"/>
  <c r="AB45" i="1"/>
  <c r="Z53" i="1"/>
  <c r="AB53" i="1"/>
  <c r="Z61" i="1"/>
  <c r="AB61" i="1"/>
  <c r="Z69" i="1"/>
  <c r="AB69" i="1"/>
  <c r="Z77" i="1"/>
  <c r="AB77" i="1"/>
  <c r="Z85" i="1"/>
  <c r="AB85" i="1"/>
  <c r="Z93" i="1"/>
  <c r="AB93" i="1"/>
  <c r="Z101" i="1"/>
  <c r="AB101" i="1"/>
  <c r="Z109" i="1"/>
  <c r="AB109" i="1"/>
  <c r="Z117" i="1"/>
  <c r="AB117" i="1"/>
  <c r="Z125" i="1"/>
  <c r="AB125" i="1"/>
  <c r="Z133" i="1"/>
  <c r="AB133" i="1"/>
  <c r="Z141" i="1"/>
  <c r="AB141" i="1"/>
  <c r="Z149" i="1"/>
  <c r="AB149" i="1"/>
  <c r="Z157" i="1"/>
  <c r="AB157" i="1"/>
  <c r="Z165" i="1"/>
  <c r="AB165" i="1"/>
  <c r="Z173" i="1"/>
  <c r="AB173" i="1"/>
  <c r="Z181" i="1"/>
  <c r="AB181" i="1"/>
  <c r="Z14" i="1"/>
  <c r="AB14" i="1"/>
  <c r="Z22" i="1"/>
  <c r="AB22" i="1"/>
  <c r="Z30" i="1"/>
  <c r="AB30" i="1"/>
  <c r="Z38" i="1"/>
  <c r="AB38" i="1"/>
  <c r="Z46" i="1"/>
  <c r="AB46" i="1"/>
  <c r="Z54" i="1"/>
  <c r="AB54" i="1"/>
  <c r="Z62" i="1"/>
  <c r="AB62" i="1"/>
  <c r="Z70" i="1"/>
  <c r="AB70" i="1"/>
  <c r="Z78" i="1"/>
  <c r="AB78" i="1"/>
  <c r="Z86" i="1"/>
  <c r="AB86" i="1"/>
  <c r="Z94" i="1"/>
  <c r="AB94" i="1"/>
  <c r="Z102" i="1"/>
  <c r="AB102" i="1"/>
  <c r="Z110" i="1"/>
  <c r="AB110" i="1"/>
  <c r="Z118" i="1"/>
  <c r="AB118" i="1"/>
  <c r="Z126" i="1"/>
  <c r="AB126" i="1"/>
  <c r="Z134" i="1"/>
  <c r="AB134" i="1"/>
  <c r="Z142" i="1"/>
  <c r="AB142" i="1"/>
  <c r="Z150" i="1"/>
  <c r="AB150" i="1"/>
  <c r="Z158" i="1"/>
  <c r="AB158" i="1"/>
  <c r="Z166" i="1"/>
  <c r="AB166" i="1"/>
  <c r="Z174" i="1"/>
  <c r="AB174" i="1"/>
  <c r="Z182" i="1"/>
  <c r="AB182" i="1"/>
  <c r="AB87" i="1"/>
  <c r="Z87" i="1"/>
  <c r="AB23" i="1"/>
  <c r="Z23" i="1"/>
  <c r="AB55" i="1"/>
  <c r="Z55" i="1"/>
  <c r="AB95" i="1"/>
  <c r="Z95" i="1"/>
  <c r="AB111" i="1"/>
  <c r="Z111" i="1"/>
  <c r="AB135" i="1"/>
  <c r="Z135" i="1"/>
  <c r="AB151" i="1"/>
  <c r="Z151" i="1"/>
  <c r="Z167" i="1"/>
  <c r="AB167" i="1"/>
  <c r="Z183" i="1"/>
  <c r="AB183" i="1"/>
  <c r="AB56" i="1"/>
  <c r="Z56" i="1"/>
  <c r="AB136" i="1"/>
  <c r="Z136" i="1"/>
  <c r="E186" i="25"/>
  <c r="E185" i="25"/>
  <c r="E184" i="25"/>
  <c r="E183" i="25"/>
  <c r="E182" i="25"/>
  <c r="E181" i="25"/>
  <c r="E180" i="25"/>
  <c r="E179" i="25"/>
  <c r="E178" i="25"/>
  <c r="E177" i="25"/>
  <c r="E176" i="25"/>
  <c r="E175" i="25"/>
  <c r="E174" i="25"/>
  <c r="E173" i="25"/>
  <c r="E172" i="25"/>
  <c r="E171" i="25"/>
  <c r="E170" i="25"/>
  <c r="E169" i="25"/>
  <c r="E168" i="25"/>
  <c r="E167" i="25"/>
  <c r="E166" i="25"/>
  <c r="E165" i="25"/>
  <c r="E164" i="25"/>
  <c r="E163" i="25"/>
  <c r="E162" i="25"/>
  <c r="E161" i="25"/>
  <c r="E160" i="25"/>
  <c r="E159" i="25"/>
  <c r="E158" i="25"/>
  <c r="E157" i="25"/>
  <c r="E156" i="25"/>
  <c r="E155" i="25"/>
  <c r="E154" i="25"/>
  <c r="E153" i="25"/>
  <c r="E152" i="25"/>
  <c r="E151" i="25"/>
  <c r="E150" i="25"/>
  <c r="E149" i="25"/>
  <c r="E148" i="25"/>
  <c r="E147" i="25"/>
  <c r="E146" i="25"/>
  <c r="E145" i="25"/>
  <c r="E144" i="25"/>
  <c r="E143" i="25"/>
  <c r="E142" i="25"/>
  <c r="E141" i="25"/>
  <c r="E140" i="25"/>
  <c r="E139" i="25"/>
  <c r="E138" i="25"/>
  <c r="E137" i="25"/>
  <c r="E136" i="25"/>
  <c r="E135" i="25"/>
  <c r="E134" i="25"/>
  <c r="E133" i="25"/>
  <c r="E132" i="25"/>
  <c r="E131" i="25"/>
  <c r="E130" i="25"/>
  <c r="E129" i="25"/>
  <c r="E128" i="25"/>
  <c r="E127" i="25"/>
  <c r="E126" i="25"/>
  <c r="E125" i="25"/>
  <c r="E124" i="25"/>
  <c r="E123" i="25"/>
  <c r="E122" i="25"/>
  <c r="E121" i="25"/>
  <c r="E120" i="25"/>
  <c r="E119" i="25"/>
  <c r="E118" i="25"/>
  <c r="E117" i="25"/>
  <c r="E116" i="25"/>
  <c r="E115" i="25"/>
  <c r="E114" i="25"/>
  <c r="E113" i="25"/>
  <c r="E112" i="25"/>
  <c r="E111" i="25"/>
  <c r="E110" i="25"/>
  <c r="E109" i="25"/>
  <c r="E108" i="25"/>
  <c r="E107" i="25"/>
  <c r="E106" i="25"/>
  <c r="E105" i="25"/>
  <c r="E104" i="25"/>
  <c r="E103" i="25"/>
  <c r="E102" i="25"/>
  <c r="E101" i="25"/>
  <c r="E100" i="25"/>
  <c r="E99" i="25"/>
  <c r="E98" i="25"/>
  <c r="E97" i="25"/>
  <c r="E96" i="25"/>
  <c r="E95" i="25"/>
  <c r="E94" i="25"/>
  <c r="E93" i="25"/>
  <c r="E92" i="25"/>
  <c r="E91" i="25"/>
  <c r="E90" i="25"/>
  <c r="E89" i="25"/>
  <c r="E88" i="25"/>
  <c r="E87" i="25"/>
  <c r="E86" i="25"/>
  <c r="E85" i="25"/>
  <c r="E84" i="25"/>
  <c r="E83" i="25"/>
  <c r="E82" i="25"/>
  <c r="E81" i="25"/>
  <c r="E80" i="25"/>
  <c r="E79" i="25"/>
  <c r="E78" i="25"/>
  <c r="E77" i="25"/>
  <c r="E76" i="25"/>
  <c r="E75" i="25"/>
  <c r="E74" i="25"/>
  <c r="E73" i="25"/>
  <c r="E72" i="25"/>
  <c r="E71" i="25"/>
  <c r="E70" i="25"/>
  <c r="E69" i="25"/>
  <c r="E68" i="25"/>
  <c r="E67" i="25"/>
  <c r="E66" i="25"/>
  <c r="E65" i="25"/>
  <c r="E64" i="25"/>
  <c r="E63" i="25"/>
  <c r="E62" i="25"/>
  <c r="E61" i="25"/>
  <c r="E60" i="25"/>
  <c r="E59" i="25"/>
  <c r="E58" i="25"/>
  <c r="E57" i="25"/>
  <c r="E56" i="25"/>
  <c r="E55" i="25"/>
  <c r="E54" i="25"/>
  <c r="E53" i="25"/>
  <c r="E52" i="25"/>
  <c r="E51" i="25"/>
  <c r="E50" i="25"/>
  <c r="E49" i="25"/>
  <c r="E48" i="25"/>
  <c r="E47" i="25"/>
  <c r="E46" i="25"/>
  <c r="E45" i="25"/>
  <c r="E44" i="25"/>
  <c r="E43" i="25"/>
  <c r="E42" i="25"/>
  <c r="E41" i="25"/>
  <c r="E40" i="25"/>
  <c r="E39" i="25"/>
  <c r="E38" i="25"/>
  <c r="E37" i="25"/>
  <c r="E36" i="25"/>
  <c r="E35" i="25"/>
  <c r="E34" i="25"/>
  <c r="E33" i="25"/>
  <c r="E32" i="25"/>
  <c r="E31" i="25"/>
  <c r="E30" i="25"/>
  <c r="E29" i="25"/>
  <c r="E28" i="25"/>
  <c r="E27" i="25"/>
  <c r="E26" i="25"/>
  <c r="E25" i="25"/>
  <c r="E24" i="25"/>
  <c r="E23" i="25"/>
  <c r="E22" i="25"/>
  <c r="E21" i="25"/>
  <c r="E20" i="25"/>
  <c r="E19" i="25"/>
  <c r="E18" i="25"/>
  <c r="F18" i="25" s="1"/>
  <c r="E17" i="25"/>
  <c r="F17" i="25" s="1"/>
  <c r="E16" i="25"/>
  <c r="F16" i="25" s="1"/>
  <c r="E15" i="25"/>
  <c r="F15" i="25" s="1"/>
  <c r="E14" i="25"/>
  <c r="F14" i="25" s="1"/>
  <c r="E13" i="25"/>
  <c r="F13" i="25" s="1"/>
  <c r="E12" i="25"/>
  <c r="F12" i="25" s="1"/>
  <c r="E11" i="25"/>
  <c r="F11" i="25" s="1"/>
  <c r="E10" i="25"/>
  <c r="F10" i="25" s="1"/>
  <c r="E9" i="25"/>
  <c r="F9" i="25" s="1"/>
  <c r="E8" i="25"/>
  <c r="F8" i="25" s="1"/>
  <c r="E7" i="25"/>
  <c r="F7" i="25" s="1"/>
  <c r="N52" i="35" l="1"/>
  <c r="H53" i="36"/>
  <c r="O16" i="35"/>
  <c r="T16" i="35" s="1"/>
  <c r="U16" i="35" s="1"/>
  <c r="J17" i="36" s="1"/>
  <c r="L17" i="36" s="1"/>
  <c r="P17" i="36" s="1"/>
  <c r="X17" i="36" s="1"/>
  <c r="AB17" i="36" s="1"/>
  <c r="R28" i="35"/>
  <c r="Q29" i="35"/>
  <c r="S27" i="35"/>
  <c r="D16" i="35"/>
  <c r="C17" i="35"/>
  <c r="H18" i="34" s="1"/>
  <c r="N17" i="25"/>
  <c r="N18" i="1"/>
  <c r="O16" i="25"/>
  <c r="P16" i="25" s="1"/>
  <c r="P18" i="1" s="1"/>
  <c r="F19" i="25"/>
  <c r="G19" i="25" s="1"/>
  <c r="C15" i="25"/>
  <c r="H17" i="1" s="1"/>
  <c r="D7" i="25"/>
  <c r="N53" i="35" l="1"/>
  <c r="H54" i="36"/>
  <c r="O17" i="35"/>
  <c r="T17" i="35" s="1"/>
  <c r="U17" i="35" s="1"/>
  <c r="J18" i="36" s="1"/>
  <c r="L18" i="36" s="1"/>
  <c r="P18" i="36" s="1"/>
  <c r="X18" i="36" s="1"/>
  <c r="AB18" i="36" s="1"/>
  <c r="R29" i="35"/>
  <c r="Q30" i="35"/>
  <c r="S28" i="35"/>
  <c r="C18" i="35"/>
  <c r="H19" i="34" s="1"/>
  <c r="D17" i="35"/>
  <c r="N18" i="25"/>
  <c r="N19" i="1"/>
  <c r="O17" i="25"/>
  <c r="P17" i="25" s="1"/>
  <c r="P19" i="1" s="1"/>
  <c r="C16" i="25"/>
  <c r="H18" i="1" s="1"/>
  <c r="F20" i="25"/>
  <c r="F21" i="25" s="1"/>
  <c r="F22" i="25" s="1"/>
  <c r="F23" i="25" s="1"/>
  <c r="F24" i="25" s="1"/>
  <c r="F25" i="25" s="1"/>
  <c r="F26" i="25" s="1"/>
  <c r="F27" i="25" s="1"/>
  <c r="F28" i="25" s="1"/>
  <c r="F29" i="25" s="1"/>
  <c r="F30" i="25" s="1"/>
  <c r="F31" i="25" s="1"/>
  <c r="F32" i="25" s="1"/>
  <c r="F33" i="25" s="1"/>
  <c r="F34" i="25" s="1"/>
  <c r="F35" i="25" s="1"/>
  <c r="F36" i="25" s="1"/>
  <c r="F37" i="25" s="1"/>
  <c r="F38" i="25" s="1"/>
  <c r="F39" i="25" s="1"/>
  <c r="F40" i="25" s="1"/>
  <c r="F41" i="25" s="1"/>
  <c r="F42" i="25" s="1"/>
  <c r="F43" i="25" s="1"/>
  <c r="F44" i="25" s="1"/>
  <c r="F45" i="25" s="1"/>
  <c r="F46" i="25" s="1"/>
  <c r="F47" i="25" s="1"/>
  <c r="F48" i="25" s="1"/>
  <c r="F49" i="25" s="1"/>
  <c r="F50" i="25" s="1"/>
  <c r="F51" i="25" s="1"/>
  <c r="F52" i="25" s="1"/>
  <c r="F53" i="25" s="1"/>
  <c r="F54" i="25" s="1"/>
  <c r="F55" i="25" s="1"/>
  <c r="F56" i="25" s="1"/>
  <c r="F57" i="25" s="1"/>
  <c r="F58" i="25" s="1"/>
  <c r="F59" i="25" s="1"/>
  <c r="F60" i="25" s="1"/>
  <c r="F61" i="25" s="1"/>
  <c r="F62" i="25" s="1"/>
  <c r="F63" i="25" s="1"/>
  <c r="F64" i="25" s="1"/>
  <c r="F65" i="25" s="1"/>
  <c r="F66" i="25" s="1"/>
  <c r="F67" i="25" s="1"/>
  <c r="F68" i="25" s="1"/>
  <c r="F69" i="25" s="1"/>
  <c r="F70" i="25" s="1"/>
  <c r="F71" i="25" s="1"/>
  <c r="F72" i="25" s="1"/>
  <c r="F73" i="25" s="1"/>
  <c r="F74" i="25" s="1"/>
  <c r="F75" i="25" s="1"/>
  <c r="F76" i="25" s="1"/>
  <c r="F77" i="25" s="1"/>
  <c r="F78" i="25" s="1"/>
  <c r="F79" i="25" s="1"/>
  <c r="F80" i="25" s="1"/>
  <c r="F81" i="25" s="1"/>
  <c r="F82" i="25" s="1"/>
  <c r="F83" i="25" s="1"/>
  <c r="F84" i="25" s="1"/>
  <c r="F85" i="25" s="1"/>
  <c r="F86" i="25" s="1"/>
  <c r="F87" i="25" s="1"/>
  <c r="F88" i="25" s="1"/>
  <c r="F89" i="25" s="1"/>
  <c r="F90" i="25" s="1"/>
  <c r="F91" i="25" s="1"/>
  <c r="F92" i="25" s="1"/>
  <c r="F93" i="25" s="1"/>
  <c r="F94" i="25" s="1"/>
  <c r="F95" i="25" s="1"/>
  <c r="F96" i="25" s="1"/>
  <c r="F97" i="25" s="1"/>
  <c r="F98" i="25" s="1"/>
  <c r="F99" i="25" s="1"/>
  <c r="F100" i="25" s="1"/>
  <c r="F101" i="25" s="1"/>
  <c r="F102" i="25" s="1"/>
  <c r="F103" i="25" s="1"/>
  <c r="F104" i="25" s="1"/>
  <c r="F105" i="25" s="1"/>
  <c r="F106" i="25" s="1"/>
  <c r="F107" i="25" s="1"/>
  <c r="F108" i="25" s="1"/>
  <c r="F109" i="25" s="1"/>
  <c r="F110" i="25" s="1"/>
  <c r="F111" i="25" s="1"/>
  <c r="F112" i="25" s="1"/>
  <c r="F113" i="25" s="1"/>
  <c r="F114" i="25" s="1"/>
  <c r="F115" i="25" s="1"/>
  <c r="F116" i="25" s="1"/>
  <c r="F117" i="25" s="1"/>
  <c r="F118" i="25" s="1"/>
  <c r="F119" i="25" s="1"/>
  <c r="F120" i="25" s="1"/>
  <c r="F121" i="25" s="1"/>
  <c r="F122" i="25" s="1"/>
  <c r="F123" i="25" s="1"/>
  <c r="F124" i="25" s="1"/>
  <c r="F125" i="25" s="1"/>
  <c r="F126" i="25" s="1"/>
  <c r="F127" i="25" s="1"/>
  <c r="F128" i="25" s="1"/>
  <c r="F129" i="25" s="1"/>
  <c r="F130" i="25" s="1"/>
  <c r="F131" i="25" s="1"/>
  <c r="F132" i="25" s="1"/>
  <c r="F133" i="25" s="1"/>
  <c r="F134" i="25" s="1"/>
  <c r="F135" i="25" s="1"/>
  <c r="F136" i="25" s="1"/>
  <c r="F137" i="25" s="1"/>
  <c r="F138" i="25" s="1"/>
  <c r="F139" i="25" s="1"/>
  <c r="F140" i="25" s="1"/>
  <c r="F141" i="25" s="1"/>
  <c r="F142" i="25" s="1"/>
  <c r="F143" i="25" s="1"/>
  <c r="F144" i="25" s="1"/>
  <c r="F145" i="25" s="1"/>
  <c r="F146" i="25" s="1"/>
  <c r="F147" i="25" s="1"/>
  <c r="F148" i="25" s="1"/>
  <c r="F149" i="25" s="1"/>
  <c r="F150" i="25" s="1"/>
  <c r="F151" i="25" s="1"/>
  <c r="F152" i="25" s="1"/>
  <c r="F153" i="25" s="1"/>
  <c r="F154" i="25" s="1"/>
  <c r="F155" i="25" s="1"/>
  <c r="F156" i="25" s="1"/>
  <c r="F157" i="25" s="1"/>
  <c r="F158" i="25" s="1"/>
  <c r="F159" i="25" s="1"/>
  <c r="F160" i="25" s="1"/>
  <c r="F161" i="25" s="1"/>
  <c r="F162" i="25" s="1"/>
  <c r="F163" i="25" s="1"/>
  <c r="F164" i="25" s="1"/>
  <c r="F165" i="25" s="1"/>
  <c r="F166" i="25" s="1"/>
  <c r="F167" i="25" s="1"/>
  <c r="F168" i="25" s="1"/>
  <c r="F169" i="25" s="1"/>
  <c r="F170" i="25" s="1"/>
  <c r="F171" i="25" s="1"/>
  <c r="F172" i="25" s="1"/>
  <c r="F173" i="25" s="1"/>
  <c r="F174" i="25" s="1"/>
  <c r="F175" i="25" s="1"/>
  <c r="F176" i="25" s="1"/>
  <c r="F177" i="25" s="1"/>
  <c r="F178" i="25" s="1"/>
  <c r="F179" i="25" s="1"/>
  <c r="F180" i="25" s="1"/>
  <c r="F181" i="25" s="1"/>
  <c r="F182" i="25" s="1"/>
  <c r="F183" i="25" s="1"/>
  <c r="F184" i="25" s="1"/>
  <c r="F185" i="25" s="1"/>
  <c r="F186" i="25" s="1"/>
  <c r="D8" i="25"/>
  <c r="N54" i="35" l="1"/>
  <c r="H55" i="36"/>
  <c r="O18" i="35"/>
  <c r="T18" i="35" s="1"/>
  <c r="U18" i="35" s="1"/>
  <c r="J19" i="36" s="1"/>
  <c r="L19" i="36" s="1"/>
  <c r="P19" i="36" s="1"/>
  <c r="X19" i="36" s="1"/>
  <c r="AB19" i="36" s="1"/>
  <c r="R30" i="35"/>
  <c r="Q31" i="35"/>
  <c r="S29" i="35"/>
  <c r="C19" i="35"/>
  <c r="H20" i="34" s="1"/>
  <c r="D18" i="35"/>
  <c r="N19" i="25"/>
  <c r="N20" i="1"/>
  <c r="O18" i="25"/>
  <c r="P18" i="25" s="1"/>
  <c r="P20" i="1" s="1"/>
  <c r="C17" i="25"/>
  <c r="H19" i="1" s="1"/>
  <c r="D9" i="25"/>
  <c r="N55" i="35" l="1"/>
  <c r="H56" i="36"/>
  <c r="O19" i="35"/>
  <c r="T19" i="35" s="1"/>
  <c r="U19" i="35" s="1"/>
  <c r="J20" i="36" s="1"/>
  <c r="L20" i="36" s="1"/>
  <c r="P20" i="36" s="1"/>
  <c r="X20" i="36" s="1"/>
  <c r="AB20" i="36" s="1"/>
  <c r="R31" i="35"/>
  <c r="Q32" i="35"/>
  <c r="S30" i="35"/>
  <c r="D19" i="35"/>
  <c r="C20" i="35"/>
  <c r="H21" i="34" s="1"/>
  <c r="N20" i="25"/>
  <c r="N21" i="1"/>
  <c r="O19" i="25"/>
  <c r="P19" i="25" s="1"/>
  <c r="P21" i="1" s="1"/>
  <c r="C18" i="25"/>
  <c r="H20" i="1" s="1"/>
  <c r="D10" i="25"/>
  <c r="N56" i="35" l="1"/>
  <c r="H57" i="36"/>
  <c r="R32" i="35"/>
  <c r="Q33" i="35"/>
  <c r="S31" i="35"/>
  <c r="O20" i="35"/>
  <c r="T20" i="35" s="1"/>
  <c r="U20" i="35" s="1"/>
  <c r="J21" i="36" s="1"/>
  <c r="L21" i="36" s="1"/>
  <c r="P21" i="36" s="1"/>
  <c r="X21" i="36" s="1"/>
  <c r="AB21" i="36" s="1"/>
  <c r="D20" i="35"/>
  <c r="C21" i="35"/>
  <c r="H22" i="34" s="1"/>
  <c r="N21" i="25"/>
  <c r="N22" i="1"/>
  <c r="O20" i="25"/>
  <c r="P20" i="25" s="1"/>
  <c r="P22" i="1" s="1"/>
  <c r="C19" i="25"/>
  <c r="H21" i="1" s="1"/>
  <c r="D11" i="25"/>
  <c r="N57" i="35" l="1"/>
  <c r="H58" i="36"/>
  <c r="O21" i="35"/>
  <c r="T21" i="35" s="1"/>
  <c r="U21" i="35" s="1"/>
  <c r="J22" i="36" s="1"/>
  <c r="L22" i="36" s="1"/>
  <c r="P22" i="36" s="1"/>
  <c r="X22" i="36" s="1"/>
  <c r="AB22" i="36" s="1"/>
  <c r="R33" i="35"/>
  <c r="Q34" i="35"/>
  <c r="S32" i="35"/>
  <c r="D21" i="35"/>
  <c r="C22" i="35"/>
  <c r="H23" i="34" s="1"/>
  <c r="N22" i="25"/>
  <c r="N23" i="1"/>
  <c r="O21" i="25"/>
  <c r="P21" i="25" s="1"/>
  <c r="P23" i="1" s="1"/>
  <c r="C20" i="25"/>
  <c r="H22" i="1" s="1"/>
  <c r="D12" i="25"/>
  <c r="N58" i="35" l="1"/>
  <c r="H59" i="36"/>
  <c r="S33" i="35"/>
  <c r="R34" i="35"/>
  <c r="Q35" i="35"/>
  <c r="O22" i="35"/>
  <c r="T22" i="35" s="1"/>
  <c r="U22" i="35" s="1"/>
  <c r="J23" i="36" s="1"/>
  <c r="L23" i="36" s="1"/>
  <c r="P23" i="36" s="1"/>
  <c r="X23" i="36" s="1"/>
  <c r="AB23" i="36" s="1"/>
  <c r="D22" i="35"/>
  <c r="C23" i="35"/>
  <c r="N23" i="25"/>
  <c r="N24" i="1"/>
  <c r="O22" i="25"/>
  <c r="P22" i="25" s="1"/>
  <c r="P24" i="1" s="1"/>
  <c r="C21" i="25"/>
  <c r="H23" i="1" s="1"/>
  <c r="D13" i="25"/>
  <c r="N59" i="35" l="1"/>
  <c r="H60" i="36"/>
  <c r="C24" i="35"/>
  <c r="H26" i="34" s="1"/>
  <c r="H24" i="34"/>
  <c r="S34" i="35"/>
  <c r="O23" i="35"/>
  <c r="T23" i="35" s="1"/>
  <c r="U23" i="35" s="1"/>
  <c r="J24" i="36" s="1"/>
  <c r="P24" i="36" s="1"/>
  <c r="X24" i="36" s="1"/>
  <c r="AB24" i="36" s="1"/>
  <c r="R35" i="35"/>
  <c r="Q36" i="35"/>
  <c r="D23" i="35"/>
  <c r="N24" i="25"/>
  <c r="N25" i="1"/>
  <c r="O23" i="25"/>
  <c r="P23" i="25" s="1"/>
  <c r="P25" i="1" s="1"/>
  <c r="C22" i="25"/>
  <c r="H24" i="1" s="1"/>
  <c r="D14" i="25"/>
  <c r="D24" i="35" l="1"/>
  <c r="C25" i="35"/>
  <c r="H27" i="34" s="1"/>
  <c r="N60" i="35"/>
  <c r="H61" i="36"/>
  <c r="O24" i="35"/>
  <c r="T24" i="35" s="1"/>
  <c r="U24" i="35" s="1"/>
  <c r="J26" i="36" s="1"/>
  <c r="R36" i="35"/>
  <c r="Q37" i="35"/>
  <c r="S35" i="35"/>
  <c r="N25" i="25"/>
  <c r="N26" i="1"/>
  <c r="O24" i="25"/>
  <c r="P24" i="25" s="1"/>
  <c r="P26" i="1" s="1"/>
  <c r="C23" i="25"/>
  <c r="H25" i="1" s="1"/>
  <c r="D15" i="25"/>
  <c r="C26" i="35" l="1"/>
  <c r="H28" i="34" s="1"/>
  <c r="N61" i="35"/>
  <c r="H62" i="36"/>
  <c r="O25" i="35"/>
  <c r="T25" i="35" s="1"/>
  <c r="U25" i="35" s="1"/>
  <c r="J27" i="36" s="1"/>
  <c r="R37" i="35"/>
  <c r="Q38" i="35"/>
  <c r="S36" i="35"/>
  <c r="D25" i="35"/>
  <c r="N26" i="25"/>
  <c r="N27" i="1"/>
  <c r="O25" i="25"/>
  <c r="P25" i="25" s="1"/>
  <c r="P27" i="1" s="1"/>
  <c r="C24" i="25"/>
  <c r="H26" i="1" s="1"/>
  <c r="D16" i="25"/>
  <c r="G7" i="25"/>
  <c r="C27" i="35" l="1"/>
  <c r="H29" i="34" s="1"/>
  <c r="N62" i="35"/>
  <c r="H63" i="36"/>
  <c r="O26" i="35"/>
  <c r="T26" i="35" s="1"/>
  <c r="U26" i="35" s="1"/>
  <c r="J28" i="36" s="1"/>
  <c r="R38" i="35"/>
  <c r="Q39" i="35"/>
  <c r="S37" i="35"/>
  <c r="D26" i="35"/>
  <c r="N27" i="25"/>
  <c r="N28" i="1"/>
  <c r="O26" i="25"/>
  <c r="P26" i="25" s="1"/>
  <c r="P28" i="1" s="1"/>
  <c r="C25" i="25"/>
  <c r="H27" i="1" s="1"/>
  <c r="D17" i="25"/>
  <c r="I7" i="25"/>
  <c r="J7" i="25" s="1"/>
  <c r="J9" i="1" s="1"/>
  <c r="H7" i="25"/>
  <c r="G8" i="25"/>
  <c r="C28" i="35" l="1"/>
  <c r="H30" i="34" s="1"/>
  <c r="N63" i="35"/>
  <c r="H64" i="36"/>
  <c r="O27" i="35"/>
  <c r="T27" i="35" s="1"/>
  <c r="U27" i="35" s="1"/>
  <c r="J29" i="36" s="1"/>
  <c r="R39" i="35"/>
  <c r="Q40" i="35"/>
  <c r="S38" i="35"/>
  <c r="D27" i="35"/>
  <c r="N28" i="25"/>
  <c r="N29" i="1"/>
  <c r="O27" i="25"/>
  <c r="P27" i="25" s="1"/>
  <c r="P29" i="1" s="1"/>
  <c r="C26" i="25"/>
  <c r="H28" i="1" s="1"/>
  <c r="D18" i="25"/>
  <c r="G9" i="25"/>
  <c r="H8" i="25"/>
  <c r="I8" i="25"/>
  <c r="J8" i="25" s="1"/>
  <c r="J10" i="1" s="1"/>
  <c r="C29" i="35" l="1"/>
  <c r="H31" i="34" s="1"/>
  <c r="N64" i="35"/>
  <c r="H65" i="36"/>
  <c r="R40" i="35"/>
  <c r="Q41" i="35"/>
  <c r="S39" i="35"/>
  <c r="O28" i="35"/>
  <c r="T28" i="35" s="1"/>
  <c r="U28" i="35" s="1"/>
  <c r="J30" i="36" s="1"/>
  <c r="D28" i="35"/>
  <c r="N29" i="25"/>
  <c r="N30" i="1"/>
  <c r="O28" i="25"/>
  <c r="P28" i="25" s="1"/>
  <c r="P30" i="1" s="1"/>
  <c r="C27" i="25"/>
  <c r="H29" i="1" s="1"/>
  <c r="R9" i="1"/>
  <c r="V9" i="1" s="1"/>
  <c r="AF9" i="1" s="1"/>
  <c r="D19" i="25"/>
  <c r="H9" i="25"/>
  <c r="I9" i="25"/>
  <c r="J9" i="25" s="1"/>
  <c r="J11" i="1" s="1"/>
  <c r="G10" i="25"/>
  <c r="C30" i="35" l="1"/>
  <c r="H32" i="34" s="1"/>
  <c r="N65" i="35"/>
  <c r="H66" i="36"/>
  <c r="O29" i="35"/>
  <c r="T29" i="35" s="1"/>
  <c r="U29" i="35" s="1"/>
  <c r="J31" i="36" s="1"/>
  <c r="R41" i="35"/>
  <c r="Q42" i="35"/>
  <c r="S40" i="35"/>
  <c r="D29" i="35"/>
  <c r="N30" i="25"/>
  <c r="N31" i="1"/>
  <c r="O29" i="25"/>
  <c r="P29" i="25" s="1"/>
  <c r="P31" i="1" s="1"/>
  <c r="C28" i="25"/>
  <c r="H30" i="1" s="1"/>
  <c r="R10" i="1"/>
  <c r="V10" i="1" s="1"/>
  <c r="AF10" i="1" s="1"/>
  <c r="D20" i="25"/>
  <c r="I10" i="25"/>
  <c r="J10" i="25" s="1"/>
  <c r="J12" i="1" s="1"/>
  <c r="H10" i="25"/>
  <c r="G11" i="25"/>
  <c r="C31" i="35" l="1"/>
  <c r="H33" i="34" s="1"/>
  <c r="N66" i="35"/>
  <c r="H67" i="36"/>
  <c r="O30" i="35"/>
  <c r="T30" i="35" s="1"/>
  <c r="U30" i="35" s="1"/>
  <c r="J32" i="36" s="1"/>
  <c r="R42" i="35"/>
  <c r="Q43" i="35"/>
  <c r="S41" i="35"/>
  <c r="D30" i="35"/>
  <c r="N31" i="25"/>
  <c r="N32" i="1"/>
  <c r="O30" i="25"/>
  <c r="P30" i="25" s="1"/>
  <c r="P32" i="1" s="1"/>
  <c r="C29" i="25"/>
  <c r="H31" i="1" s="1"/>
  <c r="R11" i="1"/>
  <c r="V11" i="1" s="1"/>
  <c r="AF11" i="1" s="1"/>
  <c r="D21" i="25"/>
  <c r="G12" i="25"/>
  <c r="I11" i="25"/>
  <c r="J11" i="25" s="1"/>
  <c r="J13" i="1" s="1"/>
  <c r="H11" i="25"/>
  <c r="C32" i="35" l="1"/>
  <c r="H34" i="34" s="1"/>
  <c r="N67" i="35"/>
  <c r="H68" i="36"/>
  <c r="S42" i="35"/>
  <c r="O31" i="35"/>
  <c r="T31" i="35" s="1"/>
  <c r="U31" i="35" s="1"/>
  <c r="J33" i="36" s="1"/>
  <c r="R43" i="35"/>
  <c r="Q44" i="35"/>
  <c r="D31" i="35"/>
  <c r="N32" i="25"/>
  <c r="N33" i="1"/>
  <c r="O31" i="25"/>
  <c r="P31" i="25" s="1"/>
  <c r="P33" i="1" s="1"/>
  <c r="C30" i="25"/>
  <c r="H32" i="1" s="1"/>
  <c r="R12" i="1"/>
  <c r="V12" i="1" s="1"/>
  <c r="AF12" i="1" s="1"/>
  <c r="D22" i="25"/>
  <c r="H12" i="25"/>
  <c r="I12" i="25"/>
  <c r="J12" i="25" s="1"/>
  <c r="J14" i="1" s="1"/>
  <c r="G13" i="25"/>
  <c r="C33" i="35" l="1"/>
  <c r="H35" i="34" s="1"/>
  <c r="N68" i="35"/>
  <c r="H69" i="36"/>
  <c r="O32" i="35"/>
  <c r="T32" i="35" s="1"/>
  <c r="U32" i="35" s="1"/>
  <c r="J34" i="36" s="1"/>
  <c r="R44" i="35"/>
  <c r="Q45" i="35"/>
  <c r="S43" i="35"/>
  <c r="D32" i="35"/>
  <c r="N33" i="25"/>
  <c r="N34" i="1"/>
  <c r="O32" i="25"/>
  <c r="P32" i="25" s="1"/>
  <c r="P34" i="1" s="1"/>
  <c r="C31" i="25"/>
  <c r="H33" i="1" s="1"/>
  <c r="R13" i="1"/>
  <c r="V13" i="1" s="1"/>
  <c r="AF13" i="1" s="1"/>
  <c r="D23" i="25"/>
  <c r="H13" i="25"/>
  <c r="I13" i="25"/>
  <c r="J13" i="25" s="1"/>
  <c r="J15" i="1" s="1"/>
  <c r="G14" i="25"/>
  <c r="C34" i="35" l="1"/>
  <c r="H36" i="34" s="1"/>
  <c r="N69" i="35"/>
  <c r="H70" i="36"/>
  <c r="S44" i="35"/>
  <c r="R45" i="35"/>
  <c r="Q46" i="35"/>
  <c r="O33" i="35"/>
  <c r="T33" i="35" s="1"/>
  <c r="U33" i="35" s="1"/>
  <c r="J35" i="36" s="1"/>
  <c r="D33" i="35"/>
  <c r="N34" i="25"/>
  <c r="N35" i="1"/>
  <c r="O33" i="25"/>
  <c r="P33" i="25" s="1"/>
  <c r="P35" i="1" s="1"/>
  <c r="C32" i="25"/>
  <c r="H34" i="1" s="1"/>
  <c r="R14" i="1"/>
  <c r="V14" i="1" s="1"/>
  <c r="AF14" i="1" s="1"/>
  <c r="D24" i="25"/>
  <c r="H14" i="25"/>
  <c r="I14" i="25"/>
  <c r="J14" i="25" s="1"/>
  <c r="J16" i="1" s="1"/>
  <c r="G15" i="25"/>
  <c r="C35" i="35" l="1"/>
  <c r="H37" i="34" s="1"/>
  <c r="N70" i="35"/>
  <c r="H71" i="36"/>
  <c r="O34" i="35"/>
  <c r="T34" i="35" s="1"/>
  <c r="U34" i="35" s="1"/>
  <c r="J36" i="36" s="1"/>
  <c r="R46" i="35"/>
  <c r="Q47" i="35"/>
  <c r="S45" i="35"/>
  <c r="D34" i="35"/>
  <c r="N35" i="25"/>
  <c r="N36" i="1"/>
  <c r="O34" i="25"/>
  <c r="P34" i="25" s="1"/>
  <c r="P36" i="1" s="1"/>
  <c r="C33" i="25"/>
  <c r="H35" i="1" s="1"/>
  <c r="R15" i="1"/>
  <c r="V15" i="1" s="1"/>
  <c r="AF15" i="1" s="1"/>
  <c r="D25" i="25"/>
  <c r="I15" i="25"/>
  <c r="J15" i="25" s="1"/>
  <c r="J17" i="1" s="1"/>
  <c r="H15" i="25"/>
  <c r="G16" i="25"/>
  <c r="C36" i="35" l="1"/>
  <c r="H38" i="34" s="1"/>
  <c r="N71" i="35"/>
  <c r="H72" i="36"/>
  <c r="O35" i="35"/>
  <c r="T35" i="35" s="1"/>
  <c r="U35" i="35" s="1"/>
  <c r="J37" i="36" s="1"/>
  <c r="R47" i="35"/>
  <c r="Q48" i="35"/>
  <c r="S46" i="35"/>
  <c r="D35" i="35"/>
  <c r="N36" i="25"/>
  <c r="N37" i="1"/>
  <c r="O35" i="25"/>
  <c r="P35" i="25" s="1"/>
  <c r="P37" i="1" s="1"/>
  <c r="C34" i="25"/>
  <c r="H36" i="1" s="1"/>
  <c r="R16" i="1"/>
  <c r="V16" i="1" s="1"/>
  <c r="AF16" i="1" s="1"/>
  <c r="D26" i="25"/>
  <c r="H16" i="25"/>
  <c r="I16" i="25"/>
  <c r="J16" i="25" s="1"/>
  <c r="J18" i="1" s="1"/>
  <c r="G17" i="25"/>
  <c r="C37" i="35" l="1"/>
  <c r="H39" i="34" s="1"/>
  <c r="N72" i="35"/>
  <c r="H73" i="36"/>
  <c r="O36" i="35"/>
  <c r="T36" i="35" s="1"/>
  <c r="U36" i="35" s="1"/>
  <c r="J38" i="36" s="1"/>
  <c r="R48" i="35"/>
  <c r="Q49" i="35"/>
  <c r="S47" i="35"/>
  <c r="D36" i="35"/>
  <c r="N37" i="25"/>
  <c r="N38" i="1"/>
  <c r="O36" i="25"/>
  <c r="P36" i="25" s="1"/>
  <c r="P38" i="1" s="1"/>
  <c r="C35" i="25"/>
  <c r="H37" i="1" s="1"/>
  <c r="R17" i="1"/>
  <c r="V17" i="1" s="1"/>
  <c r="AF17" i="1" s="1"/>
  <c r="D27" i="25"/>
  <c r="I17" i="25"/>
  <c r="J17" i="25" s="1"/>
  <c r="J19" i="1" s="1"/>
  <c r="H17" i="25"/>
  <c r="G18" i="25"/>
  <c r="C38" i="35" l="1"/>
  <c r="H40" i="34" s="1"/>
  <c r="N73" i="35"/>
  <c r="H74" i="36"/>
  <c r="O37" i="35"/>
  <c r="T37" i="35" s="1"/>
  <c r="U37" i="35" s="1"/>
  <c r="J39" i="36" s="1"/>
  <c r="R49" i="35"/>
  <c r="Q50" i="35"/>
  <c r="S48" i="35"/>
  <c r="D37" i="35"/>
  <c r="N38" i="25"/>
  <c r="N39" i="1"/>
  <c r="O37" i="25"/>
  <c r="P37" i="25" s="1"/>
  <c r="P39" i="1" s="1"/>
  <c r="C36" i="25"/>
  <c r="H38" i="1" s="1"/>
  <c r="R18" i="1"/>
  <c r="V18" i="1" s="1"/>
  <c r="AF18" i="1" s="1"/>
  <c r="D28" i="25"/>
  <c r="I18" i="25"/>
  <c r="J18" i="25" s="1"/>
  <c r="J20" i="1" s="1"/>
  <c r="H18" i="25"/>
  <c r="C39" i="35" l="1"/>
  <c r="H41" i="34" s="1"/>
  <c r="N74" i="35"/>
  <c r="H75" i="36"/>
  <c r="S49" i="35"/>
  <c r="O38" i="35"/>
  <c r="T38" i="35" s="1"/>
  <c r="U38" i="35" s="1"/>
  <c r="J40" i="36" s="1"/>
  <c r="R50" i="35"/>
  <c r="Q51" i="35"/>
  <c r="D38" i="35"/>
  <c r="N39" i="25"/>
  <c r="N40" i="1"/>
  <c r="O38" i="25"/>
  <c r="P38" i="25" s="1"/>
  <c r="P40" i="1" s="1"/>
  <c r="C37" i="25"/>
  <c r="H39" i="1" s="1"/>
  <c r="R19" i="1"/>
  <c r="V19" i="1" s="1"/>
  <c r="AF19" i="1" s="1"/>
  <c r="D29" i="25"/>
  <c r="G20" i="25"/>
  <c r="H19" i="25"/>
  <c r="I19" i="25"/>
  <c r="J19" i="25" s="1"/>
  <c r="J21" i="1" s="1"/>
  <c r="C40" i="35" l="1"/>
  <c r="H42" i="34" s="1"/>
  <c r="N75" i="35"/>
  <c r="H76" i="36"/>
  <c r="R51" i="35"/>
  <c r="Q52" i="35"/>
  <c r="S50" i="35"/>
  <c r="O39" i="35"/>
  <c r="T39" i="35" s="1"/>
  <c r="U39" i="35" s="1"/>
  <c r="J41" i="36" s="1"/>
  <c r="D39" i="35"/>
  <c r="N40" i="25"/>
  <c r="N41" i="1"/>
  <c r="O39" i="25"/>
  <c r="P39" i="25" s="1"/>
  <c r="P41" i="1" s="1"/>
  <c r="C38" i="25"/>
  <c r="H40" i="1" s="1"/>
  <c r="R20" i="1"/>
  <c r="V20" i="1" s="1"/>
  <c r="AF20" i="1" s="1"/>
  <c r="D30" i="25"/>
  <c r="H20" i="25"/>
  <c r="I20" i="25"/>
  <c r="J20" i="25" s="1"/>
  <c r="J22" i="1" s="1"/>
  <c r="G21" i="25"/>
  <c r="C41" i="35" l="1"/>
  <c r="H43" i="34" s="1"/>
  <c r="N76" i="35"/>
  <c r="H77" i="36"/>
  <c r="O40" i="35"/>
  <c r="T40" i="35" s="1"/>
  <c r="U40" i="35" s="1"/>
  <c r="J42" i="36" s="1"/>
  <c r="R52" i="35"/>
  <c r="Q53" i="35"/>
  <c r="S51" i="35"/>
  <c r="D40" i="35"/>
  <c r="N41" i="25"/>
  <c r="N42" i="1"/>
  <c r="O40" i="25"/>
  <c r="P40" i="25" s="1"/>
  <c r="P42" i="1" s="1"/>
  <c r="C39" i="25"/>
  <c r="H41" i="1" s="1"/>
  <c r="R21" i="1"/>
  <c r="V21" i="1" s="1"/>
  <c r="AF21" i="1" s="1"/>
  <c r="D31" i="25"/>
  <c r="H21" i="25"/>
  <c r="I21" i="25"/>
  <c r="J21" i="25" s="1"/>
  <c r="J23" i="1" s="1"/>
  <c r="G22" i="25"/>
  <c r="C42" i="35" l="1"/>
  <c r="H44" i="34" s="1"/>
  <c r="N77" i="35"/>
  <c r="H78" i="36"/>
  <c r="S52" i="35"/>
  <c r="R53" i="35"/>
  <c r="Q54" i="35"/>
  <c r="O41" i="35"/>
  <c r="T41" i="35" s="1"/>
  <c r="U41" i="35" s="1"/>
  <c r="J43" i="36" s="1"/>
  <c r="D41" i="35"/>
  <c r="N42" i="25"/>
  <c r="N43" i="1"/>
  <c r="O41" i="25"/>
  <c r="P41" i="25" s="1"/>
  <c r="P43" i="1" s="1"/>
  <c r="C40" i="25"/>
  <c r="H42" i="1" s="1"/>
  <c r="R22" i="1"/>
  <c r="V22" i="1" s="1"/>
  <c r="AF22" i="1" s="1"/>
  <c r="D32" i="25"/>
  <c r="G23" i="25"/>
  <c r="I22" i="25"/>
  <c r="J22" i="25" s="1"/>
  <c r="J24" i="1" s="1"/>
  <c r="H22" i="25"/>
  <c r="C43" i="35" l="1"/>
  <c r="H45" i="34" s="1"/>
  <c r="N78" i="35"/>
  <c r="H79" i="36"/>
  <c r="O42" i="35"/>
  <c r="T42" i="35" s="1"/>
  <c r="U42" i="35" s="1"/>
  <c r="J44" i="36" s="1"/>
  <c r="R54" i="35"/>
  <c r="Q55" i="35"/>
  <c r="S53" i="35"/>
  <c r="D42" i="35"/>
  <c r="N43" i="25"/>
  <c r="N44" i="1"/>
  <c r="O42" i="25"/>
  <c r="P42" i="25" s="1"/>
  <c r="P44" i="1" s="1"/>
  <c r="C41" i="25"/>
  <c r="H43" i="1" s="1"/>
  <c r="R23" i="1"/>
  <c r="V23" i="1" s="1"/>
  <c r="AF23" i="1" s="1"/>
  <c r="D33" i="25"/>
  <c r="I23" i="25"/>
  <c r="J23" i="25" s="1"/>
  <c r="J25" i="1" s="1"/>
  <c r="H23" i="25"/>
  <c r="G24" i="25"/>
  <c r="C44" i="35" l="1"/>
  <c r="H46" i="34" s="1"/>
  <c r="N79" i="35"/>
  <c r="H80" i="36"/>
  <c r="R55" i="35"/>
  <c r="Q56" i="35"/>
  <c r="S54" i="35"/>
  <c r="O43" i="35"/>
  <c r="T43" i="35" s="1"/>
  <c r="U43" i="35" s="1"/>
  <c r="J45" i="36" s="1"/>
  <c r="D43" i="35"/>
  <c r="N44" i="25"/>
  <c r="N45" i="1"/>
  <c r="O43" i="25"/>
  <c r="P43" i="25" s="1"/>
  <c r="P45" i="1" s="1"/>
  <c r="C42" i="25"/>
  <c r="H44" i="1" s="1"/>
  <c r="R24" i="1"/>
  <c r="V24" i="1" s="1"/>
  <c r="AF24" i="1" s="1"/>
  <c r="D34" i="25"/>
  <c r="G25" i="25"/>
  <c r="H24" i="25"/>
  <c r="I24" i="25"/>
  <c r="J24" i="25" s="1"/>
  <c r="J26" i="1" s="1"/>
  <c r="C45" i="35" l="1"/>
  <c r="H47" i="34" s="1"/>
  <c r="N80" i="35"/>
  <c r="H81" i="36"/>
  <c r="O44" i="35"/>
  <c r="T44" i="35" s="1"/>
  <c r="U44" i="35" s="1"/>
  <c r="J46" i="36" s="1"/>
  <c r="R56" i="35"/>
  <c r="Q57" i="35"/>
  <c r="S55" i="35"/>
  <c r="D44" i="35"/>
  <c r="N45" i="25"/>
  <c r="N46" i="1"/>
  <c r="O44" i="25"/>
  <c r="P44" i="25" s="1"/>
  <c r="P46" i="1" s="1"/>
  <c r="C43" i="25"/>
  <c r="H45" i="1" s="1"/>
  <c r="R25" i="1"/>
  <c r="V25" i="1" s="1"/>
  <c r="AF25" i="1" s="1"/>
  <c r="D35" i="25"/>
  <c r="I25" i="25"/>
  <c r="J25" i="25" s="1"/>
  <c r="J27" i="1" s="1"/>
  <c r="H25" i="25"/>
  <c r="G26" i="25"/>
  <c r="C46" i="35" l="1"/>
  <c r="H48" i="34" s="1"/>
  <c r="N81" i="35"/>
  <c r="H82" i="36"/>
  <c r="S56" i="35"/>
  <c r="Q58" i="35"/>
  <c r="R57" i="35"/>
  <c r="O45" i="35"/>
  <c r="T45" i="35" s="1"/>
  <c r="U45" i="35" s="1"/>
  <c r="J47" i="36" s="1"/>
  <c r="D45" i="35"/>
  <c r="N46" i="25"/>
  <c r="N47" i="1"/>
  <c r="O45" i="25"/>
  <c r="P45" i="25" s="1"/>
  <c r="P47" i="1" s="1"/>
  <c r="C44" i="25"/>
  <c r="H46" i="1" s="1"/>
  <c r="R26" i="1"/>
  <c r="V26" i="1" s="1"/>
  <c r="AF26" i="1" s="1"/>
  <c r="D36" i="25"/>
  <c r="G27" i="25"/>
  <c r="I26" i="25"/>
  <c r="J26" i="25" s="1"/>
  <c r="J28" i="1" s="1"/>
  <c r="H26" i="25"/>
  <c r="C47" i="35" l="1"/>
  <c r="H49" i="34" s="1"/>
  <c r="N82" i="35"/>
  <c r="H83" i="36"/>
  <c r="O46" i="35"/>
  <c r="T46" i="35" s="1"/>
  <c r="U46" i="35" s="1"/>
  <c r="J48" i="36" s="1"/>
  <c r="S57" i="35"/>
  <c r="R58" i="35"/>
  <c r="Q59" i="35"/>
  <c r="D46" i="35"/>
  <c r="N47" i="25"/>
  <c r="N48" i="1"/>
  <c r="O46" i="25"/>
  <c r="P46" i="25" s="1"/>
  <c r="P48" i="1" s="1"/>
  <c r="C45" i="25"/>
  <c r="H47" i="1" s="1"/>
  <c r="R27" i="1"/>
  <c r="V27" i="1" s="1"/>
  <c r="AF27" i="1" s="1"/>
  <c r="D37" i="25"/>
  <c r="I27" i="25"/>
  <c r="J27" i="25" s="1"/>
  <c r="J29" i="1" s="1"/>
  <c r="H27" i="25"/>
  <c r="G28" i="25"/>
  <c r="C48" i="35" l="1"/>
  <c r="H50" i="34" s="1"/>
  <c r="N83" i="35"/>
  <c r="H84" i="36"/>
  <c r="O47" i="35"/>
  <c r="T47" i="35" s="1"/>
  <c r="U47" i="35" s="1"/>
  <c r="J49" i="36" s="1"/>
  <c r="R59" i="35"/>
  <c r="Q60" i="35"/>
  <c r="S58" i="35"/>
  <c r="D47" i="35"/>
  <c r="N48" i="25"/>
  <c r="N49" i="1"/>
  <c r="O47" i="25"/>
  <c r="P47" i="25" s="1"/>
  <c r="P49" i="1" s="1"/>
  <c r="C46" i="25"/>
  <c r="H48" i="1" s="1"/>
  <c r="R28" i="1"/>
  <c r="V28" i="1" s="1"/>
  <c r="AF28" i="1" s="1"/>
  <c r="D38" i="25"/>
  <c r="H28" i="25"/>
  <c r="I28" i="25"/>
  <c r="J28" i="25" s="1"/>
  <c r="J30" i="1" s="1"/>
  <c r="G29" i="25"/>
  <c r="C49" i="35" l="1"/>
  <c r="H51" i="34" s="1"/>
  <c r="N84" i="35"/>
  <c r="H85" i="36"/>
  <c r="S59" i="35"/>
  <c r="O48" i="35"/>
  <c r="T48" i="35" s="1"/>
  <c r="U48" i="35" s="1"/>
  <c r="J50" i="36" s="1"/>
  <c r="R60" i="35"/>
  <c r="Q61" i="35"/>
  <c r="D48" i="35"/>
  <c r="N49" i="25"/>
  <c r="N50" i="1"/>
  <c r="O48" i="25"/>
  <c r="P48" i="25" s="1"/>
  <c r="P50" i="1" s="1"/>
  <c r="C47" i="25"/>
  <c r="H49" i="1" s="1"/>
  <c r="R29" i="1"/>
  <c r="V29" i="1" s="1"/>
  <c r="AF29" i="1" s="1"/>
  <c r="D39" i="25"/>
  <c r="H29" i="25"/>
  <c r="I29" i="25"/>
  <c r="J29" i="25" s="1"/>
  <c r="J31" i="1" s="1"/>
  <c r="G30" i="25"/>
  <c r="C50" i="35" l="1"/>
  <c r="H52" i="34" s="1"/>
  <c r="N85" i="35"/>
  <c r="H86" i="36"/>
  <c r="S60" i="35"/>
  <c r="O49" i="35"/>
  <c r="T49" i="35" s="1"/>
  <c r="U49" i="35" s="1"/>
  <c r="J51" i="36" s="1"/>
  <c r="R61" i="35"/>
  <c r="Q62" i="35"/>
  <c r="D49" i="35"/>
  <c r="N50" i="25"/>
  <c r="N51" i="1"/>
  <c r="O49" i="25"/>
  <c r="P49" i="25" s="1"/>
  <c r="P51" i="1" s="1"/>
  <c r="C48" i="25"/>
  <c r="H50" i="1" s="1"/>
  <c r="R30" i="1"/>
  <c r="V30" i="1" s="1"/>
  <c r="AF30" i="1" s="1"/>
  <c r="D40" i="25"/>
  <c r="I30" i="25"/>
  <c r="J30" i="25" s="1"/>
  <c r="J32" i="1" s="1"/>
  <c r="H30" i="25"/>
  <c r="G31" i="25"/>
  <c r="C51" i="35" l="1"/>
  <c r="H53" i="34" s="1"/>
  <c r="N86" i="35"/>
  <c r="H87" i="36"/>
  <c r="S61" i="35"/>
  <c r="O50" i="35"/>
  <c r="T50" i="35" s="1"/>
  <c r="U50" i="35" s="1"/>
  <c r="J52" i="36" s="1"/>
  <c r="R62" i="35"/>
  <c r="Q63" i="35"/>
  <c r="D50" i="35"/>
  <c r="N51" i="25"/>
  <c r="N52" i="1"/>
  <c r="O50" i="25"/>
  <c r="P50" i="25" s="1"/>
  <c r="P52" i="1" s="1"/>
  <c r="C49" i="25"/>
  <c r="H51" i="1" s="1"/>
  <c r="R31" i="1"/>
  <c r="V31" i="1" s="1"/>
  <c r="AF31" i="1" s="1"/>
  <c r="D41" i="25"/>
  <c r="I31" i="25"/>
  <c r="J31" i="25" s="1"/>
  <c r="J33" i="1" s="1"/>
  <c r="H31" i="25"/>
  <c r="G32" i="25"/>
  <c r="C52" i="35" l="1"/>
  <c r="H54" i="34" s="1"/>
  <c r="N87" i="35"/>
  <c r="H88" i="36"/>
  <c r="S62" i="35"/>
  <c r="R63" i="35"/>
  <c r="Q64" i="35"/>
  <c r="O51" i="35"/>
  <c r="T51" i="35" s="1"/>
  <c r="U51" i="35" s="1"/>
  <c r="J53" i="36" s="1"/>
  <c r="D51" i="35"/>
  <c r="N52" i="25"/>
  <c r="N53" i="1"/>
  <c r="O51" i="25"/>
  <c r="P51" i="25" s="1"/>
  <c r="P53" i="1" s="1"/>
  <c r="C50" i="25"/>
  <c r="H52" i="1" s="1"/>
  <c r="R32" i="1"/>
  <c r="V32" i="1" s="1"/>
  <c r="AF32" i="1" s="1"/>
  <c r="D42" i="25"/>
  <c r="G33" i="25"/>
  <c r="H32" i="25"/>
  <c r="I32" i="25"/>
  <c r="J32" i="25" s="1"/>
  <c r="J34" i="1" s="1"/>
  <c r="C53" i="35" l="1"/>
  <c r="H55" i="34" s="1"/>
  <c r="N88" i="35"/>
  <c r="H89" i="36"/>
  <c r="C54" i="35"/>
  <c r="H56" i="34" s="1"/>
  <c r="O52" i="35"/>
  <c r="T52" i="35" s="1"/>
  <c r="U52" i="35" s="1"/>
  <c r="J54" i="36" s="1"/>
  <c r="R64" i="35"/>
  <c r="Q65" i="35"/>
  <c r="S63" i="35"/>
  <c r="D52" i="35"/>
  <c r="N53" i="25"/>
  <c r="N54" i="1"/>
  <c r="O52" i="25"/>
  <c r="P52" i="25" s="1"/>
  <c r="P54" i="1" s="1"/>
  <c r="C51" i="25"/>
  <c r="H53" i="1" s="1"/>
  <c r="R33" i="1"/>
  <c r="V33" i="1" s="1"/>
  <c r="AF33" i="1" s="1"/>
  <c r="D43" i="25"/>
  <c r="H33" i="25"/>
  <c r="I33" i="25"/>
  <c r="J33" i="25" s="1"/>
  <c r="J35" i="1" s="1"/>
  <c r="G34" i="25"/>
  <c r="N89" i="35" l="1"/>
  <c r="H90" i="36"/>
  <c r="C55" i="35"/>
  <c r="H57" i="34" s="1"/>
  <c r="O53" i="35"/>
  <c r="T53" i="35" s="1"/>
  <c r="U53" i="35" s="1"/>
  <c r="J55" i="36" s="1"/>
  <c r="Q66" i="35"/>
  <c r="R65" i="35"/>
  <c r="S64" i="35"/>
  <c r="D53" i="35"/>
  <c r="N54" i="25"/>
  <c r="N55" i="1"/>
  <c r="O53" i="25"/>
  <c r="P53" i="25" s="1"/>
  <c r="P55" i="1" s="1"/>
  <c r="C52" i="25"/>
  <c r="H54" i="1" s="1"/>
  <c r="R34" i="1"/>
  <c r="V34" i="1" s="1"/>
  <c r="AF34" i="1" s="1"/>
  <c r="D44" i="25"/>
  <c r="I34" i="25"/>
  <c r="J34" i="25" s="1"/>
  <c r="J36" i="1" s="1"/>
  <c r="H34" i="25"/>
  <c r="G35" i="25"/>
  <c r="N90" i="35" l="1"/>
  <c r="H91" i="36"/>
  <c r="C56" i="35"/>
  <c r="H58" i="34" s="1"/>
  <c r="R66" i="35"/>
  <c r="Q67" i="35"/>
  <c r="S65" i="35"/>
  <c r="O54" i="35"/>
  <c r="T54" i="35" s="1"/>
  <c r="U54" i="35" s="1"/>
  <c r="J56" i="36" s="1"/>
  <c r="D54" i="35"/>
  <c r="N55" i="25"/>
  <c r="N56" i="1"/>
  <c r="O54" i="25"/>
  <c r="P54" i="25" s="1"/>
  <c r="P56" i="1" s="1"/>
  <c r="C53" i="25"/>
  <c r="H55" i="1" s="1"/>
  <c r="R35" i="1"/>
  <c r="V35" i="1" s="1"/>
  <c r="AF35" i="1" s="1"/>
  <c r="D45" i="25"/>
  <c r="I35" i="25"/>
  <c r="J35" i="25" s="1"/>
  <c r="J37" i="1" s="1"/>
  <c r="H35" i="25"/>
  <c r="G36" i="25"/>
  <c r="N91" i="35" l="1"/>
  <c r="H92" i="36"/>
  <c r="C57" i="35"/>
  <c r="H59" i="34" s="1"/>
  <c r="O55" i="35"/>
  <c r="T55" i="35" s="1"/>
  <c r="U55" i="35" s="1"/>
  <c r="J57" i="36" s="1"/>
  <c r="R67" i="35"/>
  <c r="Q68" i="35"/>
  <c r="S66" i="35"/>
  <c r="D55" i="35"/>
  <c r="N56" i="25"/>
  <c r="N57" i="1"/>
  <c r="O55" i="25"/>
  <c r="P55" i="25" s="1"/>
  <c r="P57" i="1" s="1"/>
  <c r="C54" i="25"/>
  <c r="H56" i="1" s="1"/>
  <c r="R36" i="1"/>
  <c r="V36" i="1" s="1"/>
  <c r="AF36" i="1" s="1"/>
  <c r="D46" i="25"/>
  <c r="H36" i="25"/>
  <c r="I36" i="25"/>
  <c r="J36" i="25" s="1"/>
  <c r="J38" i="1" s="1"/>
  <c r="G37" i="25"/>
  <c r="N92" i="35" l="1"/>
  <c r="H93" i="36"/>
  <c r="C58" i="35"/>
  <c r="H60" i="34" s="1"/>
  <c r="O56" i="35"/>
  <c r="T56" i="35" s="1"/>
  <c r="U56" i="35" s="1"/>
  <c r="J58" i="36" s="1"/>
  <c r="R68" i="35"/>
  <c r="Q69" i="35"/>
  <c r="S67" i="35"/>
  <c r="D56" i="35"/>
  <c r="N57" i="25"/>
  <c r="N58" i="1"/>
  <c r="O56" i="25"/>
  <c r="P56" i="25" s="1"/>
  <c r="P58" i="1" s="1"/>
  <c r="C55" i="25"/>
  <c r="H57" i="1" s="1"/>
  <c r="R37" i="1"/>
  <c r="V37" i="1" s="1"/>
  <c r="AF37" i="1" s="1"/>
  <c r="D47" i="25"/>
  <c r="H37" i="25"/>
  <c r="I37" i="25"/>
  <c r="J37" i="25" s="1"/>
  <c r="J39" i="1" s="1"/>
  <c r="G38" i="25"/>
  <c r="N93" i="35" l="1"/>
  <c r="H94" i="36"/>
  <c r="C59" i="35"/>
  <c r="H61" i="34" s="1"/>
  <c r="R69" i="35"/>
  <c r="Q70" i="35"/>
  <c r="S68" i="35"/>
  <c r="O57" i="35"/>
  <c r="T57" i="35" s="1"/>
  <c r="U57" i="35" s="1"/>
  <c r="J59" i="36" s="1"/>
  <c r="D57" i="35"/>
  <c r="N58" i="25"/>
  <c r="N59" i="1"/>
  <c r="O57" i="25"/>
  <c r="P57" i="25" s="1"/>
  <c r="P59" i="1" s="1"/>
  <c r="C56" i="25"/>
  <c r="H58" i="1" s="1"/>
  <c r="R38" i="1"/>
  <c r="V38" i="1" s="1"/>
  <c r="AF38" i="1" s="1"/>
  <c r="D48" i="25"/>
  <c r="I38" i="25"/>
  <c r="J38" i="25" s="1"/>
  <c r="J40" i="1" s="1"/>
  <c r="H38" i="25"/>
  <c r="G39" i="25"/>
  <c r="N94" i="35" l="1"/>
  <c r="H95" i="36"/>
  <c r="O58" i="35"/>
  <c r="T58" i="35" s="1"/>
  <c r="U58" i="35" s="1"/>
  <c r="J60" i="36" s="1"/>
  <c r="R70" i="35"/>
  <c r="Q71" i="35"/>
  <c r="S69" i="35"/>
  <c r="D58" i="35"/>
  <c r="N59" i="25"/>
  <c r="N60" i="1"/>
  <c r="O58" i="25"/>
  <c r="P58" i="25" s="1"/>
  <c r="P60" i="1" s="1"/>
  <c r="C57" i="25"/>
  <c r="H59" i="1" s="1"/>
  <c r="R39" i="1"/>
  <c r="V39" i="1" s="1"/>
  <c r="AF39" i="1" s="1"/>
  <c r="D49" i="25"/>
  <c r="I39" i="25"/>
  <c r="J39" i="25" s="1"/>
  <c r="J41" i="1" s="1"/>
  <c r="H39" i="25"/>
  <c r="G40" i="25"/>
  <c r="N95" i="35" l="1"/>
  <c r="H96" i="36"/>
  <c r="O59" i="35"/>
  <c r="T59" i="35" s="1"/>
  <c r="U59" i="35" s="1"/>
  <c r="J61" i="36" s="1"/>
  <c r="R71" i="35"/>
  <c r="Q72" i="35"/>
  <c r="S70" i="35"/>
  <c r="D59" i="35"/>
  <c r="N60" i="25"/>
  <c r="N61" i="1"/>
  <c r="O59" i="25"/>
  <c r="P59" i="25" s="1"/>
  <c r="P61" i="1" s="1"/>
  <c r="C58" i="25"/>
  <c r="H60" i="1" s="1"/>
  <c r="R40" i="1"/>
  <c r="V40" i="1" s="1"/>
  <c r="AF40" i="1" s="1"/>
  <c r="D50" i="25"/>
  <c r="H40" i="25"/>
  <c r="I40" i="25"/>
  <c r="J40" i="25" s="1"/>
  <c r="J42" i="1" s="1"/>
  <c r="G41" i="25"/>
  <c r="N96" i="35" l="1"/>
  <c r="H97" i="36"/>
  <c r="S71" i="35"/>
  <c r="R72" i="35"/>
  <c r="Q73" i="35"/>
  <c r="O60" i="35"/>
  <c r="T60" i="35" s="1"/>
  <c r="U60" i="35" s="1"/>
  <c r="N61" i="25"/>
  <c r="N62" i="1"/>
  <c r="O60" i="25"/>
  <c r="P60" i="25" s="1"/>
  <c r="P62" i="1" s="1"/>
  <c r="C59" i="25"/>
  <c r="H61" i="1" s="1"/>
  <c r="R41" i="1"/>
  <c r="V41" i="1" s="1"/>
  <c r="AF41" i="1" s="1"/>
  <c r="D51" i="25"/>
  <c r="H41" i="25"/>
  <c r="I41" i="25"/>
  <c r="J41" i="25" s="1"/>
  <c r="J43" i="1" s="1"/>
  <c r="G42" i="25"/>
  <c r="J62" i="36" l="1"/>
  <c r="L62" i="36" s="1"/>
  <c r="P62" i="36" s="1"/>
  <c r="X62" i="36" s="1"/>
  <c r="AB62" i="36" s="1"/>
  <c r="N97" i="35"/>
  <c r="H98" i="36"/>
  <c r="O61" i="35"/>
  <c r="T61" i="35" s="1"/>
  <c r="U61" i="35" s="1"/>
  <c r="R73" i="35"/>
  <c r="Q74" i="35"/>
  <c r="S72" i="35"/>
  <c r="N62" i="25"/>
  <c r="N63" i="1"/>
  <c r="O61" i="25"/>
  <c r="P61" i="25" s="1"/>
  <c r="P63" i="1" s="1"/>
  <c r="C60" i="25"/>
  <c r="H62" i="1" s="1"/>
  <c r="R42" i="1"/>
  <c r="V42" i="1" s="1"/>
  <c r="AF42" i="1" s="1"/>
  <c r="D52" i="25"/>
  <c r="I42" i="25"/>
  <c r="J42" i="25" s="1"/>
  <c r="J44" i="1" s="1"/>
  <c r="H42" i="25"/>
  <c r="G43" i="25"/>
  <c r="H99" i="36" l="1"/>
  <c r="N98" i="35"/>
  <c r="J63" i="36"/>
  <c r="L63" i="36" s="1"/>
  <c r="P63" i="36" s="1"/>
  <c r="X63" i="36" s="1"/>
  <c r="AB63" i="36" s="1"/>
  <c r="O62" i="35"/>
  <c r="T62" i="35" s="1"/>
  <c r="U62" i="35" s="1"/>
  <c r="R74" i="35"/>
  <c r="Q75" i="35"/>
  <c r="S73" i="35"/>
  <c r="N63" i="25"/>
  <c r="N64" i="1"/>
  <c r="O62" i="25"/>
  <c r="P62" i="25" s="1"/>
  <c r="P64" i="1" s="1"/>
  <c r="C61" i="25"/>
  <c r="H63" i="1" s="1"/>
  <c r="R43" i="1"/>
  <c r="V43" i="1" s="1"/>
  <c r="AF43" i="1" s="1"/>
  <c r="D53" i="25"/>
  <c r="I43" i="25"/>
  <c r="J43" i="25" s="1"/>
  <c r="J45" i="1" s="1"/>
  <c r="H43" i="25"/>
  <c r="G44" i="25"/>
  <c r="AH181" i="1"/>
  <c r="AH173" i="1"/>
  <c r="AH165" i="1"/>
  <c r="AH157" i="1"/>
  <c r="AH149" i="1"/>
  <c r="AH141" i="1"/>
  <c r="AH133" i="1"/>
  <c r="AH125" i="1"/>
  <c r="AH117" i="1"/>
  <c r="AH109" i="1"/>
  <c r="AH101" i="1"/>
  <c r="AH93" i="1"/>
  <c r="AH85" i="1"/>
  <c r="AH77" i="1"/>
  <c r="AH69" i="1"/>
  <c r="AH61" i="1"/>
  <c r="AH53" i="1"/>
  <c r="AH45" i="1"/>
  <c r="AH37" i="1"/>
  <c r="AH137" i="1"/>
  <c r="AH121" i="1"/>
  <c r="AH97" i="1"/>
  <c r="AH41" i="1"/>
  <c r="AH188" i="1"/>
  <c r="AH180" i="1"/>
  <c r="AH172" i="1"/>
  <c r="AH164" i="1"/>
  <c r="AH156" i="1"/>
  <c r="AH148" i="1"/>
  <c r="AH140" i="1"/>
  <c r="AH132" i="1"/>
  <c r="AH124" i="1"/>
  <c r="AH116" i="1"/>
  <c r="AH108" i="1"/>
  <c r="AH100" i="1"/>
  <c r="AH92" i="1"/>
  <c r="AH84" i="1"/>
  <c r="AH76" i="1"/>
  <c r="AH68" i="1"/>
  <c r="AH60" i="1"/>
  <c r="AH52" i="1"/>
  <c r="AH44" i="1"/>
  <c r="AH36" i="1"/>
  <c r="AH177" i="1"/>
  <c r="AH57" i="1"/>
  <c r="AH187" i="1"/>
  <c r="AH179" i="1"/>
  <c r="AH171" i="1"/>
  <c r="AH163" i="1"/>
  <c r="AH155" i="1"/>
  <c r="AH147" i="1"/>
  <c r="AH139" i="1"/>
  <c r="AH131" i="1"/>
  <c r="AH123" i="1"/>
  <c r="AH115" i="1"/>
  <c r="AH107" i="1"/>
  <c r="AH99" i="1"/>
  <c r="AH91" i="1"/>
  <c r="AH83" i="1"/>
  <c r="AH75" i="1"/>
  <c r="AH67" i="1"/>
  <c r="AH59" i="1"/>
  <c r="AH51" i="1"/>
  <c r="AH43" i="1"/>
  <c r="AH35" i="1"/>
  <c r="AH161" i="1"/>
  <c r="AH81" i="1"/>
  <c r="AH186" i="1"/>
  <c r="AH178" i="1"/>
  <c r="AH170" i="1"/>
  <c r="AH162" i="1"/>
  <c r="AH154" i="1"/>
  <c r="AH146" i="1"/>
  <c r="AH138" i="1"/>
  <c r="AH130" i="1"/>
  <c r="AH122" i="1"/>
  <c r="AH114" i="1"/>
  <c r="AH106" i="1"/>
  <c r="AH98" i="1"/>
  <c r="AH90" i="1"/>
  <c r="AH82" i="1"/>
  <c r="AH74" i="1"/>
  <c r="AH66" i="1"/>
  <c r="AH58" i="1"/>
  <c r="AH50" i="1"/>
  <c r="AH42" i="1"/>
  <c r="AH34" i="1"/>
  <c r="AH169" i="1"/>
  <c r="AH89" i="1"/>
  <c r="AH185" i="1"/>
  <c r="AH184" i="1"/>
  <c r="AH176" i="1"/>
  <c r="AH168" i="1"/>
  <c r="AH160" i="1"/>
  <c r="AH152" i="1"/>
  <c r="AH144" i="1"/>
  <c r="AH136" i="1"/>
  <c r="AH128" i="1"/>
  <c r="AH120" i="1"/>
  <c r="AH112" i="1"/>
  <c r="AH104" i="1"/>
  <c r="AH96" i="1"/>
  <c r="AH88" i="1"/>
  <c r="AH80" i="1"/>
  <c r="AH72" i="1"/>
  <c r="AH64" i="1"/>
  <c r="AH56" i="1"/>
  <c r="AH48" i="1"/>
  <c r="AH40" i="1"/>
  <c r="AH32" i="1"/>
  <c r="AH129" i="1"/>
  <c r="AH105" i="1"/>
  <c r="AH49" i="1"/>
  <c r="AH183" i="1"/>
  <c r="AH175" i="1"/>
  <c r="AH167" i="1"/>
  <c r="AH159" i="1"/>
  <c r="AH151" i="1"/>
  <c r="AH143" i="1"/>
  <c r="AH135" i="1"/>
  <c r="AH127" i="1"/>
  <c r="AH119" i="1"/>
  <c r="AH111" i="1"/>
  <c r="AH103" i="1"/>
  <c r="AH95" i="1"/>
  <c r="AH87" i="1"/>
  <c r="AH79" i="1"/>
  <c r="AH71" i="1"/>
  <c r="AH63" i="1"/>
  <c r="AH55" i="1"/>
  <c r="AH47" i="1"/>
  <c r="AH39" i="1"/>
  <c r="AH145" i="1"/>
  <c r="AH113" i="1"/>
  <c r="AH65" i="1"/>
  <c r="AH33" i="1"/>
  <c r="AH182" i="1"/>
  <c r="AH174" i="1"/>
  <c r="AH166" i="1"/>
  <c r="AH158" i="1"/>
  <c r="AH150" i="1"/>
  <c r="AH142" i="1"/>
  <c r="AH134" i="1"/>
  <c r="AH126" i="1"/>
  <c r="AH118" i="1"/>
  <c r="AH110" i="1"/>
  <c r="AH102" i="1"/>
  <c r="AH94" i="1"/>
  <c r="AH86" i="1"/>
  <c r="AH78" i="1"/>
  <c r="AH70" i="1"/>
  <c r="AH62" i="1"/>
  <c r="AH54" i="1"/>
  <c r="AH46" i="1"/>
  <c r="AH38" i="1"/>
  <c r="AH153" i="1"/>
  <c r="AH73" i="1"/>
  <c r="AH16" i="1"/>
  <c r="AH9" i="1"/>
  <c r="AH17" i="1"/>
  <c r="AH13" i="1"/>
  <c r="AH14" i="1"/>
  <c r="AH10" i="1"/>
  <c r="AH11" i="1"/>
  <c r="AH12" i="1"/>
  <c r="AH15" i="1"/>
  <c r="AH30" i="1"/>
  <c r="AH31" i="1"/>
  <c r="AH26" i="1"/>
  <c r="AH22" i="1"/>
  <c r="AH18" i="1"/>
  <c r="AH21" i="1"/>
  <c r="AH29" i="1"/>
  <c r="AH25" i="1"/>
  <c r="AH23" i="1"/>
  <c r="AH28" i="1"/>
  <c r="AH24" i="1"/>
  <c r="AH20" i="1"/>
  <c r="AH27" i="1"/>
  <c r="AH19" i="1"/>
  <c r="J64" i="36" l="1"/>
  <c r="L64" i="36" s="1"/>
  <c r="P64" i="36" s="1"/>
  <c r="X64" i="36" s="1"/>
  <c r="AB64" i="36" s="1"/>
  <c r="H100" i="36"/>
  <c r="N99" i="35"/>
  <c r="Q76" i="35"/>
  <c r="R75" i="35"/>
  <c r="S74" i="35"/>
  <c r="O63" i="35"/>
  <c r="T63" i="35" s="1"/>
  <c r="U63" i="35" s="1"/>
  <c r="N64" i="25"/>
  <c r="N65" i="1"/>
  <c r="O63" i="25"/>
  <c r="P63" i="25" s="1"/>
  <c r="P65" i="1" s="1"/>
  <c r="C62" i="25"/>
  <c r="H64" i="1" s="1"/>
  <c r="R44" i="1"/>
  <c r="V44" i="1" s="1"/>
  <c r="AJ9" i="1"/>
  <c r="AJ34" i="1"/>
  <c r="AJ41" i="1"/>
  <c r="AJ33" i="1"/>
  <c r="AJ43" i="1"/>
  <c r="AJ15" i="1"/>
  <c r="AJ16" i="1"/>
  <c r="AJ32" i="1"/>
  <c r="AJ42" i="1"/>
  <c r="AJ17" i="1"/>
  <c r="AJ12" i="1"/>
  <c r="AJ40" i="1"/>
  <c r="AJ19" i="1"/>
  <c r="AJ11" i="1"/>
  <c r="AJ39" i="1"/>
  <c r="AJ18" i="1"/>
  <c r="AJ10" i="1"/>
  <c r="AJ38" i="1"/>
  <c r="AJ36" i="1"/>
  <c r="AJ37" i="1"/>
  <c r="AJ20" i="1"/>
  <c r="AJ14" i="1"/>
  <c r="AJ13" i="1"/>
  <c r="AJ35" i="1"/>
  <c r="D54" i="25"/>
  <c r="H44" i="25"/>
  <c r="I44" i="25"/>
  <c r="J44" i="25" s="1"/>
  <c r="J46" i="1" s="1"/>
  <c r="G45" i="25"/>
  <c r="AJ25" i="1"/>
  <c r="AJ23" i="1"/>
  <c r="AJ30" i="1"/>
  <c r="AJ29" i="1"/>
  <c r="AJ21" i="1"/>
  <c r="AJ27" i="1"/>
  <c r="AJ22" i="1"/>
  <c r="AJ24" i="1"/>
  <c r="AJ26" i="1"/>
  <c r="AJ28" i="1"/>
  <c r="AJ31" i="1"/>
  <c r="E25" i="27" l="1"/>
  <c r="H101" i="36"/>
  <c r="N100" i="35"/>
  <c r="J65" i="36"/>
  <c r="L65" i="36" s="1"/>
  <c r="P65" i="36" s="1"/>
  <c r="X65" i="36" s="1"/>
  <c r="AB65" i="36" s="1"/>
  <c r="O64" i="35"/>
  <c r="T64" i="35" s="1"/>
  <c r="U64" i="35" s="1"/>
  <c r="S75" i="35"/>
  <c r="R76" i="35"/>
  <c r="Q77" i="35"/>
  <c r="AF44" i="1"/>
  <c r="AJ44" i="1" s="1"/>
  <c r="N65" i="25"/>
  <c r="N66" i="1"/>
  <c r="O64" i="25"/>
  <c r="P64" i="25" s="1"/>
  <c r="P66" i="1" s="1"/>
  <c r="C63" i="25"/>
  <c r="H65" i="1" s="1"/>
  <c r="R45" i="1"/>
  <c r="V45" i="1" s="1"/>
  <c r="D55" i="25"/>
  <c r="H45" i="25"/>
  <c r="I45" i="25"/>
  <c r="J45" i="25" s="1"/>
  <c r="J47" i="1" s="1"/>
  <c r="G46" i="25"/>
  <c r="J66" i="36" l="1"/>
  <c r="L66" i="36" s="1"/>
  <c r="P66" i="36" s="1"/>
  <c r="X66" i="36" s="1"/>
  <c r="AB66" i="36" s="1"/>
  <c r="H102" i="36"/>
  <c r="N101" i="35"/>
  <c r="R77" i="35"/>
  <c r="Q78" i="35"/>
  <c r="S76" i="35"/>
  <c r="O65" i="35"/>
  <c r="T65" i="35" s="1"/>
  <c r="U65" i="35" s="1"/>
  <c r="AF45" i="1"/>
  <c r="AJ45" i="1" s="1"/>
  <c r="N66" i="25"/>
  <c r="N67" i="1"/>
  <c r="O65" i="25"/>
  <c r="P65" i="25" s="1"/>
  <c r="P67" i="1" s="1"/>
  <c r="C64" i="25"/>
  <c r="H66" i="1" s="1"/>
  <c r="R46" i="1"/>
  <c r="V46" i="1" s="1"/>
  <c r="D56" i="25"/>
  <c r="I46" i="25"/>
  <c r="J46" i="25" s="1"/>
  <c r="J48" i="1" s="1"/>
  <c r="H46" i="25"/>
  <c r="G47" i="25"/>
  <c r="H103" i="36" l="1"/>
  <c r="N102" i="35"/>
  <c r="J67" i="36"/>
  <c r="L67" i="36" s="1"/>
  <c r="P67" i="36" s="1"/>
  <c r="X67" i="36" s="1"/>
  <c r="AB67" i="36" s="1"/>
  <c r="O66" i="35"/>
  <c r="T66" i="35" s="1"/>
  <c r="U66" i="35" s="1"/>
  <c r="R78" i="35"/>
  <c r="Q79" i="35"/>
  <c r="S77" i="35"/>
  <c r="AF46" i="1"/>
  <c r="AJ46" i="1" s="1"/>
  <c r="N67" i="25"/>
  <c r="N68" i="1"/>
  <c r="O66" i="25"/>
  <c r="P66" i="25" s="1"/>
  <c r="P68" i="1" s="1"/>
  <c r="C65" i="25"/>
  <c r="H67" i="1" s="1"/>
  <c r="R47" i="1"/>
  <c r="V47" i="1" s="1"/>
  <c r="D57" i="25"/>
  <c r="I47" i="25"/>
  <c r="J47" i="25" s="1"/>
  <c r="J49" i="1" s="1"/>
  <c r="H47" i="25"/>
  <c r="G48" i="25"/>
  <c r="H104" i="36" l="1"/>
  <c r="N103" i="35"/>
  <c r="J68" i="36"/>
  <c r="L68" i="36" s="1"/>
  <c r="P68" i="36" s="1"/>
  <c r="X68" i="36" s="1"/>
  <c r="AB68" i="36" s="1"/>
  <c r="O67" i="35"/>
  <c r="T67" i="35" s="1"/>
  <c r="U67" i="35" s="1"/>
  <c r="R79" i="35"/>
  <c r="Q80" i="35"/>
  <c r="S78" i="35"/>
  <c r="AF47" i="1"/>
  <c r="AJ47" i="1" s="1"/>
  <c r="N68" i="25"/>
  <c r="N69" i="1"/>
  <c r="O67" i="25"/>
  <c r="P67" i="25" s="1"/>
  <c r="P69" i="1" s="1"/>
  <c r="C66" i="25"/>
  <c r="H68" i="1" s="1"/>
  <c r="R48" i="1"/>
  <c r="V48" i="1" s="1"/>
  <c r="D58" i="25"/>
  <c r="G49" i="25"/>
  <c r="H48" i="25"/>
  <c r="I48" i="25"/>
  <c r="J48" i="25" s="1"/>
  <c r="J50" i="1" s="1"/>
  <c r="J69" i="36" l="1"/>
  <c r="L69" i="36" s="1"/>
  <c r="P69" i="36" s="1"/>
  <c r="X69" i="36" s="1"/>
  <c r="AB69" i="36" s="1"/>
  <c r="H105" i="36"/>
  <c r="N104" i="35"/>
  <c r="R80" i="35"/>
  <c r="Q81" i="35"/>
  <c r="S79" i="35"/>
  <c r="O68" i="35"/>
  <c r="T68" i="35" s="1"/>
  <c r="U68" i="35" s="1"/>
  <c r="AF48" i="1"/>
  <c r="AJ48" i="1" s="1"/>
  <c r="N69" i="25"/>
  <c r="N70" i="1"/>
  <c r="O68" i="25"/>
  <c r="P68" i="25" s="1"/>
  <c r="P70" i="1" s="1"/>
  <c r="C67" i="25"/>
  <c r="H69" i="1" s="1"/>
  <c r="R49" i="1"/>
  <c r="V49" i="1" s="1"/>
  <c r="D59" i="25"/>
  <c r="H49" i="25"/>
  <c r="I49" i="25"/>
  <c r="J49" i="25" s="1"/>
  <c r="J51" i="1" s="1"/>
  <c r="G50" i="25"/>
  <c r="H106" i="36" l="1"/>
  <c r="N105" i="35"/>
  <c r="J70" i="36"/>
  <c r="L70" i="36" s="1"/>
  <c r="P70" i="36" s="1"/>
  <c r="X70" i="36" s="1"/>
  <c r="AB70" i="36" s="1"/>
  <c r="O69" i="35"/>
  <c r="T69" i="35" s="1"/>
  <c r="U69" i="35" s="1"/>
  <c r="R81" i="35"/>
  <c r="Q82" i="35"/>
  <c r="S80" i="35"/>
  <c r="AF49" i="1"/>
  <c r="AJ49" i="1" s="1"/>
  <c r="N70" i="25"/>
  <c r="N71" i="1"/>
  <c r="O69" i="25"/>
  <c r="P69" i="25" s="1"/>
  <c r="P71" i="1" s="1"/>
  <c r="C68" i="25"/>
  <c r="H70" i="1" s="1"/>
  <c r="R50" i="1"/>
  <c r="V50" i="1" s="1"/>
  <c r="D60" i="25"/>
  <c r="I50" i="25"/>
  <c r="J50" i="25" s="1"/>
  <c r="J52" i="1" s="1"/>
  <c r="H50" i="25"/>
  <c r="G51" i="25"/>
  <c r="J71" i="36" l="1"/>
  <c r="L71" i="36" s="1"/>
  <c r="P71" i="36" s="1"/>
  <c r="X71" i="36" s="1"/>
  <c r="AB71" i="36" s="1"/>
  <c r="H107" i="36"/>
  <c r="N106" i="35"/>
  <c r="S81" i="35"/>
  <c r="O70" i="35"/>
  <c r="T70" i="35" s="1"/>
  <c r="U70" i="35" s="1"/>
  <c r="R82" i="35"/>
  <c r="Q83" i="35"/>
  <c r="N71" i="25"/>
  <c r="N72" i="1"/>
  <c r="O70" i="25"/>
  <c r="P70" i="25" s="1"/>
  <c r="P72" i="1" s="1"/>
  <c r="AF50" i="1"/>
  <c r="AJ50" i="1" s="1"/>
  <c r="C69" i="25"/>
  <c r="H71" i="1" s="1"/>
  <c r="R51" i="1"/>
  <c r="V51" i="1" s="1"/>
  <c r="D61" i="25"/>
  <c r="I51" i="25"/>
  <c r="J51" i="25" s="1"/>
  <c r="J53" i="1" s="1"/>
  <c r="H51" i="25"/>
  <c r="G52" i="25"/>
  <c r="H108" i="36" l="1"/>
  <c r="N107" i="35"/>
  <c r="J72" i="36"/>
  <c r="L72" i="36" s="1"/>
  <c r="P72" i="36" s="1"/>
  <c r="X72" i="36" s="1"/>
  <c r="AB72" i="36" s="1"/>
  <c r="S82" i="35"/>
  <c r="O71" i="35"/>
  <c r="T71" i="35" s="1"/>
  <c r="U71" i="35" s="1"/>
  <c r="Q84" i="35"/>
  <c r="R83" i="35"/>
  <c r="AF51" i="1"/>
  <c r="AJ51" i="1" s="1"/>
  <c r="N72" i="25"/>
  <c r="N73" i="1"/>
  <c r="O71" i="25"/>
  <c r="P71" i="25" s="1"/>
  <c r="P73" i="1" s="1"/>
  <c r="C70" i="25"/>
  <c r="H72" i="1" s="1"/>
  <c r="R52" i="1"/>
  <c r="V52" i="1" s="1"/>
  <c r="D62" i="25"/>
  <c r="H52" i="25"/>
  <c r="I52" i="25"/>
  <c r="J52" i="25" s="1"/>
  <c r="J54" i="1" s="1"/>
  <c r="G53" i="25"/>
  <c r="H109" i="36" l="1"/>
  <c r="N108" i="35"/>
  <c r="J73" i="36"/>
  <c r="L73" i="36" s="1"/>
  <c r="P73" i="36" s="1"/>
  <c r="X73" i="36" s="1"/>
  <c r="AB73" i="36" s="1"/>
  <c r="S83" i="35"/>
  <c r="R84" i="35"/>
  <c r="Q85" i="35"/>
  <c r="O72" i="35"/>
  <c r="T72" i="35" s="1"/>
  <c r="U72" i="35" s="1"/>
  <c r="AF52" i="1"/>
  <c r="AJ52" i="1" s="1"/>
  <c r="N73" i="25"/>
  <c r="N74" i="1"/>
  <c r="O72" i="25"/>
  <c r="P72" i="25" s="1"/>
  <c r="P74" i="1" s="1"/>
  <c r="C71" i="25"/>
  <c r="H73" i="1" s="1"/>
  <c r="R53" i="1"/>
  <c r="V53" i="1" s="1"/>
  <c r="D63" i="25"/>
  <c r="H53" i="25"/>
  <c r="I53" i="25"/>
  <c r="J53" i="25" s="1"/>
  <c r="J55" i="1" s="1"/>
  <c r="G54" i="25"/>
  <c r="H110" i="36" l="1"/>
  <c r="N109" i="35"/>
  <c r="J74" i="36"/>
  <c r="L74" i="36" s="1"/>
  <c r="P74" i="36" s="1"/>
  <c r="X74" i="36" s="1"/>
  <c r="AB74" i="36" s="1"/>
  <c r="O73" i="35"/>
  <c r="T73" i="35" s="1"/>
  <c r="U73" i="35" s="1"/>
  <c r="R85" i="35"/>
  <c r="Q86" i="35"/>
  <c r="S84" i="35"/>
  <c r="AF53" i="1"/>
  <c r="AJ53" i="1" s="1"/>
  <c r="N74" i="25"/>
  <c r="N75" i="1"/>
  <c r="O73" i="25"/>
  <c r="P73" i="25" s="1"/>
  <c r="P75" i="1" s="1"/>
  <c r="C72" i="25"/>
  <c r="H74" i="1" s="1"/>
  <c r="R54" i="1"/>
  <c r="V54" i="1" s="1"/>
  <c r="D64" i="25"/>
  <c r="I54" i="25"/>
  <c r="J54" i="25" s="1"/>
  <c r="J56" i="1" s="1"/>
  <c r="H54" i="25"/>
  <c r="G55" i="25"/>
  <c r="H111" i="36" l="1"/>
  <c r="N110" i="35"/>
  <c r="J75" i="36"/>
  <c r="L75" i="36" s="1"/>
  <c r="P75" i="36" s="1"/>
  <c r="X75" i="36" s="1"/>
  <c r="AB75" i="36" s="1"/>
  <c r="O74" i="35"/>
  <c r="T74" i="35" s="1"/>
  <c r="U74" i="35" s="1"/>
  <c r="R86" i="35"/>
  <c r="Q87" i="35"/>
  <c r="S85" i="35"/>
  <c r="AF54" i="1"/>
  <c r="AJ54" i="1" s="1"/>
  <c r="N75" i="25"/>
  <c r="N76" i="1"/>
  <c r="O74" i="25"/>
  <c r="P74" i="25" s="1"/>
  <c r="P76" i="1" s="1"/>
  <c r="C73" i="25"/>
  <c r="H75" i="1" s="1"/>
  <c r="R55" i="1"/>
  <c r="V55" i="1" s="1"/>
  <c r="D65" i="25"/>
  <c r="I55" i="25"/>
  <c r="J55" i="25" s="1"/>
  <c r="J57" i="1" s="1"/>
  <c r="H55" i="25"/>
  <c r="G56" i="25"/>
  <c r="J76" i="36" l="1"/>
  <c r="L76" i="36" s="1"/>
  <c r="P76" i="36" s="1"/>
  <c r="X76" i="36" s="1"/>
  <c r="AB76" i="36" s="1"/>
  <c r="H112" i="36"/>
  <c r="N111" i="35"/>
  <c r="O75" i="35"/>
  <c r="T75" i="35" s="1"/>
  <c r="U75" i="35" s="1"/>
  <c r="R87" i="35"/>
  <c r="Q88" i="35"/>
  <c r="S86" i="35"/>
  <c r="AF55" i="1"/>
  <c r="AJ55" i="1" s="1"/>
  <c r="N76" i="25"/>
  <c r="N77" i="1"/>
  <c r="O75" i="25"/>
  <c r="P75" i="25" s="1"/>
  <c r="P77" i="1" s="1"/>
  <c r="C74" i="25"/>
  <c r="H76" i="1" s="1"/>
  <c r="R56" i="1"/>
  <c r="V56" i="1" s="1"/>
  <c r="D66" i="25"/>
  <c r="H56" i="25"/>
  <c r="I56" i="25"/>
  <c r="J56" i="25" s="1"/>
  <c r="J58" i="1" s="1"/>
  <c r="G57" i="25"/>
  <c r="J77" i="36" l="1"/>
  <c r="L77" i="36" s="1"/>
  <c r="P77" i="36" s="1"/>
  <c r="X77" i="36" s="1"/>
  <c r="AB77" i="36" s="1"/>
  <c r="H113" i="36"/>
  <c r="N112" i="35"/>
  <c r="O76" i="35"/>
  <c r="T76" i="35" s="1"/>
  <c r="U76" i="35" s="1"/>
  <c r="R88" i="35"/>
  <c r="Q89" i="35"/>
  <c r="S87" i="35"/>
  <c r="AF56" i="1"/>
  <c r="AJ56" i="1" s="1"/>
  <c r="N77" i="25"/>
  <c r="N78" i="1"/>
  <c r="O76" i="25"/>
  <c r="P76" i="25" s="1"/>
  <c r="P78" i="1" s="1"/>
  <c r="C75" i="25"/>
  <c r="H77" i="1" s="1"/>
  <c r="R57" i="1"/>
  <c r="V57" i="1" s="1"/>
  <c r="D67" i="25"/>
  <c r="G58" i="25"/>
  <c r="H57" i="25"/>
  <c r="I57" i="25"/>
  <c r="J57" i="25" s="1"/>
  <c r="J59" i="1" s="1"/>
  <c r="H114" i="36" l="1"/>
  <c r="N113" i="35"/>
  <c r="J78" i="36"/>
  <c r="L78" i="36" s="1"/>
  <c r="P78" i="36" s="1"/>
  <c r="X78" i="36" s="1"/>
  <c r="AB78" i="36" s="1"/>
  <c r="S88" i="35"/>
  <c r="O77" i="35"/>
  <c r="T77" i="35" s="1"/>
  <c r="U77" i="35" s="1"/>
  <c r="R89" i="35"/>
  <c r="Q90" i="35"/>
  <c r="AF57" i="1"/>
  <c r="AJ57" i="1" s="1"/>
  <c r="N78" i="25"/>
  <c r="N79" i="25" s="1"/>
  <c r="N79" i="1"/>
  <c r="O77" i="25"/>
  <c r="P77" i="25" s="1"/>
  <c r="P79" i="1" s="1"/>
  <c r="C76" i="25"/>
  <c r="H78" i="1" s="1"/>
  <c r="R58" i="1"/>
  <c r="V58" i="1" s="1"/>
  <c r="D68" i="25"/>
  <c r="I58" i="25"/>
  <c r="J58" i="25" s="1"/>
  <c r="J60" i="1" s="1"/>
  <c r="H58" i="25"/>
  <c r="G59" i="25"/>
  <c r="N80" i="25" l="1"/>
  <c r="N81" i="1"/>
  <c r="O79" i="25"/>
  <c r="P79" i="25" s="1"/>
  <c r="P81" i="1" s="1"/>
  <c r="H115" i="36"/>
  <c r="N114" i="35"/>
  <c r="J79" i="36"/>
  <c r="L79" i="36" s="1"/>
  <c r="P79" i="36" s="1"/>
  <c r="X79" i="36" s="1"/>
  <c r="AB79" i="36" s="1"/>
  <c r="R90" i="35"/>
  <c r="Q91" i="35"/>
  <c r="O78" i="35"/>
  <c r="T78" i="35" s="1"/>
  <c r="U78" i="35" s="1"/>
  <c r="S89" i="35"/>
  <c r="AF58" i="1"/>
  <c r="AJ58" i="1" s="1"/>
  <c r="N80" i="1"/>
  <c r="O78" i="25"/>
  <c r="P78" i="25" s="1"/>
  <c r="P80" i="1" s="1"/>
  <c r="C77" i="25"/>
  <c r="H79" i="1" s="1"/>
  <c r="R59" i="1"/>
  <c r="V59" i="1" s="1"/>
  <c r="D69" i="25"/>
  <c r="I59" i="25"/>
  <c r="J59" i="25" s="1"/>
  <c r="J61" i="1" s="1"/>
  <c r="H59" i="25"/>
  <c r="G60" i="25"/>
  <c r="O80" i="25" l="1"/>
  <c r="P80" i="25" s="1"/>
  <c r="P82" i="1" s="1"/>
  <c r="N82" i="1"/>
  <c r="N81" i="25"/>
  <c r="J80" i="36"/>
  <c r="L80" i="36" s="1"/>
  <c r="P80" i="36" s="1"/>
  <c r="X80" i="36" s="1"/>
  <c r="AB80" i="36" s="1"/>
  <c r="H116" i="36"/>
  <c r="N115" i="35"/>
  <c r="O79" i="35"/>
  <c r="T79" i="35" s="1"/>
  <c r="U79" i="35" s="1"/>
  <c r="Q92" i="35"/>
  <c r="R91" i="35"/>
  <c r="S90" i="35"/>
  <c r="AF59" i="1"/>
  <c r="AJ59" i="1" s="1"/>
  <c r="C78" i="25"/>
  <c r="H80" i="1" s="1"/>
  <c r="R60" i="1"/>
  <c r="V60" i="1" s="1"/>
  <c r="D70" i="25"/>
  <c r="H60" i="25"/>
  <c r="I60" i="25"/>
  <c r="J60" i="25" s="1"/>
  <c r="J62" i="1" s="1"/>
  <c r="G61" i="25"/>
  <c r="N83" i="1" l="1"/>
  <c r="N82" i="25"/>
  <c r="O81" i="25"/>
  <c r="P81" i="25" s="1"/>
  <c r="P83" i="1" s="1"/>
  <c r="J81" i="36"/>
  <c r="L81" i="36" s="1"/>
  <c r="P81" i="36" s="1"/>
  <c r="X81" i="36" s="1"/>
  <c r="AB81" i="36" s="1"/>
  <c r="H117" i="36"/>
  <c r="N116" i="35"/>
  <c r="S91" i="35"/>
  <c r="O80" i="35"/>
  <c r="T80" i="35" s="1"/>
  <c r="U80" i="35" s="1"/>
  <c r="R92" i="35"/>
  <c r="Q93" i="35"/>
  <c r="AF60" i="1"/>
  <c r="AJ60" i="1" s="1"/>
  <c r="C79" i="25"/>
  <c r="R61" i="1"/>
  <c r="V61" i="1" s="1"/>
  <c r="D71" i="25"/>
  <c r="H61" i="25"/>
  <c r="I61" i="25"/>
  <c r="J61" i="25" s="1"/>
  <c r="J63" i="1" s="1"/>
  <c r="G62" i="25"/>
  <c r="N84" i="1" l="1"/>
  <c r="N83" i="25"/>
  <c r="O82" i="25"/>
  <c r="P82" i="25" s="1"/>
  <c r="P84" i="1" s="1"/>
  <c r="J82" i="36"/>
  <c r="L82" i="36" s="1"/>
  <c r="P82" i="36" s="1"/>
  <c r="X82" i="36" s="1"/>
  <c r="AB82" i="36" s="1"/>
  <c r="H118" i="36"/>
  <c r="N117" i="35"/>
  <c r="R93" i="35"/>
  <c r="Q94" i="35"/>
  <c r="S92" i="35"/>
  <c r="O81" i="35"/>
  <c r="T81" i="35" s="1"/>
  <c r="U81" i="35" s="1"/>
  <c r="C80" i="25"/>
  <c r="H81" i="1"/>
  <c r="AF61" i="1"/>
  <c r="AJ61" i="1" s="1"/>
  <c r="R62" i="1"/>
  <c r="V62" i="1" s="1"/>
  <c r="D72" i="25"/>
  <c r="I62" i="25"/>
  <c r="J62" i="25" s="1"/>
  <c r="J64" i="1" s="1"/>
  <c r="H62" i="25"/>
  <c r="G63" i="25"/>
  <c r="N85" i="1" l="1"/>
  <c r="O83" i="25"/>
  <c r="P83" i="25" s="1"/>
  <c r="P85" i="1" s="1"/>
  <c r="N84" i="25"/>
  <c r="H119" i="36"/>
  <c r="N118" i="35"/>
  <c r="J83" i="36"/>
  <c r="L83" i="36" s="1"/>
  <c r="P83" i="36" s="1"/>
  <c r="X83" i="36" s="1"/>
  <c r="AB83" i="36" s="1"/>
  <c r="O82" i="35"/>
  <c r="T82" i="35" s="1"/>
  <c r="U82" i="35" s="1"/>
  <c r="R94" i="35"/>
  <c r="Q95" i="35"/>
  <c r="S93" i="35"/>
  <c r="C81" i="25"/>
  <c r="H82" i="1"/>
  <c r="AF62" i="1"/>
  <c r="AJ62" i="1" s="1"/>
  <c r="R63" i="1"/>
  <c r="V63" i="1" s="1"/>
  <c r="D73" i="25"/>
  <c r="I63" i="25"/>
  <c r="J63" i="25" s="1"/>
  <c r="J65" i="1" s="1"/>
  <c r="H63" i="25"/>
  <c r="G64" i="25"/>
  <c r="N86" i="1" l="1"/>
  <c r="O84" i="25"/>
  <c r="P84" i="25" s="1"/>
  <c r="P86" i="1" s="1"/>
  <c r="N85" i="25"/>
  <c r="J84" i="36"/>
  <c r="L84" i="36" s="1"/>
  <c r="P84" i="36" s="1"/>
  <c r="X84" i="36" s="1"/>
  <c r="AB84" i="36" s="1"/>
  <c r="H120" i="36"/>
  <c r="N119" i="35"/>
  <c r="O83" i="35"/>
  <c r="T83" i="35" s="1"/>
  <c r="U83" i="35" s="1"/>
  <c r="R95" i="35"/>
  <c r="Q96" i="35"/>
  <c r="S94" i="35"/>
  <c r="C82" i="25"/>
  <c r="H83" i="1"/>
  <c r="AF63" i="1"/>
  <c r="AJ63" i="1" s="1"/>
  <c r="R64" i="1"/>
  <c r="V64" i="1" s="1"/>
  <c r="D74" i="25"/>
  <c r="G29" i="27"/>
  <c r="F29" i="27"/>
  <c r="H64" i="25"/>
  <c r="I64" i="25"/>
  <c r="J64" i="25" s="1"/>
  <c r="J66" i="1" s="1"/>
  <c r="G65" i="25"/>
  <c r="N87" i="1" l="1"/>
  <c r="N86" i="25"/>
  <c r="O85" i="25"/>
  <c r="P85" i="25" s="1"/>
  <c r="P87" i="1" s="1"/>
  <c r="J25" i="27"/>
  <c r="J85" i="36"/>
  <c r="L85" i="36" s="1"/>
  <c r="P85" i="36" s="1"/>
  <c r="X85" i="36" s="1"/>
  <c r="AB85" i="36" s="1"/>
  <c r="H121" i="36"/>
  <c r="N120" i="35"/>
  <c r="S95" i="35"/>
  <c r="R96" i="35"/>
  <c r="Q97" i="35"/>
  <c r="O84" i="35"/>
  <c r="T84" i="35" s="1"/>
  <c r="U84" i="35" s="1"/>
  <c r="C83" i="25"/>
  <c r="H84" i="1"/>
  <c r="AF64" i="1"/>
  <c r="AJ64" i="1" s="1"/>
  <c r="R65" i="1"/>
  <c r="V65" i="1" s="1"/>
  <c r="G33" i="27"/>
  <c r="J26" i="27"/>
  <c r="D75" i="25"/>
  <c r="F33" i="27"/>
  <c r="E29" i="27"/>
  <c r="E33" i="27" s="1"/>
  <c r="I65" i="25"/>
  <c r="J65" i="25" s="1"/>
  <c r="J67" i="1" s="1"/>
  <c r="H65" i="25"/>
  <c r="G66" i="25"/>
  <c r="N88" i="1" l="1"/>
  <c r="N87" i="25"/>
  <c r="O86" i="25"/>
  <c r="P86" i="25" s="1"/>
  <c r="P88" i="1" s="1"/>
  <c r="K26" i="27"/>
  <c r="K25" i="27"/>
  <c r="H122" i="36"/>
  <c r="N121" i="35"/>
  <c r="J86" i="36"/>
  <c r="L86" i="36" s="1"/>
  <c r="P86" i="36" s="1"/>
  <c r="X86" i="36" s="1"/>
  <c r="AB86" i="36" s="1"/>
  <c r="O85" i="35"/>
  <c r="T85" i="35" s="1"/>
  <c r="U85" i="35" s="1"/>
  <c r="S96" i="35"/>
  <c r="R97" i="35"/>
  <c r="Q98" i="35"/>
  <c r="C84" i="25"/>
  <c r="H85" i="1"/>
  <c r="AF65" i="1"/>
  <c r="AJ65" i="1" s="1"/>
  <c r="R66" i="1"/>
  <c r="V66" i="1" s="1"/>
  <c r="R26" i="27"/>
  <c r="R25" i="27"/>
  <c r="Q25" i="27" s="1"/>
  <c r="P25" i="27" s="1"/>
  <c r="D76" i="25"/>
  <c r="I66" i="25"/>
  <c r="J66" i="25" s="1"/>
  <c r="J68" i="1" s="1"/>
  <c r="H66" i="25"/>
  <c r="G67" i="25"/>
  <c r="N89" i="1" l="1"/>
  <c r="O87" i="25"/>
  <c r="P87" i="25" s="1"/>
  <c r="P89" i="1" s="1"/>
  <c r="N88" i="25"/>
  <c r="Q31" i="27"/>
  <c r="P31" i="27" s="1"/>
  <c r="Q52" i="27"/>
  <c r="P52" i="27" s="1"/>
  <c r="Q46" i="27"/>
  <c r="P46" i="27" s="1"/>
  <c r="Q47" i="27"/>
  <c r="P47" i="27" s="1"/>
  <c r="Q50" i="27"/>
  <c r="P50" i="27" s="1"/>
  <c r="Q51" i="27"/>
  <c r="P51" i="27" s="1"/>
  <c r="Q53" i="27"/>
  <c r="P53" i="27" s="1"/>
  <c r="Q48" i="27"/>
  <c r="P48" i="27" s="1"/>
  <c r="Q49" i="27"/>
  <c r="P49" i="27" s="1"/>
  <c r="J87" i="36"/>
  <c r="L87" i="36" s="1"/>
  <c r="P87" i="36" s="1"/>
  <c r="X87" i="36" s="1"/>
  <c r="AB87" i="36" s="1"/>
  <c r="H123" i="36"/>
  <c r="N122" i="35"/>
  <c r="R98" i="35"/>
  <c r="Q99" i="35"/>
  <c r="S97" i="35"/>
  <c r="O86" i="35"/>
  <c r="T86" i="35" s="1"/>
  <c r="U86" i="35" s="1"/>
  <c r="C85" i="25"/>
  <c r="H86" i="1"/>
  <c r="Q33" i="27"/>
  <c r="P33" i="27" s="1"/>
  <c r="Q32" i="27"/>
  <c r="P32" i="27" s="1"/>
  <c r="Q29" i="27"/>
  <c r="P29" i="27" s="1"/>
  <c r="Q27" i="27"/>
  <c r="P27" i="27" s="1"/>
  <c r="Q28" i="27"/>
  <c r="P28" i="27" s="1"/>
  <c r="Q26" i="27"/>
  <c r="P26" i="27" s="1"/>
  <c r="Q30" i="27"/>
  <c r="P30" i="27" s="1"/>
  <c r="AF66" i="1"/>
  <c r="AJ66" i="1" s="1"/>
  <c r="R67" i="1"/>
  <c r="V67" i="1" s="1"/>
  <c r="F35" i="27"/>
  <c r="F37" i="27" s="1"/>
  <c r="D77" i="25"/>
  <c r="I67" i="25"/>
  <c r="J67" i="25" s="1"/>
  <c r="J69" i="1" s="1"/>
  <c r="H67" i="25"/>
  <c r="G68" i="25"/>
  <c r="N90" i="1" l="1"/>
  <c r="O88" i="25"/>
  <c r="P88" i="25" s="1"/>
  <c r="P90" i="1" s="1"/>
  <c r="N89" i="25"/>
  <c r="J88" i="36"/>
  <c r="L88" i="36" s="1"/>
  <c r="P88" i="36" s="1"/>
  <c r="X88" i="36" s="1"/>
  <c r="AB88" i="36" s="1"/>
  <c r="H124" i="36"/>
  <c r="N123" i="35"/>
  <c r="S98" i="35"/>
  <c r="O87" i="35"/>
  <c r="T87" i="35" s="1"/>
  <c r="U87" i="35" s="1"/>
  <c r="R99" i="35"/>
  <c r="Q100" i="35"/>
  <c r="C86" i="25"/>
  <c r="H87" i="1"/>
  <c r="AF67" i="1"/>
  <c r="AJ67" i="1" s="1"/>
  <c r="R68" i="1"/>
  <c r="V68" i="1" s="1"/>
  <c r="D78" i="25"/>
  <c r="H68" i="25"/>
  <c r="I68" i="25"/>
  <c r="J68" i="25" s="1"/>
  <c r="J70" i="1" s="1"/>
  <c r="G69" i="25"/>
  <c r="N91" i="1" l="1"/>
  <c r="N90" i="25"/>
  <c r="O89" i="25"/>
  <c r="P89" i="25" s="1"/>
  <c r="P91" i="1" s="1"/>
  <c r="J89" i="36"/>
  <c r="L89" i="36" s="1"/>
  <c r="P89" i="36" s="1"/>
  <c r="X89" i="36" s="1"/>
  <c r="AB89" i="36" s="1"/>
  <c r="H125" i="36"/>
  <c r="N124" i="35"/>
  <c r="O88" i="35"/>
  <c r="T88" i="35" s="1"/>
  <c r="U88" i="35" s="1"/>
  <c r="S99" i="35"/>
  <c r="R100" i="35"/>
  <c r="Q101" i="35"/>
  <c r="C87" i="25"/>
  <c r="H88" i="1"/>
  <c r="AF68" i="1"/>
  <c r="AJ68" i="1" s="1"/>
  <c r="R69" i="1"/>
  <c r="V69" i="1" s="1"/>
  <c r="D79" i="25"/>
  <c r="H69" i="25"/>
  <c r="I69" i="25"/>
  <c r="J69" i="25" s="1"/>
  <c r="J71" i="1" s="1"/>
  <c r="G70" i="25"/>
  <c r="N92" i="1" l="1"/>
  <c r="N91" i="25"/>
  <c r="O90" i="25"/>
  <c r="P90" i="25" s="1"/>
  <c r="P92" i="1" s="1"/>
  <c r="J90" i="36"/>
  <c r="L90" i="36" s="1"/>
  <c r="P90" i="36" s="1"/>
  <c r="X90" i="36" s="1"/>
  <c r="AB90" i="36" s="1"/>
  <c r="H126" i="36"/>
  <c r="N125" i="35"/>
  <c r="R101" i="35"/>
  <c r="Q102" i="35"/>
  <c r="S100" i="35"/>
  <c r="O89" i="35"/>
  <c r="T89" i="35" s="1"/>
  <c r="U89" i="35" s="1"/>
  <c r="C88" i="25"/>
  <c r="H89" i="1"/>
  <c r="AF69" i="1"/>
  <c r="AJ69" i="1" s="1"/>
  <c r="R70" i="1"/>
  <c r="V70" i="1" s="1"/>
  <c r="D80" i="25"/>
  <c r="I70" i="25"/>
  <c r="J70" i="25" s="1"/>
  <c r="J72" i="1" s="1"/>
  <c r="H70" i="25"/>
  <c r="G71" i="25"/>
  <c r="N93" i="1" l="1"/>
  <c r="O91" i="25"/>
  <c r="P91" i="25" s="1"/>
  <c r="P93" i="1" s="1"/>
  <c r="N92" i="25"/>
  <c r="H127" i="36"/>
  <c r="N126" i="35"/>
  <c r="J91" i="36"/>
  <c r="L91" i="36" s="1"/>
  <c r="P91" i="36" s="1"/>
  <c r="X91" i="36" s="1"/>
  <c r="AB91" i="36" s="1"/>
  <c r="O90" i="35"/>
  <c r="T90" i="35" s="1"/>
  <c r="U90" i="35" s="1"/>
  <c r="R102" i="35"/>
  <c r="Q103" i="35"/>
  <c r="S101" i="35"/>
  <c r="C89" i="25"/>
  <c r="H90" i="1"/>
  <c r="AF70" i="1"/>
  <c r="AJ70" i="1" s="1"/>
  <c r="R71" i="1"/>
  <c r="V71" i="1" s="1"/>
  <c r="D81" i="25"/>
  <c r="H71" i="25"/>
  <c r="I71" i="25"/>
  <c r="J71" i="25" s="1"/>
  <c r="J73" i="1" s="1"/>
  <c r="G72" i="25"/>
  <c r="N94" i="1" l="1"/>
  <c r="N93" i="25"/>
  <c r="O92" i="25"/>
  <c r="P92" i="25" s="1"/>
  <c r="P94" i="1" s="1"/>
  <c r="J92" i="36"/>
  <c r="L92" i="36" s="1"/>
  <c r="P92" i="36" s="1"/>
  <c r="X92" i="36" s="1"/>
  <c r="AB92" i="36" s="1"/>
  <c r="H128" i="36"/>
  <c r="N127" i="35"/>
  <c r="R103" i="35"/>
  <c r="Q104" i="35"/>
  <c r="S102" i="35"/>
  <c r="O91" i="35"/>
  <c r="T91" i="35" s="1"/>
  <c r="U91" i="35" s="1"/>
  <c r="C90" i="25"/>
  <c r="H91" i="1"/>
  <c r="AF71" i="1"/>
  <c r="AJ71" i="1" s="1"/>
  <c r="R72" i="1"/>
  <c r="V72" i="1" s="1"/>
  <c r="D82" i="25"/>
  <c r="G73" i="25"/>
  <c r="H72" i="25"/>
  <c r="I72" i="25"/>
  <c r="J72" i="25" s="1"/>
  <c r="J74" i="1" s="1"/>
  <c r="N95" i="1" l="1"/>
  <c r="O93" i="25"/>
  <c r="P93" i="25" s="1"/>
  <c r="P95" i="1" s="1"/>
  <c r="N94" i="25"/>
  <c r="H129" i="36"/>
  <c r="N128" i="35"/>
  <c r="J93" i="36"/>
  <c r="L93" i="36" s="1"/>
  <c r="P93" i="36" s="1"/>
  <c r="X93" i="36" s="1"/>
  <c r="AB93" i="36" s="1"/>
  <c r="O92" i="35"/>
  <c r="T92" i="35" s="1"/>
  <c r="U92" i="35" s="1"/>
  <c r="R104" i="35"/>
  <c r="Q105" i="35"/>
  <c r="S103" i="35"/>
  <c r="C91" i="25"/>
  <c r="H92" i="1"/>
  <c r="AF72" i="1"/>
  <c r="AJ72" i="1" s="1"/>
  <c r="R73" i="1"/>
  <c r="V73" i="1" s="1"/>
  <c r="D83" i="25"/>
  <c r="I73" i="25"/>
  <c r="J73" i="25" s="1"/>
  <c r="J75" i="1" s="1"/>
  <c r="H73" i="25"/>
  <c r="G74" i="25"/>
  <c r="N96" i="1" l="1"/>
  <c r="N95" i="25"/>
  <c r="O94" i="25"/>
  <c r="P94" i="25" s="1"/>
  <c r="P96" i="1" s="1"/>
  <c r="J94" i="36"/>
  <c r="L94" i="36" s="1"/>
  <c r="P94" i="36" s="1"/>
  <c r="X94" i="36" s="1"/>
  <c r="AB94" i="36" s="1"/>
  <c r="H130" i="36"/>
  <c r="N129" i="35"/>
  <c r="R105" i="35"/>
  <c r="Q106" i="35"/>
  <c r="S104" i="35"/>
  <c r="O93" i="35"/>
  <c r="T93" i="35" s="1"/>
  <c r="U93" i="35" s="1"/>
  <c r="C92" i="25"/>
  <c r="H93" i="1"/>
  <c r="AF73" i="1"/>
  <c r="AJ73" i="1" s="1"/>
  <c r="R74" i="1"/>
  <c r="V74" i="1" s="1"/>
  <c r="D84" i="25"/>
  <c r="I74" i="25"/>
  <c r="J74" i="25" s="1"/>
  <c r="J76" i="1" s="1"/>
  <c r="H74" i="25"/>
  <c r="G75" i="25"/>
  <c r="N97" i="1" l="1"/>
  <c r="N96" i="25"/>
  <c r="O95" i="25"/>
  <c r="P95" i="25" s="1"/>
  <c r="P97" i="1" s="1"/>
  <c r="H131" i="36"/>
  <c r="N130" i="35"/>
  <c r="J95" i="36"/>
  <c r="L95" i="36" s="1"/>
  <c r="P95" i="36" s="1"/>
  <c r="X95" i="36" s="1"/>
  <c r="AB95" i="36" s="1"/>
  <c r="O94" i="35"/>
  <c r="T94" i="35" s="1"/>
  <c r="U94" i="35" s="1"/>
  <c r="R106" i="35"/>
  <c r="Q107" i="35"/>
  <c r="S105" i="35"/>
  <c r="C93" i="25"/>
  <c r="H94" i="1"/>
  <c r="AF74" i="1"/>
  <c r="AJ74" i="1" s="1"/>
  <c r="R75" i="1"/>
  <c r="V75" i="1" s="1"/>
  <c r="D85" i="25"/>
  <c r="G76" i="25"/>
  <c r="H75" i="25"/>
  <c r="I75" i="25"/>
  <c r="J75" i="25" s="1"/>
  <c r="J77" i="1" s="1"/>
  <c r="N98" i="1" l="1"/>
  <c r="O96" i="25"/>
  <c r="P96" i="25" s="1"/>
  <c r="P98" i="1" s="1"/>
  <c r="N97" i="25"/>
  <c r="J96" i="36"/>
  <c r="L96" i="36" s="1"/>
  <c r="P96" i="36" s="1"/>
  <c r="X96" i="36" s="1"/>
  <c r="AB96" i="36" s="1"/>
  <c r="H132" i="36"/>
  <c r="N131" i="35"/>
  <c r="R107" i="35"/>
  <c r="Q108" i="35"/>
  <c r="S106" i="35"/>
  <c r="O95" i="35"/>
  <c r="T95" i="35" s="1"/>
  <c r="U95" i="35" s="1"/>
  <c r="C94" i="25"/>
  <c r="H95" i="1"/>
  <c r="AF75" i="1"/>
  <c r="AJ75" i="1" s="1"/>
  <c r="R76" i="1"/>
  <c r="V76" i="1" s="1"/>
  <c r="D86" i="25"/>
  <c r="H76" i="25"/>
  <c r="I76" i="25"/>
  <c r="J76" i="25" s="1"/>
  <c r="J78" i="1" s="1"/>
  <c r="G77" i="25"/>
  <c r="N99" i="1" l="1"/>
  <c r="N98" i="25"/>
  <c r="O97" i="25"/>
  <c r="P97" i="25" s="1"/>
  <c r="P99" i="1" s="1"/>
  <c r="H133" i="36"/>
  <c r="N132" i="35"/>
  <c r="J97" i="36"/>
  <c r="L97" i="36" s="1"/>
  <c r="P97" i="36" s="1"/>
  <c r="X97" i="36" s="1"/>
  <c r="AB97" i="36" s="1"/>
  <c r="R108" i="35"/>
  <c r="Q109" i="35"/>
  <c r="O96" i="35"/>
  <c r="T96" i="35" s="1"/>
  <c r="U96" i="35" s="1"/>
  <c r="S107" i="35"/>
  <c r="C95" i="25"/>
  <c r="H96" i="1"/>
  <c r="AF76" i="1"/>
  <c r="AJ76" i="1" s="1"/>
  <c r="R77" i="1"/>
  <c r="V77" i="1" s="1"/>
  <c r="D87" i="25"/>
  <c r="H77" i="25"/>
  <c r="I77" i="25"/>
  <c r="J77" i="25" s="1"/>
  <c r="J79" i="1" s="1"/>
  <c r="G78" i="25"/>
  <c r="N100" i="1" l="1"/>
  <c r="N99" i="25"/>
  <c r="O98" i="25"/>
  <c r="P98" i="25" s="1"/>
  <c r="P100" i="1" s="1"/>
  <c r="J98" i="36"/>
  <c r="L98" i="36" s="1"/>
  <c r="P98" i="36" s="1"/>
  <c r="X98" i="36" s="1"/>
  <c r="AB98" i="36" s="1"/>
  <c r="H134" i="36"/>
  <c r="N133" i="35"/>
  <c r="O97" i="35"/>
  <c r="T97" i="35" s="1"/>
  <c r="U97" i="35" s="1"/>
  <c r="R109" i="35"/>
  <c r="Q110" i="35"/>
  <c r="S108" i="35"/>
  <c r="C96" i="25"/>
  <c r="H97" i="1"/>
  <c r="AF77" i="1"/>
  <c r="AJ77" i="1" s="1"/>
  <c r="R78" i="1"/>
  <c r="V78" i="1" s="1"/>
  <c r="D88" i="25"/>
  <c r="I78" i="25"/>
  <c r="J78" i="25" s="1"/>
  <c r="J80" i="1" s="1"/>
  <c r="H78" i="25"/>
  <c r="G79" i="25"/>
  <c r="N101" i="1" l="1"/>
  <c r="N100" i="25"/>
  <c r="O99" i="25"/>
  <c r="P99" i="25" s="1"/>
  <c r="P101" i="1" s="1"/>
  <c r="J99" i="36"/>
  <c r="L99" i="36" s="1"/>
  <c r="P99" i="36" s="1"/>
  <c r="X99" i="36" s="1"/>
  <c r="AB99" i="36" s="1"/>
  <c r="H135" i="36"/>
  <c r="N134" i="35"/>
  <c r="R110" i="35"/>
  <c r="Q111" i="35"/>
  <c r="S109" i="35"/>
  <c r="O98" i="35"/>
  <c r="T98" i="35" s="1"/>
  <c r="U98" i="35" s="1"/>
  <c r="C97" i="25"/>
  <c r="H98" i="1"/>
  <c r="AF78" i="1"/>
  <c r="AJ78" i="1" s="1"/>
  <c r="R79" i="1"/>
  <c r="V79" i="1" s="1"/>
  <c r="D89" i="25"/>
  <c r="I79" i="25"/>
  <c r="J79" i="25" s="1"/>
  <c r="J81" i="1" s="1"/>
  <c r="H79" i="25"/>
  <c r="G80" i="25"/>
  <c r="N102" i="1" l="1"/>
  <c r="O100" i="25"/>
  <c r="P100" i="25" s="1"/>
  <c r="P102" i="1" s="1"/>
  <c r="N101" i="25"/>
  <c r="H136" i="36"/>
  <c r="N135" i="35"/>
  <c r="J100" i="36"/>
  <c r="L100" i="36" s="1"/>
  <c r="P100" i="36" s="1"/>
  <c r="X100" i="36" s="1"/>
  <c r="AB100" i="36" s="1"/>
  <c r="O99" i="35"/>
  <c r="T99" i="35" s="1"/>
  <c r="U99" i="35" s="1"/>
  <c r="R111" i="35"/>
  <c r="Q112" i="35"/>
  <c r="S110" i="35"/>
  <c r="C98" i="25"/>
  <c r="H99" i="1"/>
  <c r="AF79" i="1"/>
  <c r="AJ79" i="1" s="1"/>
  <c r="R80" i="1"/>
  <c r="V80" i="1" s="1"/>
  <c r="AF80" i="1" s="1"/>
  <c r="D90" i="25"/>
  <c r="H80" i="25"/>
  <c r="I80" i="25"/>
  <c r="J80" i="25" s="1"/>
  <c r="J82" i="1" s="1"/>
  <c r="G81" i="25"/>
  <c r="N103" i="1" l="1"/>
  <c r="O101" i="25"/>
  <c r="P101" i="25" s="1"/>
  <c r="P103" i="1" s="1"/>
  <c r="N102" i="25"/>
  <c r="J101" i="36"/>
  <c r="L101" i="36" s="1"/>
  <c r="P101" i="36" s="1"/>
  <c r="X101" i="36" s="1"/>
  <c r="AB101" i="36" s="1"/>
  <c r="H137" i="36"/>
  <c r="N136" i="35"/>
  <c r="O100" i="35"/>
  <c r="T100" i="35" s="1"/>
  <c r="U100" i="35" s="1"/>
  <c r="R112" i="35"/>
  <c r="Q113" i="35"/>
  <c r="S111" i="35"/>
  <c r="C99" i="25"/>
  <c r="H100" i="1"/>
  <c r="AJ80" i="1"/>
  <c r="R81" i="1"/>
  <c r="V81" i="1" s="1"/>
  <c r="D91" i="25"/>
  <c r="I81" i="25"/>
  <c r="J81" i="25" s="1"/>
  <c r="J83" i="1" s="1"/>
  <c r="H81" i="25"/>
  <c r="G82" i="25"/>
  <c r="N104" i="1" l="1"/>
  <c r="N103" i="25"/>
  <c r="O102" i="25"/>
  <c r="P102" i="25" s="1"/>
  <c r="P104" i="1" s="1"/>
  <c r="J102" i="36"/>
  <c r="L102" i="36" s="1"/>
  <c r="P102" i="36" s="1"/>
  <c r="X102" i="36" s="1"/>
  <c r="AB102" i="36" s="1"/>
  <c r="H138" i="36"/>
  <c r="N137" i="35"/>
  <c r="R113" i="35"/>
  <c r="Q114" i="35"/>
  <c r="S112" i="35"/>
  <c r="O101" i="35"/>
  <c r="T101" i="35" s="1"/>
  <c r="U101" i="35" s="1"/>
  <c r="AF81" i="1"/>
  <c r="AJ81" i="1" s="1"/>
  <c r="C100" i="25"/>
  <c r="H101" i="1"/>
  <c r="R82" i="1"/>
  <c r="V82" i="1" s="1"/>
  <c r="D92" i="25"/>
  <c r="I82" i="25"/>
  <c r="J82" i="25" s="1"/>
  <c r="J84" i="1" s="1"/>
  <c r="H82" i="25"/>
  <c r="G83" i="25"/>
  <c r="N105" i="1" l="1"/>
  <c r="N104" i="25"/>
  <c r="O103" i="25"/>
  <c r="P103" i="25" s="1"/>
  <c r="P105" i="1" s="1"/>
  <c r="H139" i="36"/>
  <c r="N138" i="35"/>
  <c r="J103" i="36"/>
  <c r="L103" i="36" s="1"/>
  <c r="P103" i="36" s="1"/>
  <c r="X103" i="36" s="1"/>
  <c r="AB103" i="36" s="1"/>
  <c r="O102" i="35"/>
  <c r="T102" i="35" s="1"/>
  <c r="U102" i="35" s="1"/>
  <c r="R114" i="35"/>
  <c r="Q115" i="35"/>
  <c r="S113" i="35"/>
  <c r="AF82" i="1"/>
  <c r="AJ82" i="1" s="1"/>
  <c r="C101" i="25"/>
  <c r="H102" i="1"/>
  <c r="R83" i="1"/>
  <c r="V83" i="1" s="1"/>
  <c r="D93" i="25"/>
  <c r="I83" i="25"/>
  <c r="J83" i="25" s="1"/>
  <c r="J85" i="1" s="1"/>
  <c r="H83" i="25"/>
  <c r="G84" i="25"/>
  <c r="N106" i="1" l="1"/>
  <c r="O104" i="25"/>
  <c r="P104" i="25" s="1"/>
  <c r="P106" i="1" s="1"/>
  <c r="N105" i="25"/>
  <c r="H140" i="36"/>
  <c r="N139" i="35"/>
  <c r="J104" i="36"/>
  <c r="L104" i="36" s="1"/>
  <c r="P104" i="36" s="1"/>
  <c r="X104" i="36" s="1"/>
  <c r="AB104" i="36" s="1"/>
  <c r="Q116" i="35"/>
  <c r="R115" i="35"/>
  <c r="S114" i="35"/>
  <c r="O103" i="35"/>
  <c r="T103" i="35" s="1"/>
  <c r="U103" i="35" s="1"/>
  <c r="C102" i="25"/>
  <c r="H103" i="1"/>
  <c r="AF83" i="1"/>
  <c r="AJ83" i="1" s="1"/>
  <c r="R84" i="1"/>
  <c r="V84" i="1" s="1"/>
  <c r="D94" i="25"/>
  <c r="H84" i="25"/>
  <c r="I84" i="25"/>
  <c r="J84" i="25" s="1"/>
  <c r="J86" i="1" s="1"/>
  <c r="G85" i="25"/>
  <c r="N107" i="1" l="1"/>
  <c r="O105" i="25"/>
  <c r="P105" i="25" s="1"/>
  <c r="P107" i="1" s="1"/>
  <c r="N106" i="25"/>
  <c r="H141" i="36"/>
  <c r="N140" i="35"/>
  <c r="J105" i="36"/>
  <c r="L105" i="36" s="1"/>
  <c r="P105" i="36" s="1"/>
  <c r="X105" i="36" s="1"/>
  <c r="AB105" i="36" s="1"/>
  <c r="O104" i="35"/>
  <c r="T104" i="35" s="1"/>
  <c r="U104" i="35" s="1"/>
  <c r="S115" i="35"/>
  <c r="R116" i="35"/>
  <c r="Q117" i="35"/>
  <c r="AF84" i="1"/>
  <c r="AJ84" i="1" s="1"/>
  <c r="C103" i="25"/>
  <c r="H104" i="1"/>
  <c r="R85" i="1"/>
  <c r="V85" i="1" s="1"/>
  <c r="D95" i="25"/>
  <c r="H85" i="25"/>
  <c r="I85" i="25"/>
  <c r="J85" i="25" s="1"/>
  <c r="J87" i="1" s="1"/>
  <c r="G86" i="25"/>
  <c r="N108" i="1" l="1"/>
  <c r="N107" i="25"/>
  <c r="O106" i="25"/>
  <c r="P106" i="25" s="1"/>
  <c r="P108" i="1" s="1"/>
  <c r="J106" i="36"/>
  <c r="L106" i="36" s="1"/>
  <c r="P106" i="36" s="1"/>
  <c r="X106" i="36" s="1"/>
  <c r="AB106" i="36" s="1"/>
  <c r="H142" i="36"/>
  <c r="N141" i="35"/>
  <c r="S116" i="35"/>
  <c r="O105" i="35"/>
  <c r="T105" i="35" s="1"/>
  <c r="U105" i="35" s="1"/>
  <c r="R117" i="35"/>
  <c r="Q118" i="35"/>
  <c r="C104" i="25"/>
  <c r="H105" i="1"/>
  <c r="AF85" i="1"/>
  <c r="AJ85" i="1" s="1"/>
  <c r="R86" i="1"/>
  <c r="V86" i="1" s="1"/>
  <c r="D96" i="25"/>
  <c r="I86" i="25"/>
  <c r="J86" i="25" s="1"/>
  <c r="J88" i="1" s="1"/>
  <c r="H86" i="25"/>
  <c r="G87" i="25"/>
  <c r="N109" i="1" l="1"/>
  <c r="O107" i="25"/>
  <c r="P107" i="25" s="1"/>
  <c r="P109" i="1" s="1"/>
  <c r="N108" i="25"/>
  <c r="H143" i="36"/>
  <c r="N142" i="35"/>
  <c r="J107" i="36"/>
  <c r="L107" i="36" s="1"/>
  <c r="P107" i="36" s="1"/>
  <c r="X107" i="36" s="1"/>
  <c r="AB107" i="36" s="1"/>
  <c r="S117" i="35"/>
  <c r="R118" i="35"/>
  <c r="Q119" i="35"/>
  <c r="O106" i="35"/>
  <c r="T106" i="35" s="1"/>
  <c r="U106" i="35" s="1"/>
  <c r="AF86" i="1"/>
  <c r="AJ86" i="1" s="1"/>
  <c r="C105" i="25"/>
  <c r="H106" i="1"/>
  <c r="R87" i="1"/>
  <c r="V87" i="1" s="1"/>
  <c r="D97" i="25"/>
  <c r="I87" i="25"/>
  <c r="J87" i="25" s="1"/>
  <c r="J89" i="1" s="1"/>
  <c r="H87" i="25"/>
  <c r="G88" i="25"/>
  <c r="N110" i="1" l="1"/>
  <c r="O108" i="25"/>
  <c r="P108" i="25" s="1"/>
  <c r="P110" i="1" s="1"/>
  <c r="N109" i="25"/>
  <c r="J108" i="36"/>
  <c r="L108" i="36" s="1"/>
  <c r="P108" i="36" s="1"/>
  <c r="X108" i="36" s="1"/>
  <c r="AB108" i="36" s="1"/>
  <c r="H144" i="36"/>
  <c r="N143" i="35"/>
  <c r="S118" i="35"/>
  <c r="O107" i="35"/>
  <c r="T107" i="35" s="1"/>
  <c r="U107" i="35" s="1"/>
  <c r="R119" i="35"/>
  <c r="Q120" i="35"/>
  <c r="C106" i="25"/>
  <c r="H107" i="1"/>
  <c r="AF87" i="1"/>
  <c r="AJ87" i="1" s="1"/>
  <c r="R88" i="1"/>
  <c r="V88" i="1" s="1"/>
  <c r="D98" i="25"/>
  <c r="H88" i="25"/>
  <c r="I88" i="25"/>
  <c r="J88" i="25" s="1"/>
  <c r="J90" i="1" s="1"/>
  <c r="G89" i="25"/>
  <c r="N111" i="1" l="1"/>
  <c r="O109" i="25"/>
  <c r="P109" i="25" s="1"/>
  <c r="P111" i="1" s="1"/>
  <c r="N110" i="25"/>
  <c r="J109" i="36"/>
  <c r="L109" i="36" s="1"/>
  <c r="P109" i="36" s="1"/>
  <c r="X109" i="36" s="1"/>
  <c r="AB109" i="36" s="1"/>
  <c r="H145" i="36"/>
  <c r="N144" i="35"/>
  <c r="R120" i="35"/>
  <c r="Q121" i="35"/>
  <c r="S119" i="35"/>
  <c r="O108" i="35"/>
  <c r="T108" i="35" s="1"/>
  <c r="U108" i="35" s="1"/>
  <c r="AF88" i="1"/>
  <c r="AJ88" i="1" s="1"/>
  <c r="C107" i="25"/>
  <c r="H108" i="1"/>
  <c r="R89" i="1"/>
  <c r="V89" i="1" s="1"/>
  <c r="D99" i="25"/>
  <c r="I89" i="25"/>
  <c r="J89" i="25" s="1"/>
  <c r="J91" i="1" s="1"/>
  <c r="H89" i="25"/>
  <c r="G90" i="25"/>
  <c r="N112" i="1" l="1"/>
  <c r="N111" i="25"/>
  <c r="O110" i="25"/>
  <c r="P110" i="25" s="1"/>
  <c r="P112" i="1" s="1"/>
  <c r="J110" i="36"/>
  <c r="L110" i="36" s="1"/>
  <c r="P110" i="36" s="1"/>
  <c r="X110" i="36" s="1"/>
  <c r="AB110" i="36" s="1"/>
  <c r="H146" i="36"/>
  <c r="N145" i="35"/>
  <c r="O109" i="35"/>
  <c r="T109" i="35" s="1"/>
  <c r="U109" i="35" s="1"/>
  <c r="R121" i="35"/>
  <c r="Q122" i="35"/>
  <c r="S120" i="35"/>
  <c r="AF89" i="1"/>
  <c r="AJ89" i="1" s="1"/>
  <c r="C108" i="25"/>
  <c r="H109" i="1"/>
  <c r="R90" i="1"/>
  <c r="V90" i="1" s="1"/>
  <c r="D100" i="25"/>
  <c r="I90" i="25"/>
  <c r="J90" i="25" s="1"/>
  <c r="J92" i="1" s="1"/>
  <c r="H90" i="25"/>
  <c r="G91" i="25"/>
  <c r="N113" i="1" l="1"/>
  <c r="N112" i="25"/>
  <c r="O111" i="25"/>
  <c r="P111" i="25" s="1"/>
  <c r="P113" i="1" s="1"/>
  <c r="H147" i="36"/>
  <c r="N146" i="35"/>
  <c r="J111" i="36"/>
  <c r="L111" i="36" s="1"/>
  <c r="P111" i="36" s="1"/>
  <c r="X111" i="36" s="1"/>
  <c r="AB111" i="36" s="1"/>
  <c r="O110" i="35"/>
  <c r="T110" i="35" s="1"/>
  <c r="U110" i="35" s="1"/>
  <c r="R122" i="35"/>
  <c r="Q123" i="35"/>
  <c r="S121" i="35"/>
  <c r="C109" i="25"/>
  <c r="H110" i="1"/>
  <c r="AF90" i="1"/>
  <c r="AJ90" i="1" s="1"/>
  <c r="R91" i="1"/>
  <c r="V91" i="1" s="1"/>
  <c r="D101" i="25"/>
  <c r="H91" i="25"/>
  <c r="I91" i="25"/>
  <c r="J91" i="25" s="1"/>
  <c r="J93" i="1" s="1"/>
  <c r="G92" i="25"/>
  <c r="N114" i="1" l="1"/>
  <c r="O112" i="25"/>
  <c r="P112" i="25" s="1"/>
  <c r="P114" i="1" s="1"/>
  <c r="N113" i="25"/>
  <c r="H148" i="36"/>
  <c r="N147" i="35"/>
  <c r="J112" i="36"/>
  <c r="L112" i="36" s="1"/>
  <c r="P112" i="36" s="1"/>
  <c r="X112" i="36" s="1"/>
  <c r="AB112" i="36" s="1"/>
  <c r="S122" i="35"/>
  <c r="R123" i="35"/>
  <c r="Q124" i="35"/>
  <c r="O111" i="35"/>
  <c r="T111" i="35" s="1"/>
  <c r="U111" i="35" s="1"/>
  <c r="AF91" i="1"/>
  <c r="AJ91" i="1" s="1"/>
  <c r="C110" i="25"/>
  <c r="H111" i="1"/>
  <c r="R92" i="1"/>
  <c r="V92" i="1" s="1"/>
  <c r="D102" i="25"/>
  <c r="H92" i="25"/>
  <c r="I92" i="25"/>
  <c r="J92" i="25" s="1"/>
  <c r="J94" i="1" s="1"/>
  <c r="G93" i="25"/>
  <c r="N115" i="1" l="1"/>
  <c r="N114" i="25"/>
  <c r="O113" i="25"/>
  <c r="P113" i="25" s="1"/>
  <c r="P115" i="1" s="1"/>
  <c r="H149" i="36"/>
  <c r="N148" i="35"/>
  <c r="J113" i="36"/>
  <c r="L113" i="36" s="1"/>
  <c r="P113" i="36" s="1"/>
  <c r="X113" i="36" s="1"/>
  <c r="AB113" i="36" s="1"/>
  <c r="S123" i="35"/>
  <c r="O112" i="35"/>
  <c r="T112" i="35" s="1"/>
  <c r="U112" i="35" s="1"/>
  <c r="R124" i="35"/>
  <c r="Q125" i="35"/>
  <c r="AF92" i="1"/>
  <c r="AJ92" i="1" s="1"/>
  <c r="C111" i="25"/>
  <c r="H112" i="1"/>
  <c r="R93" i="1"/>
  <c r="V93" i="1" s="1"/>
  <c r="D103" i="25"/>
  <c r="G94" i="25"/>
  <c r="H93" i="25"/>
  <c r="I93" i="25"/>
  <c r="J93" i="25" s="1"/>
  <c r="J95" i="1" s="1"/>
  <c r="N116" i="1" l="1"/>
  <c r="N115" i="25"/>
  <c r="O114" i="25"/>
  <c r="P114" i="25" s="1"/>
  <c r="P116" i="1" s="1"/>
  <c r="J114" i="36"/>
  <c r="L114" i="36" s="1"/>
  <c r="P114" i="36" s="1"/>
  <c r="X114" i="36" s="1"/>
  <c r="AB114" i="36" s="1"/>
  <c r="H150" i="36"/>
  <c r="N149" i="35"/>
  <c r="S124" i="35"/>
  <c r="O113" i="35"/>
  <c r="T113" i="35" s="1"/>
  <c r="U113" i="35" s="1"/>
  <c r="R125" i="35"/>
  <c r="Q126" i="35"/>
  <c r="AF93" i="1"/>
  <c r="AJ93" i="1" s="1"/>
  <c r="C112" i="25"/>
  <c r="H113" i="1"/>
  <c r="R94" i="1"/>
  <c r="V94" i="1" s="1"/>
  <c r="D104" i="25"/>
  <c r="I94" i="25"/>
  <c r="J94" i="25" s="1"/>
  <c r="J96" i="1" s="1"/>
  <c r="H94" i="25"/>
  <c r="G95" i="25"/>
  <c r="N117" i="1" l="1"/>
  <c r="O115" i="25"/>
  <c r="P115" i="25" s="1"/>
  <c r="P117" i="1" s="1"/>
  <c r="N116" i="25"/>
  <c r="J115" i="36"/>
  <c r="L115" i="36" s="1"/>
  <c r="P115" i="36" s="1"/>
  <c r="X115" i="36" s="1"/>
  <c r="AB115" i="36" s="1"/>
  <c r="H151" i="36"/>
  <c r="N150" i="35"/>
  <c r="R126" i="35"/>
  <c r="Q127" i="35"/>
  <c r="O114" i="35"/>
  <c r="T114" i="35" s="1"/>
  <c r="U114" i="35" s="1"/>
  <c r="S125" i="35"/>
  <c r="AF94" i="1"/>
  <c r="AJ94" i="1" s="1"/>
  <c r="C113" i="25"/>
  <c r="H114" i="1"/>
  <c r="R95" i="1"/>
  <c r="V95" i="1" s="1"/>
  <c r="D105" i="25"/>
  <c r="I95" i="25"/>
  <c r="J95" i="25" s="1"/>
  <c r="J97" i="1" s="1"/>
  <c r="H95" i="25"/>
  <c r="G96" i="25"/>
  <c r="N118" i="1" l="1"/>
  <c r="O116" i="25"/>
  <c r="P116" i="25" s="1"/>
  <c r="P118" i="1" s="1"/>
  <c r="N117" i="25"/>
  <c r="J116" i="36"/>
  <c r="L116" i="36" s="1"/>
  <c r="P116" i="36" s="1"/>
  <c r="X116" i="36" s="1"/>
  <c r="AB116" i="36" s="1"/>
  <c r="H152" i="36"/>
  <c r="N151" i="35"/>
  <c r="O115" i="35"/>
  <c r="T115" i="35" s="1"/>
  <c r="U115" i="35" s="1"/>
  <c r="R127" i="35"/>
  <c r="Q128" i="35"/>
  <c r="S126" i="35"/>
  <c r="AF95" i="1"/>
  <c r="AJ95" i="1" s="1"/>
  <c r="C114" i="25"/>
  <c r="H115" i="1"/>
  <c r="R96" i="1"/>
  <c r="V96" i="1" s="1"/>
  <c r="D106" i="25"/>
  <c r="H96" i="25"/>
  <c r="I96" i="25"/>
  <c r="J96" i="25" s="1"/>
  <c r="J98" i="1" s="1"/>
  <c r="G97" i="25"/>
  <c r="N119" i="1" l="1"/>
  <c r="O117" i="25"/>
  <c r="P117" i="25" s="1"/>
  <c r="P119" i="1" s="1"/>
  <c r="N118" i="25"/>
  <c r="H153" i="36"/>
  <c r="N152" i="35"/>
  <c r="J117" i="36"/>
  <c r="L117" i="36" s="1"/>
  <c r="P117" i="36" s="1"/>
  <c r="X117" i="36" s="1"/>
  <c r="AB117" i="36" s="1"/>
  <c r="O116" i="35"/>
  <c r="T116" i="35" s="1"/>
  <c r="U116" i="35" s="1"/>
  <c r="R128" i="35"/>
  <c r="Q129" i="35"/>
  <c r="S127" i="35"/>
  <c r="AF96" i="1"/>
  <c r="AJ96" i="1" s="1"/>
  <c r="C115" i="25"/>
  <c r="H116" i="1"/>
  <c r="R97" i="1"/>
  <c r="V97" i="1" s="1"/>
  <c r="D107" i="25"/>
  <c r="I97" i="25"/>
  <c r="J97" i="25" s="1"/>
  <c r="J99" i="1" s="1"/>
  <c r="H97" i="25"/>
  <c r="G98" i="25"/>
  <c r="N120" i="1" l="1"/>
  <c r="N119" i="25"/>
  <c r="O118" i="25"/>
  <c r="P118" i="25" s="1"/>
  <c r="P120" i="1" s="1"/>
  <c r="J118" i="36"/>
  <c r="L118" i="36" s="1"/>
  <c r="P118" i="36" s="1"/>
  <c r="X118" i="36" s="1"/>
  <c r="AB118" i="36" s="1"/>
  <c r="H154" i="36"/>
  <c r="N153" i="35"/>
  <c r="S128" i="35"/>
  <c r="R129" i="35"/>
  <c r="Q130" i="35"/>
  <c r="O117" i="35"/>
  <c r="T117" i="35" s="1"/>
  <c r="U117" i="35" s="1"/>
  <c r="C116" i="25"/>
  <c r="H117" i="1"/>
  <c r="AF97" i="1"/>
  <c r="AJ97" i="1" s="1"/>
  <c r="R98" i="1"/>
  <c r="V98" i="1" s="1"/>
  <c r="D108" i="25"/>
  <c r="I98" i="25"/>
  <c r="J98" i="25" s="1"/>
  <c r="J100" i="1" s="1"/>
  <c r="H98" i="25"/>
  <c r="G99" i="25"/>
  <c r="N121" i="1" l="1"/>
  <c r="N120" i="25"/>
  <c r="O119" i="25"/>
  <c r="P119" i="25" s="1"/>
  <c r="P121" i="1" s="1"/>
  <c r="J119" i="36"/>
  <c r="L119" i="36" s="1"/>
  <c r="P119" i="36" s="1"/>
  <c r="X119" i="36" s="1"/>
  <c r="AB119" i="36" s="1"/>
  <c r="H155" i="36"/>
  <c r="N154" i="35"/>
  <c r="O118" i="35"/>
  <c r="T118" i="35" s="1"/>
  <c r="U118" i="35" s="1"/>
  <c r="R130" i="35"/>
  <c r="Q131" i="35"/>
  <c r="S129" i="35"/>
  <c r="AF98" i="1"/>
  <c r="AJ98" i="1" s="1"/>
  <c r="C117" i="25"/>
  <c r="H118" i="1"/>
  <c r="R99" i="1"/>
  <c r="V99" i="1" s="1"/>
  <c r="D109" i="25"/>
  <c r="H99" i="25"/>
  <c r="I99" i="25"/>
  <c r="J99" i="25" s="1"/>
  <c r="J101" i="1" s="1"/>
  <c r="G100" i="25"/>
  <c r="N122" i="1" l="1"/>
  <c r="O120" i="25"/>
  <c r="P120" i="25" s="1"/>
  <c r="P122" i="1" s="1"/>
  <c r="N121" i="25"/>
  <c r="J120" i="36"/>
  <c r="L120" i="36" s="1"/>
  <c r="P120" i="36" s="1"/>
  <c r="X120" i="36" s="1"/>
  <c r="AB120" i="36" s="1"/>
  <c r="H156" i="36"/>
  <c r="N155" i="35"/>
  <c r="O119" i="35"/>
  <c r="T119" i="35" s="1"/>
  <c r="U119" i="35" s="1"/>
  <c r="R131" i="35"/>
  <c r="Q132" i="35"/>
  <c r="S130" i="35"/>
  <c r="AF99" i="1"/>
  <c r="AJ99" i="1" s="1"/>
  <c r="C118" i="25"/>
  <c r="H119" i="1"/>
  <c r="R100" i="1"/>
  <c r="V100" i="1" s="1"/>
  <c r="D110" i="25"/>
  <c r="H100" i="25"/>
  <c r="I100" i="25"/>
  <c r="J100" i="25" s="1"/>
  <c r="J102" i="1" s="1"/>
  <c r="G101" i="25"/>
  <c r="N123" i="1" l="1"/>
  <c r="O121" i="25"/>
  <c r="P121" i="25" s="1"/>
  <c r="P123" i="1" s="1"/>
  <c r="N122" i="25"/>
  <c r="H157" i="36"/>
  <c r="N156" i="35"/>
  <c r="J121" i="36"/>
  <c r="L121" i="36" s="1"/>
  <c r="P121" i="36" s="1"/>
  <c r="X121" i="36" s="1"/>
  <c r="AB121" i="36" s="1"/>
  <c r="S131" i="35"/>
  <c r="R132" i="35"/>
  <c r="Q133" i="35"/>
  <c r="O120" i="35"/>
  <c r="T120" i="35" s="1"/>
  <c r="U120" i="35" s="1"/>
  <c r="C119" i="25"/>
  <c r="H120" i="1"/>
  <c r="AF100" i="1"/>
  <c r="AJ100" i="1" s="1"/>
  <c r="R101" i="1"/>
  <c r="V101" i="1" s="1"/>
  <c r="D111" i="25"/>
  <c r="H101" i="25"/>
  <c r="I101" i="25"/>
  <c r="J101" i="25" s="1"/>
  <c r="J103" i="1" s="1"/>
  <c r="G102" i="25"/>
  <c r="N124" i="1" l="1"/>
  <c r="N123" i="25"/>
  <c r="O122" i="25"/>
  <c r="P122" i="25" s="1"/>
  <c r="P124" i="1" s="1"/>
  <c r="J122" i="36"/>
  <c r="L122" i="36" s="1"/>
  <c r="P122" i="36" s="1"/>
  <c r="X122" i="36" s="1"/>
  <c r="AB122" i="36" s="1"/>
  <c r="H158" i="36"/>
  <c r="N157" i="35"/>
  <c r="R133" i="35"/>
  <c r="Q134" i="35"/>
  <c r="S132" i="35"/>
  <c r="O121" i="35"/>
  <c r="T121" i="35" s="1"/>
  <c r="U121" i="35" s="1"/>
  <c r="AF101" i="1"/>
  <c r="AJ101" i="1" s="1"/>
  <c r="C120" i="25"/>
  <c r="H121" i="1"/>
  <c r="R102" i="1"/>
  <c r="V102" i="1" s="1"/>
  <c r="D112" i="25"/>
  <c r="H102" i="25"/>
  <c r="I102" i="25"/>
  <c r="J102" i="25" s="1"/>
  <c r="J104" i="1" s="1"/>
  <c r="G103" i="25"/>
  <c r="N125" i="1" l="1"/>
  <c r="O123" i="25"/>
  <c r="P123" i="25" s="1"/>
  <c r="P125" i="1" s="1"/>
  <c r="N124" i="25"/>
  <c r="J123" i="36"/>
  <c r="L123" i="36" s="1"/>
  <c r="P123" i="36" s="1"/>
  <c r="X123" i="36" s="1"/>
  <c r="AB123" i="36" s="1"/>
  <c r="H159" i="36"/>
  <c r="N158" i="35"/>
  <c r="O122" i="35"/>
  <c r="T122" i="35" s="1"/>
  <c r="U122" i="35" s="1"/>
  <c r="R134" i="35"/>
  <c r="Q135" i="35"/>
  <c r="S133" i="35"/>
  <c r="C121" i="25"/>
  <c r="H122" i="1"/>
  <c r="AF102" i="1"/>
  <c r="AJ102" i="1" s="1"/>
  <c r="R103" i="1"/>
  <c r="V103" i="1" s="1"/>
  <c r="D113" i="25"/>
  <c r="I103" i="25"/>
  <c r="J103" i="25" s="1"/>
  <c r="J105" i="1" s="1"/>
  <c r="H103" i="25"/>
  <c r="G104" i="25"/>
  <c r="N126" i="1" l="1"/>
  <c r="O124" i="25"/>
  <c r="P124" i="25" s="1"/>
  <c r="P126" i="1" s="1"/>
  <c r="N125" i="25"/>
  <c r="J124" i="36"/>
  <c r="L124" i="36" s="1"/>
  <c r="P124" i="36" s="1"/>
  <c r="X124" i="36" s="1"/>
  <c r="AB124" i="36" s="1"/>
  <c r="H160" i="36"/>
  <c r="N159" i="35"/>
  <c r="O123" i="35"/>
  <c r="T123" i="35" s="1"/>
  <c r="U123" i="35" s="1"/>
  <c r="R135" i="35"/>
  <c r="Q136" i="35"/>
  <c r="S134" i="35"/>
  <c r="AF103" i="1"/>
  <c r="AJ103" i="1" s="1"/>
  <c r="C122" i="25"/>
  <c r="H123" i="1"/>
  <c r="R104" i="1"/>
  <c r="V104" i="1" s="1"/>
  <c r="D114" i="25"/>
  <c r="H104" i="25"/>
  <c r="I104" i="25"/>
  <c r="J104" i="25" s="1"/>
  <c r="J106" i="1" s="1"/>
  <c r="G105" i="25"/>
  <c r="N127" i="1" l="1"/>
  <c r="O125" i="25"/>
  <c r="P125" i="25" s="1"/>
  <c r="P127" i="1" s="1"/>
  <c r="N126" i="25"/>
  <c r="J125" i="36"/>
  <c r="L125" i="36" s="1"/>
  <c r="P125" i="36" s="1"/>
  <c r="X125" i="36" s="1"/>
  <c r="AB125" i="36" s="1"/>
  <c r="H161" i="36"/>
  <c r="N160" i="35"/>
  <c r="S135" i="35"/>
  <c r="R136" i="35"/>
  <c r="Q137" i="35"/>
  <c r="O124" i="35"/>
  <c r="T124" i="35" s="1"/>
  <c r="U124" i="35" s="1"/>
  <c r="C123" i="25"/>
  <c r="H124" i="1"/>
  <c r="AF104" i="1"/>
  <c r="AJ104" i="1" s="1"/>
  <c r="R105" i="1"/>
  <c r="V105" i="1" s="1"/>
  <c r="D115" i="25"/>
  <c r="I105" i="25"/>
  <c r="J105" i="25" s="1"/>
  <c r="J107" i="1" s="1"/>
  <c r="H105" i="25"/>
  <c r="G106" i="25"/>
  <c r="N128" i="1" l="1"/>
  <c r="N127" i="25"/>
  <c r="O126" i="25"/>
  <c r="P126" i="25" s="1"/>
  <c r="P128" i="1" s="1"/>
  <c r="J126" i="36"/>
  <c r="L126" i="36" s="1"/>
  <c r="P126" i="36" s="1"/>
  <c r="X126" i="36" s="1"/>
  <c r="AB126" i="36" s="1"/>
  <c r="H162" i="36"/>
  <c r="N161" i="35"/>
  <c r="O125" i="35"/>
  <c r="T125" i="35" s="1"/>
  <c r="U125" i="35" s="1"/>
  <c r="S136" i="35"/>
  <c r="R137" i="35"/>
  <c r="Q138" i="35"/>
  <c r="AF105" i="1"/>
  <c r="AJ105" i="1" s="1"/>
  <c r="C124" i="25"/>
  <c r="H125" i="1"/>
  <c r="R106" i="1"/>
  <c r="V106" i="1" s="1"/>
  <c r="D116" i="25"/>
  <c r="I106" i="25"/>
  <c r="J106" i="25" s="1"/>
  <c r="J108" i="1" s="1"/>
  <c r="H106" i="25"/>
  <c r="G107" i="25"/>
  <c r="N129" i="1" l="1"/>
  <c r="N128" i="25"/>
  <c r="O127" i="25"/>
  <c r="P127" i="25" s="1"/>
  <c r="P129" i="1" s="1"/>
  <c r="J127" i="36"/>
  <c r="L127" i="36" s="1"/>
  <c r="P127" i="36" s="1"/>
  <c r="X127" i="36" s="1"/>
  <c r="AB127" i="36" s="1"/>
  <c r="H163" i="36"/>
  <c r="N162" i="35"/>
  <c r="O126" i="35"/>
  <c r="T126" i="35" s="1"/>
  <c r="U126" i="35" s="1"/>
  <c r="R138" i="35"/>
  <c r="Q139" i="35"/>
  <c r="S137" i="35"/>
  <c r="AF106" i="1"/>
  <c r="AJ106" i="1" s="1"/>
  <c r="C125" i="25"/>
  <c r="H126" i="1"/>
  <c r="R107" i="1"/>
  <c r="V107" i="1" s="1"/>
  <c r="D117" i="25"/>
  <c r="I107" i="25"/>
  <c r="J107" i="25" s="1"/>
  <c r="J109" i="1" s="1"/>
  <c r="H107" i="25"/>
  <c r="G108" i="25"/>
  <c r="N130" i="1" l="1"/>
  <c r="O128" i="25"/>
  <c r="P128" i="25" s="1"/>
  <c r="P130" i="1" s="1"/>
  <c r="N129" i="25"/>
  <c r="H164" i="36"/>
  <c r="N163" i="35"/>
  <c r="J128" i="36"/>
  <c r="L128" i="36" s="1"/>
  <c r="P128" i="36" s="1"/>
  <c r="X128" i="36" s="1"/>
  <c r="AB128" i="36" s="1"/>
  <c r="S138" i="35"/>
  <c r="O127" i="35"/>
  <c r="T127" i="35" s="1"/>
  <c r="U127" i="35" s="1"/>
  <c r="R139" i="35"/>
  <c r="Q140" i="35"/>
  <c r="AF107" i="1"/>
  <c r="AJ107" i="1" s="1"/>
  <c r="C126" i="25"/>
  <c r="H127" i="1"/>
  <c r="R108" i="1"/>
  <c r="V108" i="1" s="1"/>
  <c r="D118" i="25"/>
  <c r="H108" i="25"/>
  <c r="I108" i="25"/>
  <c r="J108" i="25" s="1"/>
  <c r="J110" i="1" s="1"/>
  <c r="G109" i="25"/>
  <c r="N131" i="1" l="1"/>
  <c r="N130" i="25"/>
  <c r="O129" i="25"/>
  <c r="P129" i="25" s="1"/>
  <c r="P131" i="1" s="1"/>
  <c r="J129" i="36"/>
  <c r="L129" i="36" s="1"/>
  <c r="P129" i="36" s="1"/>
  <c r="X129" i="36" s="1"/>
  <c r="AB129" i="36" s="1"/>
  <c r="H165" i="36"/>
  <c r="N164" i="35"/>
  <c r="S139" i="35"/>
  <c r="O128" i="35"/>
  <c r="T128" i="35" s="1"/>
  <c r="U128" i="35" s="1"/>
  <c r="R140" i="35"/>
  <c r="Q141" i="35"/>
  <c r="C127" i="25"/>
  <c r="H128" i="1"/>
  <c r="AF108" i="1"/>
  <c r="AJ108" i="1" s="1"/>
  <c r="R109" i="1"/>
  <c r="V109" i="1" s="1"/>
  <c r="D119" i="25"/>
  <c r="H109" i="25"/>
  <c r="I109" i="25"/>
  <c r="J109" i="25" s="1"/>
  <c r="J111" i="1" s="1"/>
  <c r="G110" i="25"/>
  <c r="N132" i="1" l="1"/>
  <c r="N131" i="25"/>
  <c r="O130" i="25"/>
  <c r="P130" i="25" s="1"/>
  <c r="P132" i="1" s="1"/>
  <c r="J130" i="36"/>
  <c r="L130" i="36" s="1"/>
  <c r="P130" i="36" s="1"/>
  <c r="X130" i="36" s="1"/>
  <c r="AB130" i="36" s="1"/>
  <c r="H166" i="36"/>
  <c r="N165" i="35"/>
  <c r="S140" i="35"/>
  <c r="R141" i="35"/>
  <c r="Q142" i="35"/>
  <c r="O129" i="35"/>
  <c r="T129" i="35" s="1"/>
  <c r="U129" i="35" s="1"/>
  <c r="AF109" i="1"/>
  <c r="AJ109" i="1" s="1"/>
  <c r="C128" i="25"/>
  <c r="H129" i="1"/>
  <c r="R110" i="1"/>
  <c r="V110" i="1" s="1"/>
  <c r="D120" i="25"/>
  <c r="I110" i="25"/>
  <c r="J110" i="25" s="1"/>
  <c r="J112" i="1" s="1"/>
  <c r="H110" i="25"/>
  <c r="G111" i="25"/>
  <c r="N133" i="1" l="1"/>
  <c r="N132" i="25"/>
  <c r="O131" i="25"/>
  <c r="P131" i="25" s="1"/>
  <c r="P133" i="1" s="1"/>
  <c r="J131" i="36"/>
  <c r="L131" i="36" s="1"/>
  <c r="P131" i="36" s="1"/>
  <c r="X131" i="36" s="1"/>
  <c r="AB131" i="36" s="1"/>
  <c r="H167" i="36"/>
  <c r="N166" i="35"/>
  <c r="O130" i="35"/>
  <c r="T130" i="35" s="1"/>
  <c r="U130" i="35" s="1"/>
  <c r="R142" i="35"/>
  <c r="Q143" i="35"/>
  <c r="S141" i="35"/>
  <c r="C129" i="25"/>
  <c r="H130" i="1"/>
  <c r="AF110" i="1"/>
  <c r="AJ110" i="1" s="1"/>
  <c r="R111" i="1"/>
  <c r="V111" i="1" s="1"/>
  <c r="D121" i="25"/>
  <c r="I111" i="25"/>
  <c r="J111" i="25" s="1"/>
  <c r="J113" i="1" s="1"/>
  <c r="H111" i="25"/>
  <c r="G112" i="25"/>
  <c r="N134" i="1" l="1"/>
  <c r="O132" i="25"/>
  <c r="P132" i="25" s="1"/>
  <c r="P134" i="1" s="1"/>
  <c r="N133" i="25"/>
  <c r="J132" i="36"/>
  <c r="L132" i="36" s="1"/>
  <c r="P132" i="36" s="1"/>
  <c r="X132" i="36" s="1"/>
  <c r="AB132" i="36" s="1"/>
  <c r="H168" i="36"/>
  <c r="N167" i="35"/>
  <c r="S142" i="35"/>
  <c r="O131" i="35"/>
  <c r="T131" i="35" s="1"/>
  <c r="U131" i="35" s="1"/>
  <c r="R143" i="35"/>
  <c r="Q144" i="35"/>
  <c r="AF111" i="1"/>
  <c r="AJ111" i="1" s="1"/>
  <c r="C130" i="25"/>
  <c r="H131" i="1"/>
  <c r="R112" i="1"/>
  <c r="V112" i="1" s="1"/>
  <c r="D122" i="25"/>
  <c r="H112" i="25"/>
  <c r="I112" i="25"/>
  <c r="J112" i="25" s="1"/>
  <c r="J114" i="1" s="1"/>
  <c r="G113" i="25"/>
  <c r="N135" i="1" l="1"/>
  <c r="O133" i="25"/>
  <c r="P133" i="25" s="1"/>
  <c r="P135" i="1" s="1"/>
  <c r="N134" i="25"/>
  <c r="J133" i="36"/>
  <c r="L133" i="36" s="1"/>
  <c r="P133" i="36" s="1"/>
  <c r="X133" i="36" s="1"/>
  <c r="AB133" i="36" s="1"/>
  <c r="H169" i="36"/>
  <c r="N168" i="35"/>
  <c r="S143" i="35"/>
  <c r="R144" i="35"/>
  <c r="Q145" i="35"/>
  <c r="O132" i="35"/>
  <c r="T132" i="35" s="1"/>
  <c r="U132" i="35" s="1"/>
  <c r="C131" i="25"/>
  <c r="H132" i="1"/>
  <c r="AF112" i="1"/>
  <c r="AJ112" i="1" s="1"/>
  <c r="R113" i="1"/>
  <c r="V113" i="1" s="1"/>
  <c r="D123" i="25"/>
  <c r="I113" i="25"/>
  <c r="J113" i="25" s="1"/>
  <c r="J115" i="1" s="1"/>
  <c r="H113" i="25"/>
  <c r="G114" i="25"/>
  <c r="N136" i="1" l="1"/>
  <c r="N135" i="25"/>
  <c r="O134" i="25"/>
  <c r="P134" i="25" s="1"/>
  <c r="P136" i="1" s="1"/>
  <c r="J134" i="36"/>
  <c r="L134" i="36" s="1"/>
  <c r="P134" i="36" s="1"/>
  <c r="X134" i="36" s="1"/>
  <c r="AB134" i="36" s="1"/>
  <c r="H170" i="36"/>
  <c r="N169" i="35"/>
  <c r="O133" i="35"/>
  <c r="T133" i="35" s="1"/>
  <c r="U133" i="35" s="1"/>
  <c r="S144" i="35"/>
  <c r="R145" i="35"/>
  <c r="Q146" i="35"/>
  <c r="AF113" i="1"/>
  <c r="AJ113" i="1" s="1"/>
  <c r="C132" i="25"/>
  <c r="H133" i="1"/>
  <c r="R114" i="1"/>
  <c r="V114" i="1" s="1"/>
  <c r="D124" i="25"/>
  <c r="I114" i="25"/>
  <c r="J114" i="25" s="1"/>
  <c r="J116" i="1" s="1"/>
  <c r="H114" i="25"/>
  <c r="G115" i="25"/>
  <c r="N137" i="1" l="1"/>
  <c r="N136" i="25"/>
  <c r="O135" i="25"/>
  <c r="P135" i="25" s="1"/>
  <c r="P137" i="1" s="1"/>
  <c r="H171" i="36"/>
  <c r="N170" i="35"/>
  <c r="J135" i="36"/>
  <c r="L135" i="36" s="1"/>
  <c r="P135" i="36" s="1"/>
  <c r="X135" i="36" s="1"/>
  <c r="AB135" i="36" s="1"/>
  <c r="S145" i="35"/>
  <c r="R146" i="35"/>
  <c r="Q147" i="35"/>
  <c r="O134" i="35"/>
  <c r="T134" i="35" s="1"/>
  <c r="U134" i="35" s="1"/>
  <c r="C133" i="25"/>
  <c r="H134" i="1"/>
  <c r="AF114" i="1"/>
  <c r="AJ114" i="1" s="1"/>
  <c r="R115" i="1"/>
  <c r="V115" i="1" s="1"/>
  <c r="D125" i="25"/>
  <c r="H115" i="25"/>
  <c r="I115" i="25"/>
  <c r="J115" i="25" s="1"/>
  <c r="J117" i="1" s="1"/>
  <c r="G116" i="25"/>
  <c r="N138" i="1" l="1"/>
  <c r="O136" i="25"/>
  <c r="P136" i="25" s="1"/>
  <c r="P138" i="1" s="1"/>
  <c r="N137" i="25"/>
  <c r="J136" i="36"/>
  <c r="L136" i="36" s="1"/>
  <c r="P136" i="36" s="1"/>
  <c r="X136" i="36" s="1"/>
  <c r="AB136" i="36" s="1"/>
  <c r="H172" i="36"/>
  <c r="N171" i="35"/>
  <c r="O135" i="35"/>
  <c r="T135" i="35" s="1"/>
  <c r="U135" i="35" s="1"/>
  <c r="S146" i="35"/>
  <c r="R147" i="35"/>
  <c r="Q148" i="35"/>
  <c r="AF115" i="1"/>
  <c r="AJ115" i="1" s="1"/>
  <c r="C134" i="25"/>
  <c r="H135" i="1"/>
  <c r="R116" i="1"/>
  <c r="V116" i="1" s="1"/>
  <c r="D126" i="25"/>
  <c r="H116" i="25"/>
  <c r="I116" i="25"/>
  <c r="J116" i="25" s="1"/>
  <c r="J118" i="1" s="1"/>
  <c r="G117" i="25"/>
  <c r="N139" i="1" l="1"/>
  <c r="N138" i="25"/>
  <c r="O137" i="25"/>
  <c r="P137" i="25" s="1"/>
  <c r="P139" i="1" s="1"/>
  <c r="J137" i="36"/>
  <c r="L137" i="36" s="1"/>
  <c r="P137" i="36" s="1"/>
  <c r="X137" i="36" s="1"/>
  <c r="AB137" i="36" s="1"/>
  <c r="H173" i="36"/>
  <c r="N172" i="35"/>
  <c r="R148" i="35"/>
  <c r="Q149" i="35"/>
  <c r="S147" i="35"/>
  <c r="O136" i="35"/>
  <c r="T136" i="35" s="1"/>
  <c r="U136" i="35" s="1"/>
  <c r="C135" i="25"/>
  <c r="H136" i="1"/>
  <c r="AF116" i="1"/>
  <c r="AJ116" i="1" s="1"/>
  <c r="R117" i="1"/>
  <c r="V117" i="1" s="1"/>
  <c r="D127" i="25"/>
  <c r="H117" i="25"/>
  <c r="I117" i="25"/>
  <c r="J117" i="25" s="1"/>
  <c r="J119" i="1" s="1"/>
  <c r="G118" i="25"/>
  <c r="N140" i="1" l="1"/>
  <c r="N139" i="25"/>
  <c r="O138" i="25"/>
  <c r="P138" i="25" s="1"/>
  <c r="P140" i="1" s="1"/>
  <c r="J138" i="36"/>
  <c r="L138" i="36" s="1"/>
  <c r="P138" i="36" s="1"/>
  <c r="X138" i="36" s="1"/>
  <c r="AB138" i="36" s="1"/>
  <c r="H174" i="36"/>
  <c r="N173" i="35"/>
  <c r="O137" i="35"/>
  <c r="T137" i="35" s="1"/>
  <c r="U137" i="35" s="1"/>
  <c r="R149" i="35"/>
  <c r="Q150" i="35"/>
  <c r="S148" i="35"/>
  <c r="AF117" i="1"/>
  <c r="AJ117" i="1" s="1"/>
  <c r="C136" i="25"/>
  <c r="H137" i="1"/>
  <c r="R118" i="1"/>
  <c r="V118" i="1" s="1"/>
  <c r="D128" i="25"/>
  <c r="I118" i="25"/>
  <c r="J118" i="25" s="1"/>
  <c r="J120" i="1" s="1"/>
  <c r="H118" i="25"/>
  <c r="G119" i="25"/>
  <c r="N141" i="1" l="1"/>
  <c r="N140" i="25"/>
  <c r="O139" i="25"/>
  <c r="P139" i="25" s="1"/>
  <c r="P141" i="1" s="1"/>
  <c r="J139" i="36"/>
  <c r="L139" i="36" s="1"/>
  <c r="P139" i="36" s="1"/>
  <c r="X139" i="36" s="1"/>
  <c r="AB139" i="36" s="1"/>
  <c r="H175" i="36"/>
  <c r="N174" i="35"/>
  <c r="S149" i="35"/>
  <c r="O138" i="35"/>
  <c r="T138" i="35" s="1"/>
  <c r="U138" i="35" s="1"/>
  <c r="R150" i="35"/>
  <c r="Q151" i="35"/>
  <c r="C137" i="25"/>
  <c r="H138" i="1"/>
  <c r="AF118" i="1"/>
  <c r="AJ118" i="1" s="1"/>
  <c r="R119" i="1"/>
  <c r="V119" i="1" s="1"/>
  <c r="D129" i="25"/>
  <c r="I119" i="25"/>
  <c r="J119" i="25" s="1"/>
  <c r="J121" i="1" s="1"/>
  <c r="H119" i="25"/>
  <c r="G120" i="25"/>
  <c r="N142" i="1" l="1"/>
  <c r="N141" i="25"/>
  <c r="O140" i="25"/>
  <c r="P140" i="25" s="1"/>
  <c r="P142" i="1" s="1"/>
  <c r="H176" i="36"/>
  <c r="N175" i="35"/>
  <c r="J140" i="36"/>
  <c r="L140" i="36" s="1"/>
  <c r="P140" i="36" s="1"/>
  <c r="X140" i="36" s="1"/>
  <c r="AB140" i="36" s="1"/>
  <c r="R151" i="35"/>
  <c r="Q152" i="35"/>
  <c r="S150" i="35"/>
  <c r="O139" i="35"/>
  <c r="T139" i="35" s="1"/>
  <c r="U139" i="35" s="1"/>
  <c r="AF119" i="1"/>
  <c r="AJ119" i="1" s="1"/>
  <c r="C138" i="25"/>
  <c r="H139" i="1"/>
  <c r="R120" i="1"/>
  <c r="V120" i="1" s="1"/>
  <c r="D130" i="25"/>
  <c r="H120" i="25"/>
  <c r="I120" i="25"/>
  <c r="J120" i="25" s="1"/>
  <c r="J122" i="1" s="1"/>
  <c r="G121" i="25"/>
  <c r="N143" i="1" l="1"/>
  <c r="N142" i="25"/>
  <c r="O141" i="25"/>
  <c r="P141" i="25" s="1"/>
  <c r="P143" i="1" s="1"/>
  <c r="J141" i="36"/>
  <c r="L141" i="36" s="1"/>
  <c r="P141" i="36" s="1"/>
  <c r="X141" i="36" s="1"/>
  <c r="AB141" i="36" s="1"/>
  <c r="H177" i="36"/>
  <c r="N176" i="35"/>
  <c r="O140" i="35"/>
  <c r="T140" i="35" s="1"/>
  <c r="U140" i="35" s="1"/>
  <c r="R152" i="35"/>
  <c r="Q153" i="35"/>
  <c r="S151" i="35"/>
  <c r="AF120" i="1"/>
  <c r="AJ120" i="1" s="1"/>
  <c r="C139" i="25"/>
  <c r="H140" i="1"/>
  <c r="R121" i="1"/>
  <c r="V121" i="1" s="1"/>
  <c r="D131" i="25"/>
  <c r="G122" i="25"/>
  <c r="I121" i="25"/>
  <c r="J121" i="25" s="1"/>
  <c r="J123" i="1" s="1"/>
  <c r="H121" i="25"/>
  <c r="N144" i="1" l="1"/>
  <c r="N143" i="25"/>
  <c r="O142" i="25"/>
  <c r="P142" i="25" s="1"/>
  <c r="P144" i="1" s="1"/>
  <c r="J142" i="36"/>
  <c r="L142" i="36" s="1"/>
  <c r="P142" i="36" s="1"/>
  <c r="X142" i="36" s="1"/>
  <c r="AB142" i="36" s="1"/>
  <c r="H178" i="36"/>
  <c r="N177" i="35"/>
  <c r="O141" i="35"/>
  <c r="T141" i="35" s="1"/>
  <c r="U141" i="35" s="1"/>
  <c r="R153" i="35"/>
  <c r="Q154" i="35"/>
  <c r="S152" i="35"/>
  <c r="AF121" i="1"/>
  <c r="AJ121" i="1" s="1"/>
  <c r="C140" i="25"/>
  <c r="H141" i="1"/>
  <c r="R122" i="1"/>
  <c r="V122" i="1" s="1"/>
  <c r="D132" i="25"/>
  <c r="I122" i="25"/>
  <c r="J122" i="25" s="1"/>
  <c r="J124" i="1" s="1"/>
  <c r="H122" i="25"/>
  <c r="G123" i="25"/>
  <c r="N145" i="1" l="1"/>
  <c r="O143" i="25"/>
  <c r="P143" i="25" s="1"/>
  <c r="P145" i="1" s="1"/>
  <c r="N144" i="25"/>
  <c r="H179" i="36"/>
  <c r="N178" i="35"/>
  <c r="J143" i="36"/>
  <c r="L143" i="36" s="1"/>
  <c r="P143" i="36" s="1"/>
  <c r="X143" i="36" s="1"/>
  <c r="AB143" i="36" s="1"/>
  <c r="S153" i="35"/>
  <c r="R154" i="35"/>
  <c r="Q155" i="35"/>
  <c r="O142" i="35"/>
  <c r="T142" i="35" s="1"/>
  <c r="U142" i="35" s="1"/>
  <c r="C141" i="25"/>
  <c r="H142" i="1"/>
  <c r="AF122" i="1"/>
  <c r="AJ122" i="1" s="1"/>
  <c r="R123" i="1"/>
  <c r="V123" i="1" s="1"/>
  <c r="D133" i="25"/>
  <c r="I123" i="25"/>
  <c r="J123" i="25" s="1"/>
  <c r="J125" i="1" s="1"/>
  <c r="H123" i="25"/>
  <c r="G124" i="25"/>
  <c r="N146" i="1" l="1"/>
  <c r="N145" i="25"/>
  <c r="O144" i="25"/>
  <c r="P144" i="25" s="1"/>
  <c r="P146" i="1" s="1"/>
  <c r="J144" i="36"/>
  <c r="L144" i="36" s="1"/>
  <c r="P144" i="36" s="1"/>
  <c r="X144" i="36" s="1"/>
  <c r="AB144" i="36" s="1"/>
  <c r="H180" i="36"/>
  <c r="N179" i="35"/>
  <c r="R155" i="35"/>
  <c r="Q156" i="35"/>
  <c r="S154" i="35"/>
  <c r="O143" i="35"/>
  <c r="T143" i="35" s="1"/>
  <c r="U143" i="35" s="1"/>
  <c r="C142" i="25"/>
  <c r="H143" i="1"/>
  <c r="AF123" i="1"/>
  <c r="AJ123" i="1" s="1"/>
  <c r="R124" i="1"/>
  <c r="V124" i="1" s="1"/>
  <c r="D134" i="25"/>
  <c r="H124" i="25"/>
  <c r="I124" i="25"/>
  <c r="J124" i="25" s="1"/>
  <c r="J126" i="1" s="1"/>
  <c r="G125" i="25"/>
  <c r="N147" i="1" l="1"/>
  <c r="N146" i="25"/>
  <c r="O145" i="25"/>
  <c r="P145" i="25" s="1"/>
  <c r="P147" i="1" s="1"/>
  <c r="J145" i="36"/>
  <c r="L145" i="36" s="1"/>
  <c r="P145" i="36" s="1"/>
  <c r="X145" i="36" s="1"/>
  <c r="AB145" i="36" s="1"/>
  <c r="H181" i="36"/>
  <c r="N180" i="35"/>
  <c r="O144" i="35"/>
  <c r="T144" i="35" s="1"/>
  <c r="U144" i="35" s="1"/>
  <c r="R156" i="35"/>
  <c r="Q157" i="35"/>
  <c r="S155" i="35"/>
  <c r="AF124" i="1"/>
  <c r="AJ124" i="1" s="1"/>
  <c r="C143" i="25"/>
  <c r="H144" i="1"/>
  <c r="R125" i="1"/>
  <c r="V125" i="1" s="1"/>
  <c r="D135" i="25"/>
  <c r="H125" i="25"/>
  <c r="I125" i="25"/>
  <c r="J125" i="25" s="1"/>
  <c r="J127" i="1" s="1"/>
  <c r="G126" i="25"/>
  <c r="N148" i="1" l="1"/>
  <c r="N147" i="25"/>
  <c r="O146" i="25"/>
  <c r="P146" i="25" s="1"/>
  <c r="P148" i="1" s="1"/>
  <c r="J146" i="36"/>
  <c r="L146" i="36" s="1"/>
  <c r="P146" i="36" s="1"/>
  <c r="X146" i="36" s="1"/>
  <c r="AB146" i="36" s="1"/>
  <c r="H182" i="36"/>
  <c r="N181" i="35"/>
  <c r="O145" i="35"/>
  <c r="T145" i="35" s="1"/>
  <c r="U145" i="35" s="1"/>
  <c r="R157" i="35"/>
  <c r="Q158" i="35"/>
  <c r="S156" i="35"/>
  <c r="AF125" i="1"/>
  <c r="AJ125" i="1" s="1"/>
  <c r="C144" i="25"/>
  <c r="H145" i="1"/>
  <c r="R126" i="1"/>
  <c r="V126" i="1" s="1"/>
  <c r="D136" i="25"/>
  <c r="I126" i="25"/>
  <c r="J126" i="25" s="1"/>
  <c r="J128" i="1" s="1"/>
  <c r="H126" i="25"/>
  <c r="G127" i="25"/>
  <c r="N149" i="1" l="1"/>
  <c r="O147" i="25"/>
  <c r="P147" i="25" s="1"/>
  <c r="P149" i="1" s="1"/>
  <c r="N148" i="25"/>
  <c r="H183" i="36"/>
  <c r="N182" i="35"/>
  <c r="J147" i="36"/>
  <c r="L147" i="36" s="1"/>
  <c r="P147" i="36" s="1"/>
  <c r="X147" i="36" s="1"/>
  <c r="AB147" i="36" s="1"/>
  <c r="O146" i="35"/>
  <c r="T146" i="35" s="1"/>
  <c r="U146" i="35" s="1"/>
  <c r="R158" i="35"/>
  <c r="Q159" i="35"/>
  <c r="S157" i="35"/>
  <c r="C145" i="25"/>
  <c r="H146" i="1"/>
  <c r="AF126" i="1"/>
  <c r="AJ126" i="1" s="1"/>
  <c r="R127" i="1"/>
  <c r="V127" i="1" s="1"/>
  <c r="D137" i="25"/>
  <c r="I127" i="25"/>
  <c r="J127" i="25" s="1"/>
  <c r="J129" i="1" s="1"/>
  <c r="H127" i="25"/>
  <c r="G128" i="25"/>
  <c r="N150" i="1" l="1"/>
  <c r="N149" i="25"/>
  <c r="O148" i="25"/>
  <c r="P148" i="25" s="1"/>
  <c r="P150" i="1" s="1"/>
  <c r="J148" i="36"/>
  <c r="L148" i="36" s="1"/>
  <c r="P148" i="36" s="1"/>
  <c r="X148" i="36" s="1"/>
  <c r="AB148" i="36" s="1"/>
  <c r="H184" i="36"/>
  <c r="N183" i="35"/>
  <c r="R159" i="35"/>
  <c r="Q160" i="35"/>
  <c r="S158" i="35"/>
  <c r="O147" i="35"/>
  <c r="T147" i="35" s="1"/>
  <c r="U147" i="35" s="1"/>
  <c r="AF127" i="1"/>
  <c r="AJ127" i="1" s="1"/>
  <c r="C146" i="25"/>
  <c r="H147" i="1"/>
  <c r="R128" i="1"/>
  <c r="V128" i="1" s="1"/>
  <c r="D138" i="25"/>
  <c r="H128" i="25"/>
  <c r="I128" i="25"/>
  <c r="J128" i="25" s="1"/>
  <c r="J130" i="1" s="1"/>
  <c r="G129" i="25"/>
  <c r="N151" i="1" l="1"/>
  <c r="N150" i="25"/>
  <c r="O149" i="25"/>
  <c r="P149" i="25" s="1"/>
  <c r="P151" i="1" s="1"/>
  <c r="J149" i="36"/>
  <c r="L149" i="36" s="1"/>
  <c r="P149" i="36" s="1"/>
  <c r="X149" i="36" s="1"/>
  <c r="AB149" i="36" s="1"/>
  <c r="H185" i="36"/>
  <c r="N184" i="35"/>
  <c r="O148" i="35"/>
  <c r="T148" i="35" s="1"/>
  <c r="U148" i="35" s="1"/>
  <c r="R160" i="35"/>
  <c r="Q161" i="35"/>
  <c r="S159" i="35"/>
  <c r="C147" i="25"/>
  <c r="H148" i="1"/>
  <c r="AF128" i="1"/>
  <c r="AJ128" i="1" s="1"/>
  <c r="R129" i="1"/>
  <c r="V129" i="1" s="1"/>
  <c r="D139" i="25"/>
  <c r="I129" i="25"/>
  <c r="J129" i="25" s="1"/>
  <c r="J131" i="1" s="1"/>
  <c r="H129" i="25"/>
  <c r="G130" i="25"/>
  <c r="N152" i="1" l="1"/>
  <c r="O150" i="25"/>
  <c r="P150" i="25" s="1"/>
  <c r="P152" i="1" s="1"/>
  <c r="N151" i="25"/>
  <c r="J150" i="36"/>
  <c r="L150" i="36" s="1"/>
  <c r="P150" i="36" s="1"/>
  <c r="X150" i="36" s="1"/>
  <c r="AB150" i="36" s="1"/>
  <c r="H186" i="36"/>
  <c r="N185" i="35"/>
  <c r="S160" i="35"/>
  <c r="O149" i="35"/>
  <c r="T149" i="35" s="1"/>
  <c r="U149" i="35" s="1"/>
  <c r="R161" i="35"/>
  <c r="Q162" i="35"/>
  <c r="AF129" i="1"/>
  <c r="AJ129" i="1" s="1"/>
  <c r="C148" i="25"/>
  <c r="H149" i="1"/>
  <c r="R130" i="1"/>
  <c r="V130" i="1" s="1"/>
  <c r="D140" i="25"/>
  <c r="I130" i="25"/>
  <c r="J130" i="25" s="1"/>
  <c r="J132" i="1" s="1"/>
  <c r="H130" i="25"/>
  <c r="G131" i="25"/>
  <c r="N153" i="1" l="1"/>
  <c r="O151" i="25"/>
  <c r="P151" i="25" s="1"/>
  <c r="P153" i="1" s="1"/>
  <c r="N152" i="25"/>
  <c r="J151" i="36"/>
  <c r="L151" i="36" s="1"/>
  <c r="P151" i="36" s="1"/>
  <c r="X151" i="36" s="1"/>
  <c r="AB151" i="36" s="1"/>
  <c r="H187" i="36"/>
  <c r="N186" i="35"/>
  <c r="O150" i="35"/>
  <c r="T150" i="35" s="1"/>
  <c r="U150" i="35" s="1"/>
  <c r="R162" i="35"/>
  <c r="Q163" i="35"/>
  <c r="S161" i="35"/>
  <c r="AF130" i="1"/>
  <c r="AJ130" i="1" s="1"/>
  <c r="C149" i="25"/>
  <c r="H150" i="1"/>
  <c r="R131" i="1"/>
  <c r="V131" i="1" s="1"/>
  <c r="D141" i="25"/>
  <c r="H131" i="25"/>
  <c r="I131" i="25"/>
  <c r="J131" i="25" s="1"/>
  <c r="J133" i="1" s="1"/>
  <c r="G132" i="25"/>
  <c r="N154" i="1" l="1"/>
  <c r="N153" i="25"/>
  <c r="O152" i="25"/>
  <c r="P152" i="25" s="1"/>
  <c r="P154" i="1" s="1"/>
  <c r="H188" i="36"/>
  <c r="N187" i="35"/>
  <c r="J152" i="36"/>
  <c r="L152" i="36" s="1"/>
  <c r="P152" i="36" s="1"/>
  <c r="X152" i="36" s="1"/>
  <c r="AB152" i="36" s="1"/>
  <c r="R163" i="35"/>
  <c r="Q164" i="35"/>
  <c r="S162" i="35"/>
  <c r="O151" i="35"/>
  <c r="T151" i="35" s="1"/>
  <c r="U151" i="35" s="1"/>
  <c r="C150" i="25"/>
  <c r="H151" i="1"/>
  <c r="AF131" i="1"/>
  <c r="AJ131" i="1" s="1"/>
  <c r="R132" i="1"/>
  <c r="V132" i="1" s="1"/>
  <c r="D142" i="25"/>
  <c r="H132" i="25"/>
  <c r="I132" i="25"/>
  <c r="J132" i="25" s="1"/>
  <c r="J134" i="1" s="1"/>
  <c r="G133" i="25"/>
  <c r="N155" i="1" l="1"/>
  <c r="O153" i="25"/>
  <c r="P153" i="25" s="1"/>
  <c r="P155" i="1" s="1"/>
  <c r="N154" i="25"/>
  <c r="J153" i="36"/>
  <c r="L153" i="36" s="1"/>
  <c r="P153" i="36" s="1"/>
  <c r="X153" i="36" s="1"/>
  <c r="AB153" i="36" s="1"/>
  <c r="H189" i="36"/>
  <c r="N188" i="35"/>
  <c r="O152" i="35"/>
  <c r="T152" i="35" s="1"/>
  <c r="U152" i="35" s="1"/>
  <c r="R164" i="35"/>
  <c r="Q165" i="35"/>
  <c r="S163" i="35"/>
  <c r="AF132" i="1"/>
  <c r="AJ132" i="1" s="1"/>
  <c r="C151" i="25"/>
  <c r="H152" i="1"/>
  <c r="R133" i="1"/>
  <c r="V133" i="1" s="1"/>
  <c r="D143" i="25"/>
  <c r="H133" i="25"/>
  <c r="I133" i="25"/>
  <c r="J133" i="25" s="1"/>
  <c r="J135" i="1" s="1"/>
  <c r="G134" i="25"/>
  <c r="N156" i="1" l="1"/>
  <c r="O154" i="25"/>
  <c r="P154" i="25" s="1"/>
  <c r="P156" i="1" s="1"/>
  <c r="N155" i="25"/>
  <c r="J154" i="36"/>
  <c r="L154" i="36" s="1"/>
  <c r="P154" i="36" s="1"/>
  <c r="X154" i="36" s="1"/>
  <c r="AB154" i="36" s="1"/>
  <c r="H190" i="36"/>
  <c r="N189" i="35"/>
  <c r="S164" i="35"/>
  <c r="O153" i="35"/>
  <c r="T153" i="35" s="1"/>
  <c r="U153" i="35" s="1"/>
  <c r="R165" i="35"/>
  <c r="Q166" i="35"/>
  <c r="C152" i="25"/>
  <c r="H153" i="1"/>
  <c r="AF133" i="1"/>
  <c r="AJ133" i="1" s="1"/>
  <c r="R134" i="1"/>
  <c r="V134" i="1" s="1"/>
  <c r="D144" i="25"/>
  <c r="I134" i="25"/>
  <c r="J134" i="25" s="1"/>
  <c r="J136" i="1" s="1"/>
  <c r="H134" i="25"/>
  <c r="G135" i="25"/>
  <c r="N157" i="1" l="1"/>
  <c r="N156" i="25"/>
  <c r="O155" i="25"/>
  <c r="P155" i="25" s="1"/>
  <c r="P157" i="1" s="1"/>
  <c r="J155" i="36"/>
  <c r="L155" i="36" s="1"/>
  <c r="P155" i="36" s="1"/>
  <c r="X155" i="36" s="1"/>
  <c r="AB155" i="36" s="1"/>
  <c r="H191" i="36"/>
  <c r="N190" i="35"/>
  <c r="S165" i="35"/>
  <c r="O154" i="35"/>
  <c r="T154" i="35" s="1"/>
  <c r="U154" i="35" s="1"/>
  <c r="R166" i="35"/>
  <c r="Q167" i="35"/>
  <c r="AF134" i="1"/>
  <c r="AJ134" i="1" s="1"/>
  <c r="C153" i="25"/>
  <c r="H154" i="1"/>
  <c r="R135" i="1"/>
  <c r="V135" i="1" s="1"/>
  <c r="D145" i="25"/>
  <c r="I135" i="25"/>
  <c r="J135" i="25" s="1"/>
  <c r="J137" i="1" s="1"/>
  <c r="H135" i="25"/>
  <c r="G136" i="25"/>
  <c r="N158" i="1" l="1"/>
  <c r="N157" i="25"/>
  <c r="O156" i="25"/>
  <c r="P156" i="25" s="1"/>
  <c r="P158" i="1" s="1"/>
  <c r="J156" i="36"/>
  <c r="L156" i="36" s="1"/>
  <c r="P156" i="36" s="1"/>
  <c r="X156" i="36" s="1"/>
  <c r="AB156" i="36" s="1"/>
  <c r="H192" i="36"/>
  <c r="N191" i="35"/>
  <c r="R167" i="35"/>
  <c r="Q168" i="35"/>
  <c r="S166" i="35"/>
  <c r="O155" i="35"/>
  <c r="T155" i="35" s="1"/>
  <c r="U155" i="35" s="1"/>
  <c r="AF135" i="1"/>
  <c r="AJ135" i="1" s="1"/>
  <c r="C154" i="25"/>
  <c r="H155" i="1"/>
  <c r="R136" i="1"/>
  <c r="V136" i="1" s="1"/>
  <c r="D146" i="25"/>
  <c r="H136" i="25"/>
  <c r="I136" i="25"/>
  <c r="J136" i="25" s="1"/>
  <c r="J138" i="1" s="1"/>
  <c r="G137" i="25"/>
  <c r="N159" i="1" l="1"/>
  <c r="N158" i="25"/>
  <c r="O157" i="25"/>
  <c r="P157" i="25" s="1"/>
  <c r="P159" i="1" s="1"/>
  <c r="J157" i="36"/>
  <c r="L157" i="36" s="1"/>
  <c r="P157" i="36" s="1"/>
  <c r="X157" i="36" s="1"/>
  <c r="AB157" i="36" s="1"/>
  <c r="H193" i="36"/>
  <c r="N192" i="35"/>
  <c r="O156" i="35"/>
  <c r="T156" i="35" s="1"/>
  <c r="U156" i="35" s="1"/>
  <c r="R168" i="35"/>
  <c r="Q169" i="35"/>
  <c r="S167" i="35"/>
  <c r="AF136" i="1"/>
  <c r="AJ136" i="1" s="1"/>
  <c r="C155" i="25"/>
  <c r="H156" i="1"/>
  <c r="R137" i="1"/>
  <c r="V137" i="1" s="1"/>
  <c r="D147" i="25"/>
  <c r="I137" i="25"/>
  <c r="J137" i="25" s="1"/>
  <c r="J139" i="1" s="1"/>
  <c r="H137" i="25"/>
  <c r="G138" i="25"/>
  <c r="N160" i="1" l="1"/>
  <c r="O158" i="25"/>
  <c r="P158" i="25" s="1"/>
  <c r="P160" i="1" s="1"/>
  <c r="N159" i="25"/>
  <c r="J158" i="36"/>
  <c r="L158" i="36" s="1"/>
  <c r="P158" i="36" s="1"/>
  <c r="X158" i="36" s="1"/>
  <c r="AB158" i="36" s="1"/>
  <c r="H194" i="36"/>
  <c r="N193" i="35"/>
  <c r="S168" i="35"/>
  <c r="O157" i="35"/>
  <c r="T157" i="35" s="1"/>
  <c r="U157" i="35" s="1"/>
  <c r="R169" i="35"/>
  <c r="Q170" i="35"/>
  <c r="C156" i="25"/>
  <c r="H157" i="1"/>
  <c r="AF137" i="1"/>
  <c r="AJ137" i="1" s="1"/>
  <c r="R138" i="1"/>
  <c r="V138" i="1" s="1"/>
  <c r="D148" i="25"/>
  <c r="I138" i="25"/>
  <c r="J138" i="25" s="1"/>
  <c r="J140" i="1" s="1"/>
  <c r="H138" i="25"/>
  <c r="G139" i="25"/>
  <c r="N161" i="1" l="1"/>
  <c r="O159" i="25"/>
  <c r="P159" i="25" s="1"/>
  <c r="P161" i="1" s="1"/>
  <c r="N160" i="25"/>
  <c r="J159" i="36"/>
  <c r="L159" i="36" s="1"/>
  <c r="P159" i="36" s="1"/>
  <c r="X159" i="36" s="1"/>
  <c r="AB159" i="36" s="1"/>
  <c r="H195" i="36"/>
  <c r="N194" i="35"/>
  <c r="R170" i="35"/>
  <c r="Q171" i="35"/>
  <c r="S169" i="35"/>
  <c r="O158" i="35"/>
  <c r="T158" i="35" s="1"/>
  <c r="U158" i="35" s="1"/>
  <c r="AF138" i="1"/>
  <c r="AJ138" i="1" s="1"/>
  <c r="C157" i="25"/>
  <c r="H158" i="1"/>
  <c r="R139" i="1"/>
  <c r="V139" i="1" s="1"/>
  <c r="D149" i="25"/>
  <c r="H139" i="25"/>
  <c r="I139" i="25"/>
  <c r="J139" i="25" s="1"/>
  <c r="J141" i="1" s="1"/>
  <c r="G140" i="25"/>
  <c r="N162" i="1" l="1"/>
  <c r="O160" i="25"/>
  <c r="P160" i="25" s="1"/>
  <c r="P162" i="1" s="1"/>
  <c r="N161" i="25"/>
  <c r="J160" i="36"/>
  <c r="L160" i="36" s="1"/>
  <c r="P160" i="36" s="1"/>
  <c r="X160" i="36" s="1"/>
  <c r="AB160" i="36" s="1"/>
  <c r="H196" i="36"/>
  <c r="N195" i="35"/>
  <c r="O159" i="35"/>
  <c r="T159" i="35" s="1"/>
  <c r="U159" i="35" s="1"/>
  <c r="R171" i="35"/>
  <c r="Q172" i="35"/>
  <c r="S170" i="35"/>
  <c r="AF139" i="1"/>
  <c r="AJ139" i="1" s="1"/>
  <c r="C158" i="25"/>
  <c r="H159" i="1"/>
  <c r="R140" i="1"/>
  <c r="V140" i="1" s="1"/>
  <c r="D150" i="25"/>
  <c r="H140" i="25"/>
  <c r="I140" i="25"/>
  <c r="J140" i="25" s="1"/>
  <c r="J142" i="1" s="1"/>
  <c r="G141" i="25"/>
  <c r="N163" i="1" l="1"/>
  <c r="N162" i="25"/>
  <c r="O161" i="25"/>
  <c r="P161" i="25" s="1"/>
  <c r="P163" i="1" s="1"/>
  <c r="J161" i="36"/>
  <c r="L161" i="36" s="1"/>
  <c r="P161" i="36" s="1"/>
  <c r="X161" i="36" s="1"/>
  <c r="AB161" i="36" s="1"/>
  <c r="H197" i="36"/>
  <c r="N196" i="35"/>
  <c r="R172" i="35"/>
  <c r="Q173" i="35"/>
  <c r="S171" i="35"/>
  <c r="O160" i="35"/>
  <c r="T160" i="35" s="1"/>
  <c r="U160" i="35" s="1"/>
  <c r="AF140" i="1"/>
  <c r="AJ140" i="1" s="1"/>
  <c r="C159" i="25"/>
  <c r="H160" i="1"/>
  <c r="R141" i="1"/>
  <c r="V141" i="1" s="1"/>
  <c r="D151" i="25"/>
  <c r="H141" i="25"/>
  <c r="I141" i="25"/>
  <c r="J141" i="25" s="1"/>
  <c r="J143" i="1" s="1"/>
  <c r="G142" i="25"/>
  <c r="N164" i="1" l="1"/>
  <c r="N163" i="25"/>
  <c r="O162" i="25"/>
  <c r="P162" i="25" s="1"/>
  <c r="P164" i="1" s="1"/>
  <c r="J162" i="36"/>
  <c r="L162" i="36" s="1"/>
  <c r="P162" i="36" s="1"/>
  <c r="X162" i="36" s="1"/>
  <c r="AB162" i="36" s="1"/>
  <c r="H198" i="36"/>
  <c r="N197" i="35"/>
  <c r="O161" i="35"/>
  <c r="T161" i="35" s="1"/>
  <c r="U161" i="35" s="1"/>
  <c r="R173" i="35"/>
  <c r="Q174" i="35"/>
  <c r="S172" i="35"/>
  <c r="AF141" i="1"/>
  <c r="AJ141" i="1" s="1"/>
  <c r="C160" i="25"/>
  <c r="H161" i="1"/>
  <c r="R142" i="1"/>
  <c r="V142" i="1" s="1"/>
  <c r="D152" i="25"/>
  <c r="I142" i="25"/>
  <c r="J142" i="25" s="1"/>
  <c r="J144" i="1" s="1"/>
  <c r="H142" i="25"/>
  <c r="G143" i="25"/>
  <c r="N165" i="1" l="1"/>
  <c r="N164" i="25"/>
  <c r="O163" i="25"/>
  <c r="P163" i="25" s="1"/>
  <c r="P165" i="1" s="1"/>
  <c r="H199" i="36"/>
  <c r="N198" i="35"/>
  <c r="J163" i="36"/>
  <c r="L163" i="36" s="1"/>
  <c r="P163" i="36" s="1"/>
  <c r="X163" i="36" s="1"/>
  <c r="AB163" i="36" s="1"/>
  <c r="R174" i="35"/>
  <c r="Q175" i="35"/>
  <c r="S173" i="35"/>
  <c r="O162" i="35"/>
  <c r="T162" i="35" s="1"/>
  <c r="U162" i="35" s="1"/>
  <c r="C161" i="25"/>
  <c r="H162" i="1"/>
  <c r="AF142" i="1"/>
  <c r="AJ142" i="1" s="1"/>
  <c r="R143" i="1"/>
  <c r="V143" i="1" s="1"/>
  <c r="D153" i="25"/>
  <c r="I143" i="25"/>
  <c r="J143" i="25" s="1"/>
  <c r="J145" i="1" s="1"/>
  <c r="H143" i="25"/>
  <c r="G144" i="25"/>
  <c r="N166" i="1" l="1"/>
  <c r="O164" i="25"/>
  <c r="P164" i="25" s="1"/>
  <c r="P166" i="1" s="1"/>
  <c r="N165" i="25"/>
  <c r="H200" i="36"/>
  <c r="N199" i="35"/>
  <c r="J164" i="36"/>
  <c r="L164" i="36" s="1"/>
  <c r="P164" i="36" s="1"/>
  <c r="X164" i="36" s="1"/>
  <c r="AB164" i="36" s="1"/>
  <c r="R175" i="35"/>
  <c r="Q176" i="35"/>
  <c r="O163" i="35"/>
  <c r="T163" i="35" s="1"/>
  <c r="U163" i="35" s="1"/>
  <c r="S174" i="35"/>
  <c r="AF143" i="1"/>
  <c r="AJ143" i="1" s="1"/>
  <c r="C162" i="25"/>
  <c r="H163" i="1"/>
  <c r="R144" i="1"/>
  <c r="V144" i="1" s="1"/>
  <c r="D154" i="25"/>
  <c r="H144" i="25"/>
  <c r="I144" i="25"/>
  <c r="J144" i="25" s="1"/>
  <c r="J146" i="1" s="1"/>
  <c r="G145" i="25"/>
  <c r="N167" i="1" l="1"/>
  <c r="O165" i="25"/>
  <c r="P165" i="25" s="1"/>
  <c r="P167" i="1" s="1"/>
  <c r="N166" i="25"/>
  <c r="J165" i="36"/>
  <c r="L165" i="36" s="1"/>
  <c r="P165" i="36" s="1"/>
  <c r="X165" i="36" s="1"/>
  <c r="AB165" i="36" s="1"/>
  <c r="H201" i="36"/>
  <c r="N200" i="35"/>
  <c r="O164" i="35"/>
  <c r="T164" i="35" s="1"/>
  <c r="U164" i="35" s="1"/>
  <c r="R176" i="35"/>
  <c r="Q177" i="35"/>
  <c r="S175" i="35"/>
  <c r="C163" i="25"/>
  <c r="H164" i="1"/>
  <c r="AF144" i="1"/>
  <c r="AJ144" i="1" s="1"/>
  <c r="R145" i="1"/>
  <c r="V145" i="1" s="1"/>
  <c r="D155" i="25"/>
  <c r="I145" i="25"/>
  <c r="J145" i="25" s="1"/>
  <c r="J147" i="1" s="1"/>
  <c r="H145" i="25"/>
  <c r="G146" i="25"/>
  <c r="N168" i="1" l="1"/>
  <c r="N167" i="25"/>
  <c r="O166" i="25"/>
  <c r="P166" i="25" s="1"/>
  <c r="P168" i="1" s="1"/>
  <c r="J166" i="36"/>
  <c r="L166" i="36" s="1"/>
  <c r="P166" i="36" s="1"/>
  <c r="X166" i="36" s="1"/>
  <c r="AB166" i="36" s="1"/>
  <c r="H202" i="36"/>
  <c r="N201" i="35"/>
  <c r="O165" i="35"/>
  <c r="T165" i="35" s="1"/>
  <c r="U165" i="35" s="1"/>
  <c r="R177" i="35"/>
  <c r="Q178" i="35"/>
  <c r="S176" i="35"/>
  <c r="AF145" i="1"/>
  <c r="AJ145" i="1" s="1"/>
  <c r="C164" i="25"/>
  <c r="H165" i="1"/>
  <c r="R146" i="1"/>
  <c r="V146" i="1" s="1"/>
  <c r="D156" i="25"/>
  <c r="I146" i="25"/>
  <c r="J146" i="25" s="1"/>
  <c r="J148" i="1" s="1"/>
  <c r="H146" i="25"/>
  <c r="G147" i="25"/>
  <c r="N169" i="1" l="1"/>
  <c r="N168" i="25"/>
  <c r="O167" i="25"/>
  <c r="P167" i="25" s="1"/>
  <c r="P169" i="1" s="1"/>
  <c r="J167" i="36"/>
  <c r="L167" i="36" s="1"/>
  <c r="P167" i="36" s="1"/>
  <c r="X167" i="36" s="1"/>
  <c r="AB167" i="36" s="1"/>
  <c r="H203" i="36"/>
  <c r="N202" i="35"/>
  <c r="R178" i="35"/>
  <c r="Q179" i="35"/>
  <c r="S177" i="35"/>
  <c r="O166" i="35"/>
  <c r="T166" i="35" s="1"/>
  <c r="U166" i="35" s="1"/>
  <c r="AF146" i="1"/>
  <c r="AJ146" i="1" s="1"/>
  <c r="C165" i="25"/>
  <c r="H166" i="1"/>
  <c r="R147" i="1"/>
  <c r="V147" i="1" s="1"/>
  <c r="D157" i="25"/>
  <c r="I147" i="25"/>
  <c r="J147" i="25" s="1"/>
  <c r="J149" i="1" s="1"/>
  <c r="H147" i="25"/>
  <c r="G148" i="25"/>
  <c r="N170" i="1" l="1"/>
  <c r="N169" i="25"/>
  <c r="O168" i="25"/>
  <c r="P168" i="25" s="1"/>
  <c r="P170" i="1" s="1"/>
  <c r="H204" i="36"/>
  <c r="N203" i="35"/>
  <c r="H205" i="36" s="1"/>
  <c r="J168" i="36"/>
  <c r="L168" i="36" s="1"/>
  <c r="P168" i="36" s="1"/>
  <c r="X168" i="36" s="1"/>
  <c r="AB168" i="36" s="1"/>
  <c r="O167" i="35"/>
  <c r="T167" i="35" s="1"/>
  <c r="U167" i="35" s="1"/>
  <c r="R179" i="35"/>
  <c r="Q180" i="35"/>
  <c r="S178" i="35"/>
  <c r="C166" i="25"/>
  <c r="H167" i="1"/>
  <c r="AF147" i="1"/>
  <c r="AJ147" i="1" s="1"/>
  <c r="R148" i="1"/>
  <c r="V148" i="1" s="1"/>
  <c r="D158" i="25"/>
  <c r="H148" i="25"/>
  <c r="I148" i="25"/>
  <c r="J148" i="25" s="1"/>
  <c r="J150" i="1" s="1"/>
  <c r="G149" i="25"/>
  <c r="N171" i="1" l="1"/>
  <c r="O169" i="25"/>
  <c r="P169" i="25" s="1"/>
  <c r="P171" i="1" s="1"/>
  <c r="N170" i="25"/>
  <c r="J169" i="36"/>
  <c r="L169" i="36" s="1"/>
  <c r="P169" i="36" s="1"/>
  <c r="X169" i="36" s="1"/>
  <c r="AB169" i="36" s="1"/>
  <c r="R180" i="35"/>
  <c r="Q181" i="35"/>
  <c r="S179" i="35"/>
  <c r="O168" i="35"/>
  <c r="T168" i="35" s="1"/>
  <c r="U168" i="35" s="1"/>
  <c r="AF148" i="1"/>
  <c r="AJ148" i="1" s="1"/>
  <c r="C167" i="25"/>
  <c r="H168" i="1"/>
  <c r="R149" i="1"/>
  <c r="V149" i="1" s="1"/>
  <c r="D159" i="25"/>
  <c r="H149" i="25"/>
  <c r="I149" i="25"/>
  <c r="J149" i="25" s="1"/>
  <c r="J151" i="1" s="1"/>
  <c r="G150" i="25"/>
  <c r="N172" i="1" l="1"/>
  <c r="N171" i="25"/>
  <c r="O170" i="25"/>
  <c r="P170" i="25" s="1"/>
  <c r="P172" i="1" s="1"/>
  <c r="J170" i="36"/>
  <c r="L170" i="36" s="1"/>
  <c r="P170" i="36" s="1"/>
  <c r="X170" i="36" s="1"/>
  <c r="AB170" i="36" s="1"/>
  <c r="O169" i="35"/>
  <c r="T169" i="35" s="1"/>
  <c r="U169" i="35" s="1"/>
  <c r="R181" i="35"/>
  <c r="Q182" i="35"/>
  <c r="S180" i="35"/>
  <c r="C168" i="25"/>
  <c r="H169" i="1"/>
  <c r="AF149" i="1"/>
  <c r="AJ149" i="1" s="1"/>
  <c r="R150" i="1"/>
  <c r="V150" i="1" s="1"/>
  <c r="D160" i="25"/>
  <c r="I150" i="25"/>
  <c r="J150" i="25" s="1"/>
  <c r="J152" i="1" s="1"/>
  <c r="H150" i="25"/>
  <c r="G151" i="25"/>
  <c r="N173" i="1" l="1"/>
  <c r="N172" i="25"/>
  <c r="O171" i="25"/>
  <c r="P171" i="25" s="1"/>
  <c r="P173" i="1" s="1"/>
  <c r="J171" i="36"/>
  <c r="L171" i="36" s="1"/>
  <c r="P171" i="36" s="1"/>
  <c r="X171" i="36" s="1"/>
  <c r="AB171" i="36" s="1"/>
  <c r="R182" i="35"/>
  <c r="Q183" i="35"/>
  <c r="S181" i="35"/>
  <c r="O170" i="35"/>
  <c r="T170" i="35" s="1"/>
  <c r="U170" i="35" s="1"/>
  <c r="AF150" i="1"/>
  <c r="AJ150" i="1" s="1"/>
  <c r="C169" i="25"/>
  <c r="H170" i="1"/>
  <c r="R151" i="1"/>
  <c r="V151" i="1" s="1"/>
  <c r="D161" i="25"/>
  <c r="I151" i="25"/>
  <c r="J151" i="25" s="1"/>
  <c r="J153" i="1" s="1"/>
  <c r="H151" i="25"/>
  <c r="G152" i="25"/>
  <c r="N174" i="1" l="1"/>
  <c r="O172" i="25"/>
  <c r="P172" i="25" s="1"/>
  <c r="P174" i="1" s="1"/>
  <c r="N173" i="25"/>
  <c r="J172" i="36"/>
  <c r="L172" i="36" s="1"/>
  <c r="P172" i="36" s="1"/>
  <c r="X172" i="36" s="1"/>
  <c r="AB172" i="36" s="1"/>
  <c r="O171" i="35"/>
  <c r="T171" i="35" s="1"/>
  <c r="U171" i="35" s="1"/>
  <c r="R183" i="35"/>
  <c r="Q184" i="35"/>
  <c r="S182" i="35"/>
  <c r="C170" i="25"/>
  <c r="H171" i="1"/>
  <c r="AF151" i="1"/>
  <c r="AJ151" i="1" s="1"/>
  <c r="R152" i="1"/>
  <c r="V152" i="1" s="1"/>
  <c r="D162" i="25"/>
  <c r="H152" i="25"/>
  <c r="I152" i="25"/>
  <c r="J152" i="25" s="1"/>
  <c r="J154" i="1" s="1"/>
  <c r="G153" i="25"/>
  <c r="N175" i="1" l="1"/>
  <c r="N174" i="25"/>
  <c r="O173" i="25"/>
  <c r="P173" i="25" s="1"/>
  <c r="P175" i="1" s="1"/>
  <c r="J173" i="36"/>
  <c r="L173" i="36" s="1"/>
  <c r="P173" i="36" s="1"/>
  <c r="X173" i="36" s="1"/>
  <c r="AB173" i="36" s="1"/>
  <c r="R184" i="35"/>
  <c r="Q185" i="35"/>
  <c r="S183" i="35"/>
  <c r="O172" i="35"/>
  <c r="T172" i="35" s="1"/>
  <c r="U172" i="35" s="1"/>
  <c r="AF152" i="1"/>
  <c r="AJ152" i="1" s="1"/>
  <c r="C171" i="25"/>
  <c r="H172" i="1"/>
  <c r="R153" i="1"/>
  <c r="V153" i="1" s="1"/>
  <c r="D163" i="25"/>
  <c r="I153" i="25"/>
  <c r="J153" i="25" s="1"/>
  <c r="J155" i="1" s="1"/>
  <c r="H153" i="25"/>
  <c r="G154" i="25"/>
  <c r="N176" i="1" l="1"/>
  <c r="N175" i="25"/>
  <c r="O174" i="25"/>
  <c r="P174" i="25" s="1"/>
  <c r="P176" i="1" s="1"/>
  <c r="J174" i="36"/>
  <c r="L174" i="36" s="1"/>
  <c r="P174" i="36" s="1"/>
  <c r="X174" i="36" s="1"/>
  <c r="AB174" i="36" s="1"/>
  <c r="O173" i="35"/>
  <c r="T173" i="35" s="1"/>
  <c r="U173" i="35" s="1"/>
  <c r="R185" i="35"/>
  <c r="Q186" i="35"/>
  <c r="S184" i="35"/>
  <c r="C172" i="25"/>
  <c r="H173" i="1"/>
  <c r="AF153" i="1"/>
  <c r="AJ153" i="1" s="1"/>
  <c r="R154" i="1"/>
  <c r="V154" i="1" s="1"/>
  <c r="D164" i="25"/>
  <c r="I154" i="25"/>
  <c r="J154" i="25" s="1"/>
  <c r="J156" i="1" s="1"/>
  <c r="H154" i="25"/>
  <c r="G155" i="25"/>
  <c r="N177" i="1" l="1"/>
  <c r="N176" i="25"/>
  <c r="O175" i="25"/>
  <c r="P175" i="25" s="1"/>
  <c r="P177" i="1" s="1"/>
  <c r="J175" i="36"/>
  <c r="L175" i="36" s="1"/>
  <c r="P175" i="36" s="1"/>
  <c r="X175" i="36" s="1"/>
  <c r="AB175" i="36" s="1"/>
  <c r="R186" i="35"/>
  <c r="Q187" i="35"/>
  <c r="S185" i="35"/>
  <c r="O174" i="35"/>
  <c r="T174" i="35" s="1"/>
  <c r="U174" i="35" s="1"/>
  <c r="AF154" i="1"/>
  <c r="AJ154" i="1" s="1"/>
  <c r="C173" i="25"/>
  <c r="H174" i="1"/>
  <c r="R155" i="1"/>
  <c r="V155" i="1" s="1"/>
  <c r="D165" i="25"/>
  <c r="H155" i="25"/>
  <c r="I155" i="25"/>
  <c r="J155" i="25" s="1"/>
  <c r="J157" i="1" s="1"/>
  <c r="G156" i="25"/>
  <c r="N178" i="1" l="1"/>
  <c r="O176" i="25"/>
  <c r="P176" i="25" s="1"/>
  <c r="P178" i="1" s="1"/>
  <c r="N177" i="25"/>
  <c r="J176" i="36"/>
  <c r="L176" i="36" s="1"/>
  <c r="P176" i="36" s="1"/>
  <c r="X176" i="36" s="1"/>
  <c r="AB176" i="36" s="1"/>
  <c r="O175" i="35"/>
  <c r="T175" i="35" s="1"/>
  <c r="U175" i="35" s="1"/>
  <c r="R187" i="35"/>
  <c r="Q188" i="35"/>
  <c r="S186" i="35"/>
  <c r="AF155" i="1"/>
  <c r="AJ155" i="1" s="1"/>
  <c r="C174" i="25"/>
  <c r="H175" i="1"/>
  <c r="R156" i="1"/>
  <c r="V156" i="1" s="1"/>
  <c r="D166" i="25"/>
  <c r="H156" i="25"/>
  <c r="I156" i="25"/>
  <c r="J156" i="25" s="1"/>
  <c r="J158" i="1" s="1"/>
  <c r="G157" i="25"/>
  <c r="N179" i="1" l="1"/>
  <c r="N178" i="25"/>
  <c r="O177" i="25"/>
  <c r="P177" i="25" s="1"/>
  <c r="P179" i="1" s="1"/>
  <c r="J177" i="36"/>
  <c r="L177" i="36" s="1"/>
  <c r="P177" i="36" s="1"/>
  <c r="X177" i="36" s="1"/>
  <c r="AB177" i="36" s="1"/>
  <c r="S187" i="35"/>
  <c r="R188" i="35"/>
  <c r="Q189" i="35"/>
  <c r="O176" i="35"/>
  <c r="T176" i="35" s="1"/>
  <c r="U176" i="35" s="1"/>
  <c r="AF156" i="1"/>
  <c r="AJ156" i="1" s="1"/>
  <c r="C175" i="25"/>
  <c r="H176" i="1"/>
  <c r="R157" i="1"/>
  <c r="V157" i="1" s="1"/>
  <c r="D167" i="25"/>
  <c r="H157" i="25"/>
  <c r="I157" i="25"/>
  <c r="J157" i="25" s="1"/>
  <c r="J159" i="1" s="1"/>
  <c r="G158" i="25"/>
  <c r="N180" i="1" l="1"/>
  <c r="N179" i="25"/>
  <c r="O178" i="25"/>
  <c r="P178" i="25" s="1"/>
  <c r="P180" i="1" s="1"/>
  <c r="J178" i="36"/>
  <c r="L178" i="36" s="1"/>
  <c r="P178" i="36" s="1"/>
  <c r="X178" i="36" s="1"/>
  <c r="AB178" i="36" s="1"/>
  <c r="O177" i="35"/>
  <c r="T177" i="35" s="1"/>
  <c r="U177" i="35" s="1"/>
  <c r="R189" i="35"/>
  <c r="Q190" i="35"/>
  <c r="S188" i="35"/>
  <c r="AF157" i="1"/>
  <c r="AJ157" i="1" s="1"/>
  <c r="C176" i="25"/>
  <c r="H177" i="1"/>
  <c r="R158" i="1"/>
  <c r="V158" i="1" s="1"/>
  <c r="D168" i="25"/>
  <c r="I158" i="25"/>
  <c r="J158" i="25" s="1"/>
  <c r="J160" i="1" s="1"/>
  <c r="H158" i="25"/>
  <c r="G159" i="25"/>
  <c r="N181" i="1" l="1"/>
  <c r="N180" i="25"/>
  <c r="O179" i="25"/>
  <c r="P179" i="25" s="1"/>
  <c r="P181" i="1" s="1"/>
  <c r="J179" i="36"/>
  <c r="L179" i="36" s="1"/>
  <c r="P179" i="36" s="1"/>
  <c r="X179" i="36" s="1"/>
  <c r="AB179" i="36" s="1"/>
  <c r="S189" i="35"/>
  <c r="O178" i="35"/>
  <c r="T178" i="35" s="1"/>
  <c r="U178" i="35" s="1"/>
  <c r="R190" i="35"/>
  <c r="Q191" i="35"/>
  <c r="AF158" i="1"/>
  <c r="AJ158" i="1" s="1"/>
  <c r="C177" i="25"/>
  <c r="H178" i="1"/>
  <c r="R159" i="1"/>
  <c r="V159" i="1" s="1"/>
  <c r="D169" i="25"/>
  <c r="I159" i="25"/>
  <c r="J159" i="25" s="1"/>
  <c r="J161" i="1" s="1"/>
  <c r="H159" i="25"/>
  <c r="G160" i="25"/>
  <c r="N182" i="1" l="1"/>
  <c r="O180" i="25"/>
  <c r="P180" i="25" s="1"/>
  <c r="P182" i="1" s="1"/>
  <c r="N181" i="25"/>
  <c r="J180" i="36"/>
  <c r="L180" i="36" s="1"/>
  <c r="P180" i="36" s="1"/>
  <c r="X180" i="36" s="1"/>
  <c r="AB180" i="36" s="1"/>
  <c r="R191" i="35"/>
  <c r="Q192" i="35"/>
  <c r="S190" i="35"/>
  <c r="O179" i="35"/>
  <c r="T179" i="35" s="1"/>
  <c r="U179" i="35" s="1"/>
  <c r="AF159" i="1"/>
  <c r="AJ159" i="1" s="1"/>
  <c r="C178" i="25"/>
  <c r="H179" i="1"/>
  <c r="R160" i="1"/>
  <c r="V160" i="1" s="1"/>
  <c r="D170" i="25"/>
  <c r="H160" i="25"/>
  <c r="I160" i="25"/>
  <c r="J160" i="25" s="1"/>
  <c r="J162" i="1" s="1"/>
  <c r="G161" i="25"/>
  <c r="N183" i="1" l="1"/>
  <c r="O181" i="25"/>
  <c r="P181" i="25" s="1"/>
  <c r="P183" i="1" s="1"/>
  <c r="N182" i="25"/>
  <c r="J181" i="36"/>
  <c r="L181" i="36" s="1"/>
  <c r="P181" i="36" s="1"/>
  <c r="X181" i="36" s="1"/>
  <c r="AB181" i="36" s="1"/>
  <c r="O180" i="35"/>
  <c r="T180" i="35" s="1"/>
  <c r="U180" i="35" s="1"/>
  <c r="R192" i="35"/>
  <c r="Q193" i="35"/>
  <c r="S191" i="35"/>
  <c r="AF160" i="1"/>
  <c r="AJ160" i="1" s="1"/>
  <c r="C179" i="25"/>
  <c r="H180" i="1"/>
  <c r="R161" i="1"/>
  <c r="V161" i="1" s="1"/>
  <c r="D171" i="25"/>
  <c r="I161" i="25"/>
  <c r="J161" i="25" s="1"/>
  <c r="J163" i="1" s="1"/>
  <c r="H161" i="25"/>
  <c r="G162" i="25"/>
  <c r="N184" i="1" l="1"/>
  <c r="N183" i="25"/>
  <c r="O182" i="25"/>
  <c r="P182" i="25" s="1"/>
  <c r="P184" i="1" s="1"/>
  <c r="J182" i="36"/>
  <c r="L182" i="36" s="1"/>
  <c r="P182" i="36" s="1"/>
  <c r="X182" i="36" s="1"/>
  <c r="AB182" i="36" s="1"/>
  <c r="R193" i="35"/>
  <c r="Q194" i="35"/>
  <c r="O181" i="35"/>
  <c r="T181" i="35" s="1"/>
  <c r="U181" i="35" s="1"/>
  <c r="S192" i="35"/>
  <c r="AF161" i="1"/>
  <c r="AJ161" i="1" s="1"/>
  <c r="C180" i="25"/>
  <c r="H181" i="1"/>
  <c r="R162" i="1"/>
  <c r="V162" i="1" s="1"/>
  <c r="D172" i="25"/>
  <c r="I162" i="25"/>
  <c r="J162" i="25" s="1"/>
  <c r="J164" i="1" s="1"/>
  <c r="H162" i="25"/>
  <c r="G163" i="25"/>
  <c r="N185" i="1" l="1"/>
  <c r="O183" i="25"/>
  <c r="P183" i="25" s="1"/>
  <c r="P185" i="1" s="1"/>
  <c r="N184" i="25"/>
  <c r="J183" i="36"/>
  <c r="L183" i="36" s="1"/>
  <c r="P183" i="36" s="1"/>
  <c r="X183" i="36" s="1"/>
  <c r="AB183" i="36" s="1"/>
  <c r="O182" i="35"/>
  <c r="T182" i="35" s="1"/>
  <c r="U182" i="35" s="1"/>
  <c r="R194" i="35"/>
  <c r="Q195" i="35"/>
  <c r="S193" i="35"/>
  <c r="C181" i="25"/>
  <c r="H182" i="1"/>
  <c r="AF162" i="1"/>
  <c r="AJ162" i="1" s="1"/>
  <c r="R163" i="1"/>
  <c r="V163" i="1" s="1"/>
  <c r="D173" i="25"/>
  <c r="I163" i="25"/>
  <c r="J163" i="25" s="1"/>
  <c r="J165" i="1" s="1"/>
  <c r="H163" i="25"/>
  <c r="G164" i="25"/>
  <c r="N186" i="1" l="1"/>
  <c r="O184" i="25"/>
  <c r="P184" i="25" s="1"/>
  <c r="P186" i="1" s="1"/>
  <c r="N185" i="25"/>
  <c r="J184" i="36"/>
  <c r="L184" i="36" s="1"/>
  <c r="P184" i="36" s="1"/>
  <c r="X184" i="36" s="1"/>
  <c r="AB184" i="36" s="1"/>
  <c r="S194" i="35"/>
  <c r="O183" i="35"/>
  <c r="T183" i="35" s="1"/>
  <c r="U183" i="35" s="1"/>
  <c r="R195" i="35"/>
  <c r="Q196" i="35"/>
  <c r="AF163" i="1"/>
  <c r="AJ163" i="1" s="1"/>
  <c r="C182" i="25"/>
  <c r="H183" i="1"/>
  <c r="R164" i="1"/>
  <c r="V164" i="1" s="1"/>
  <c r="D174" i="25"/>
  <c r="H164" i="25"/>
  <c r="I164" i="25"/>
  <c r="J164" i="25" s="1"/>
  <c r="J166" i="1" s="1"/>
  <c r="G165" i="25"/>
  <c r="N187" i="1" l="1"/>
  <c r="N186" i="25"/>
  <c r="O185" i="25"/>
  <c r="P185" i="25" s="1"/>
  <c r="P187" i="1" s="1"/>
  <c r="J185" i="36"/>
  <c r="L185" i="36" s="1"/>
  <c r="P185" i="36" s="1"/>
  <c r="X185" i="36" s="1"/>
  <c r="AB185" i="36" s="1"/>
  <c r="R196" i="35"/>
  <c r="Q197" i="35"/>
  <c r="O184" i="35"/>
  <c r="T184" i="35" s="1"/>
  <c r="U184" i="35" s="1"/>
  <c r="S195" i="35"/>
  <c r="C183" i="25"/>
  <c r="H184" i="1"/>
  <c r="AF164" i="1"/>
  <c r="AJ164" i="1" s="1"/>
  <c r="R165" i="1"/>
  <c r="V165" i="1" s="1"/>
  <c r="D175" i="25"/>
  <c r="H165" i="25"/>
  <c r="I165" i="25"/>
  <c r="J165" i="25" s="1"/>
  <c r="J167" i="1" s="1"/>
  <c r="G166" i="25"/>
  <c r="O186" i="25" l="1"/>
  <c r="P186" i="25" s="1"/>
  <c r="P188" i="1" s="1"/>
  <c r="N188" i="1"/>
  <c r="J186" i="36"/>
  <c r="L186" i="36" s="1"/>
  <c r="P186" i="36" s="1"/>
  <c r="X186" i="36" s="1"/>
  <c r="AB186" i="36" s="1"/>
  <c r="O185" i="35"/>
  <c r="T185" i="35" s="1"/>
  <c r="U185" i="35" s="1"/>
  <c r="R197" i="35"/>
  <c r="Q198" i="35"/>
  <c r="S196" i="35"/>
  <c r="AF165" i="1"/>
  <c r="AJ165" i="1" s="1"/>
  <c r="C184" i="25"/>
  <c r="H185" i="1"/>
  <c r="R166" i="1"/>
  <c r="V166" i="1" s="1"/>
  <c r="D176" i="25"/>
  <c r="I166" i="25"/>
  <c r="J166" i="25" s="1"/>
  <c r="J168" i="1" s="1"/>
  <c r="H166" i="25"/>
  <c r="G167" i="25"/>
  <c r="J187" i="36" l="1"/>
  <c r="L187" i="36" s="1"/>
  <c r="P187" i="36" s="1"/>
  <c r="X187" i="36" s="1"/>
  <c r="AB187" i="36" s="1"/>
  <c r="S197" i="35"/>
  <c r="O186" i="35"/>
  <c r="T186" i="35" s="1"/>
  <c r="U186" i="35" s="1"/>
  <c r="R198" i="35"/>
  <c r="Q199" i="35"/>
  <c r="C185" i="25"/>
  <c r="H186" i="1"/>
  <c r="AF166" i="1"/>
  <c r="AJ166" i="1" s="1"/>
  <c r="R167" i="1"/>
  <c r="V167" i="1" s="1"/>
  <c r="D177" i="25"/>
  <c r="I167" i="25"/>
  <c r="J167" i="25" s="1"/>
  <c r="J169" i="1" s="1"/>
  <c r="H167" i="25"/>
  <c r="G168" i="25"/>
  <c r="J188" i="36" l="1"/>
  <c r="L188" i="36" s="1"/>
  <c r="P188" i="36" s="1"/>
  <c r="X188" i="36" s="1"/>
  <c r="AB188" i="36" s="1"/>
  <c r="R199" i="35"/>
  <c r="Q200" i="35"/>
  <c r="S198" i="35"/>
  <c r="O187" i="35"/>
  <c r="T187" i="35" s="1"/>
  <c r="U187" i="35" s="1"/>
  <c r="AF167" i="1"/>
  <c r="AJ167" i="1" s="1"/>
  <c r="C186" i="25"/>
  <c r="H188" i="1" s="1"/>
  <c r="H187" i="1"/>
  <c r="R168" i="1"/>
  <c r="V168" i="1" s="1"/>
  <c r="D178" i="25"/>
  <c r="H168" i="25"/>
  <c r="I168" i="25"/>
  <c r="J168" i="25" s="1"/>
  <c r="J170" i="1" s="1"/>
  <c r="G169" i="25"/>
  <c r="J189" i="36" l="1"/>
  <c r="L189" i="36" s="1"/>
  <c r="P189" i="36" s="1"/>
  <c r="X189" i="36" s="1"/>
  <c r="AB189" i="36" s="1"/>
  <c r="O188" i="35"/>
  <c r="T188" i="35" s="1"/>
  <c r="U188" i="35" s="1"/>
  <c r="R200" i="35"/>
  <c r="Q201" i="35"/>
  <c r="S199" i="35"/>
  <c r="AF168" i="1"/>
  <c r="AJ168" i="1" s="1"/>
  <c r="R169" i="1"/>
  <c r="V169" i="1" s="1"/>
  <c r="D179" i="25"/>
  <c r="I169" i="25"/>
  <c r="J169" i="25" s="1"/>
  <c r="J171" i="1" s="1"/>
  <c r="H169" i="25"/>
  <c r="G170" i="25"/>
  <c r="J190" i="36" l="1"/>
  <c r="L190" i="36" s="1"/>
  <c r="P190" i="36" s="1"/>
  <c r="X190" i="36" s="1"/>
  <c r="AB190" i="36" s="1"/>
  <c r="O189" i="35"/>
  <c r="T189" i="35" s="1"/>
  <c r="U189" i="35" s="1"/>
  <c r="R201" i="35"/>
  <c r="Q202" i="35"/>
  <c r="S200" i="35"/>
  <c r="AF169" i="1"/>
  <c r="AJ169" i="1" s="1"/>
  <c r="R170" i="1"/>
  <c r="V170" i="1" s="1"/>
  <c r="D180" i="25"/>
  <c r="I170" i="25"/>
  <c r="J170" i="25" s="1"/>
  <c r="J172" i="1" s="1"/>
  <c r="H170" i="25"/>
  <c r="G171" i="25"/>
  <c r="J191" i="36" l="1"/>
  <c r="L191" i="36" s="1"/>
  <c r="P191" i="36" s="1"/>
  <c r="X191" i="36" s="1"/>
  <c r="AB191" i="36" s="1"/>
  <c r="R202" i="35"/>
  <c r="Q203" i="35"/>
  <c r="R203" i="35" s="1"/>
  <c r="S201" i="35"/>
  <c r="O190" i="35"/>
  <c r="T190" i="35" s="1"/>
  <c r="U190" i="35" s="1"/>
  <c r="AF170" i="1"/>
  <c r="AJ170" i="1" s="1"/>
  <c r="R171" i="1"/>
  <c r="V171" i="1" s="1"/>
  <c r="D181" i="25"/>
  <c r="H171" i="25"/>
  <c r="I171" i="25"/>
  <c r="J171" i="25" s="1"/>
  <c r="J173" i="1" s="1"/>
  <c r="G172" i="25"/>
  <c r="J192" i="36" l="1"/>
  <c r="L192" i="36" s="1"/>
  <c r="P192" i="36" s="1"/>
  <c r="X192" i="36" s="1"/>
  <c r="AB192" i="36" s="1"/>
  <c r="O191" i="35"/>
  <c r="T191" i="35" s="1"/>
  <c r="U191" i="35" s="1"/>
  <c r="S203" i="35"/>
  <c r="S202" i="35"/>
  <c r="AF171" i="1"/>
  <c r="AJ171" i="1" s="1"/>
  <c r="R172" i="1"/>
  <c r="V172" i="1" s="1"/>
  <c r="D182" i="25"/>
  <c r="H172" i="25"/>
  <c r="I172" i="25"/>
  <c r="J172" i="25" s="1"/>
  <c r="J174" i="1" s="1"/>
  <c r="G173" i="25"/>
  <c r="J193" i="36" l="1"/>
  <c r="L193" i="36" s="1"/>
  <c r="P193" i="36" s="1"/>
  <c r="X193" i="36" s="1"/>
  <c r="AB193" i="36" s="1"/>
  <c r="O192" i="35"/>
  <c r="T192" i="35" s="1"/>
  <c r="U192" i="35" s="1"/>
  <c r="AF172" i="1"/>
  <c r="AJ172" i="1" s="1"/>
  <c r="R173" i="1"/>
  <c r="V173" i="1" s="1"/>
  <c r="D183" i="25"/>
  <c r="G174" i="25"/>
  <c r="H173" i="25"/>
  <c r="I173" i="25"/>
  <c r="J173" i="25" s="1"/>
  <c r="J175" i="1" s="1"/>
  <c r="J194" i="36" l="1"/>
  <c r="L194" i="36" s="1"/>
  <c r="P194" i="36" s="1"/>
  <c r="X194" i="36" s="1"/>
  <c r="AB194" i="36" s="1"/>
  <c r="O193" i="35"/>
  <c r="T193" i="35" s="1"/>
  <c r="U193" i="35" s="1"/>
  <c r="AF173" i="1"/>
  <c r="AJ173" i="1" s="1"/>
  <c r="R174" i="1"/>
  <c r="V174" i="1" s="1"/>
  <c r="D184" i="25"/>
  <c r="I174" i="25"/>
  <c r="J174" i="25" s="1"/>
  <c r="J176" i="1" s="1"/>
  <c r="H174" i="25"/>
  <c r="G175" i="25"/>
  <c r="J195" i="36" l="1"/>
  <c r="L195" i="36" s="1"/>
  <c r="P195" i="36" s="1"/>
  <c r="X195" i="36" s="1"/>
  <c r="AB195" i="36" s="1"/>
  <c r="O194" i="35"/>
  <c r="T194" i="35" s="1"/>
  <c r="U194" i="35" s="1"/>
  <c r="AF174" i="1"/>
  <c r="AJ174" i="1" s="1"/>
  <c r="R175" i="1"/>
  <c r="V175" i="1" s="1"/>
  <c r="D185" i="25"/>
  <c r="I175" i="25"/>
  <c r="J175" i="25" s="1"/>
  <c r="J177" i="1" s="1"/>
  <c r="H175" i="25"/>
  <c r="G176" i="25"/>
  <c r="J196" i="36" l="1"/>
  <c r="L196" i="36" s="1"/>
  <c r="P196" i="36" s="1"/>
  <c r="X196" i="36" s="1"/>
  <c r="AB196" i="36" s="1"/>
  <c r="O195" i="35"/>
  <c r="T195" i="35" s="1"/>
  <c r="U195" i="35" s="1"/>
  <c r="AF175" i="1"/>
  <c r="AJ175" i="1" s="1"/>
  <c r="R176" i="1"/>
  <c r="V176" i="1" s="1"/>
  <c r="D186" i="25"/>
  <c r="H176" i="25"/>
  <c r="I176" i="25"/>
  <c r="J176" i="25" s="1"/>
  <c r="J178" i="1" s="1"/>
  <c r="G177" i="25"/>
  <c r="J197" i="36" l="1"/>
  <c r="L197" i="36" s="1"/>
  <c r="P197" i="36" s="1"/>
  <c r="X197" i="36" s="1"/>
  <c r="AB197" i="36" s="1"/>
  <c r="O196" i="35"/>
  <c r="T196" i="35" s="1"/>
  <c r="U196" i="35" s="1"/>
  <c r="AF176" i="1"/>
  <c r="AJ176" i="1" s="1"/>
  <c r="R177" i="1"/>
  <c r="V177" i="1" s="1"/>
  <c r="I177" i="25"/>
  <c r="J177" i="25" s="1"/>
  <c r="J179" i="1" s="1"/>
  <c r="H177" i="25"/>
  <c r="G178" i="25"/>
  <c r="J198" i="36" l="1"/>
  <c r="L198" i="36" s="1"/>
  <c r="P198" i="36" s="1"/>
  <c r="X198" i="36" s="1"/>
  <c r="AB198" i="36" s="1"/>
  <c r="O197" i="35"/>
  <c r="T197" i="35" s="1"/>
  <c r="U197" i="35" s="1"/>
  <c r="AF177" i="1"/>
  <c r="AJ177" i="1" s="1"/>
  <c r="R178" i="1"/>
  <c r="V178" i="1" s="1"/>
  <c r="I178" i="25"/>
  <c r="J178" i="25" s="1"/>
  <c r="J180" i="1" s="1"/>
  <c r="H178" i="25"/>
  <c r="G179" i="25"/>
  <c r="J199" i="36" l="1"/>
  <c r="L199" i="36" s="1"/>
  <c r="P199" i="36" s="1"/>
  <c r="X199" i="36" s="1"/>
  <c r="AB199" i="36" s="1"/>
  <c r="O198" i="35"/>
  <c r="T198" i="35" s="1"/>
  <c r="U198" i="35" s="1"/>
  <c r="AF178" i="1"/>
  <c r="AJ178" i="1" s="1"/>
  <c r="R179" i="1"/>
  <c r="V179" i="1" s="1"/>
  <c r="I179" i="25"/>
  <c r="J179" i="25" s="1"/>
  <c r="J181" i="1" s="1"/>
  <c r="H179" i="25"/>
  <c r="G180" i="25"/>
  <c r="J200" i="36" l="1"/>
  <c r="L200" i="36" s="1"/>
  <c r="P200" i="36" s="1"/>
  <c r="X200" i="36" s="1"/>
  <c r="AB200" i="36" s="1"/>
  <c r="O199" i="35"/>
  <c r="T199" i="35" s="1"/>
  <c r="U199" i="35" s="1"/>
  <c r="AF179" i="1"/>
  <c r="AJ179" i="1" s="1"/>
  <c r="R180" i="1"/>
  <c r="V180" i="1" s="1"/>
  <c r="H180" i="25"/>
  <c r="I180" i="25"/>
  <c r="J180" i="25" s="1"/>
  <c r="J182" i="1" s="1"/>
  <c r="G181" i="25"/>
  <c r="J201" i="36" l="1"/>
  <c r="L201" i="36" s="1"/>
  <c r="P201" i="36" s="1"/>
  <c r="X201" i="36" s="1"/>
  <c r="AB201" i="36" s="1"/>
  <c r="O200" i="35"/>
  <c r="T200" i="35" s="1"/>
  <c r="U200" i="35" s="1"/>
  <c r="AF180" i="1"/>
  <c r="AJ180" i="1" s="1"/>
  <c r="R181" i="1"/>
  <c r="V181" i="1" s="1"/>
  <c r="H181" i="25"/>
  <c r="I181" i="25"/>
  <c r="J181" i="25" s="1"/>
  <c r="J183" i="1" s="1"/>
  <c r="G182" i="25"/>
  <c r="J202" i="36" l="1"/>
  <c r="L202" i="36" s="1"/>
  <c r="P202" i="36" s="1"/>
  <c r="X202" i="36" s="1"/>
  <c r="AB202" i="36" s="1"/>
  <c r="O201" i="35"/>
  <c r="T201" i="35" s="1"/>
  <c r="U201" i="35" s="1"/>
  <c r="AF181" i="1"/>
  <c r="AJ181" i="1" s="1"/>
  <c r="R182" i="1"/>
  <c r="V182" i="1" s="1"/>
  <c r="I182" i="25"/>
  <c r="J182" i="25" s="1"/>
  <c r="J184" i="1" s="1"/>
  <c r="H182" i="25"/>
  <c r="G183" i="25"/>
  <c r="J203" i="36" l="1"/>
  <c r="L203" i="36" s="1"/>
  <c r="P203" i="36" s="1"/>
  <c r="X203" i="36" s="1"/>
  <c r="AB203" i="36" s="1"/>
  <c r="O202" i="35"/>
  <c r="T202" i="35" s="1"/>
  <c r="U202" i="35" s="1"/>
  <c r="O203" i="35"/>
  <c r="T203" i="35" s="1"/>
  <c r="U203" i="35" s="1"/>
  <c r="AF182" i="1"/>
  <c r="AJ182" i="1" s="1"/>
  <c r="R183" i="1"/>
  <c r="V183" i="1" s="1"/>
  <c r="I183" i="25"/>
  <c r="J183" i="25" s="1"/>
  <c r="J185" i="1" s="1"/>
  <c r="H183" i="25"/>
  <c r="G184" i="25"/>
  <c r="J205" i="36" l="1"/>
  <c r="L205" i="36" s="1"/>
  <c r="P205" i="36" s="1"/>
  <c r="X205" i="36" s="1"/>
  <c r="AB205" i="36" s="1"/>
  <c r="J204" i="36"/>
  <c r="L204" i="36" s="1"/>
  <c r="P204" i="36" s="1"/>
  <c r="X204" i="36" s="1"/>
  <c r="AB204" i="36" s="1"/>
  <c r="AF183" i="1"/>
  <c r="AJ183" i="1" s="1"/>
  <c r="R184" i="1"/>
  <c r="V184" i="1" s="1"/>
  <c r="I184" i="25"/>
  <c r="J184" i="25" s="1"/>
  <c r="J186" i="1" s="1"/>
  <c r="H184" i="25"/>
  <c r="G186" i="25"/>
  <c r="G185" i="25"/>
  <c r="AF184" i="1" l="1"/>
  <c r="AJ184" i="1" s="1"/>
  <c r="R185" i="1"/>
  <c r="V185" i="1" s="1"/>
  <c r="I186" i="25"/>
  <c r="J186" i="25" s="1"/>
  <c r="J188" i="1" s="1"/>
  <c r="H186" i="25"/>
  <c r="I185" i="25"/>
  <c r="J185" i="25" s="1"/>
  <c r="J187" i="1" s="1"/>
  <c r="H185" i="25"/>
  <c r="AF185" i="1" l="1"/>
  <c r="AJ185" i="1" s="1"/>
  <c r="R186" i="1"/>
  <c r="V186" i="1" s="1"/>
  <c r="AF186" i="1" l="1"/>
  <c r="AJ186" i="1" s="1"/>
  <c r="R188" i="1"/>
  <c r="V188" i="1" s="1"/>
  <c r="R187" i="1"/>
  <c r="V187" i="1" s="1"/>
  <c r="E15" i="33" l="1" a="1"/>
  <c r="E15" i="33" s="1"/>
  <c r="AF187" i="1"/>
  <c r="AJ187" i="1" s="1"/>
  <c r="AF188" i="1"/>
  <c r="AJ188" i="1" s="1"/>
  <c r="E16" i="33" s="1" a="1"/>
  <c r="E16" i="33" s="1"/>
  <c r="E12" i="35"/>
  <c r="E11" i="35"/>
  <c r="E22" i="35"/>
  <c r="E10" i="35"/>
  <c r="E21" i="35"/>
  <c r="E9" i="35"/>
  <c r="F9" i="35" s="1"/>
  <c r="E20" i="35"/>
  <c r="E19" i="35"/>
  <c r="E18" i="35"/>
  <c r="E17" i="35"/>
  <c r="E16" i="35"/>
  <c r="E15" i="35"/>
  <c r="E14" i="35"/>
  <c r="E13" i="35"/>
  <c r="E8" i="35"/>
  <c r="F8" i="35" s="1"/>
  <c r="G8" i="35" s="1"/>
  <c r="E23" i="35"/>
  <c r="E13" i="33" l="1" a="1"/>
  <c r="E13" i="33" s="1"/>
  <c r="E9" i="33" a="1"/>
  <c r="E9" i="33" s="1"/>
  <c r="E12" i="33" a="1"/>
  <c r="E12" i="33" s="1"/>
  <c r="E8" i="33" a="1"/>
  <c r="E8" i="33" s="1"/>
  <c r="E19" i="33" a="1"/>
  <c r="E19" i="33" s="1"/>
  <c r="E14" i="33" a="1"/>
  <c r="E14" i="33" s="1"/>
  <c r="E18" i="33" a="1"/>
  <c r="E18" i="33" s="1"/>
  <c r="E10" i="33" a="1"/>
  <c r="E10" i="33" s="1"/>
  <c r="E7" i="33" a="1"/>
  <c r="E7" i="33" s="1"/>
  <c r="E6" i="33" a="1"/>
  <c r="E6" i="33" s="1"/>
  <c r="E11" i="33" a="1"/>
  <c r="E11" i="33" s="1"/>
  <c r="E5" i="33" a="1"/>
  <c r="E5" i="33" s="1"/>
  <c r="E17" i="33" a="1"/>
  <c r="E17" i="33" s="1"/>
  <c r="G9" i="35"/>
  <c r="I9" i="35" s="1"/>
  <c r="J9" i="35" s="1"/>
  <c r="J10" i="34" s="1"/>
  <c r="L10" i="34" s="1"/>
  <c r="P10" i="34" s="1"/>
  <c r="X10" i="34" s="1"/>
  <c r="AB10" i="34" s="1"/>
  <c r="F10" i="35"/>
  <c r="F11" i="35" s="1"/>
  <c r="G11" i="35" s="1"/>
  <c r="H11" i="35" s="1"/>
  <c r="I8" i="35"/>
  <c r="J8" i="35" s="1"/>
  <c r="J9" i="34" s="1"/>
  <c r="L9" i="34" s="1"/>
  <c r="P9" i="34" s="1"/>
  <c r="X9" i="34" s="1"/>
  <c r="AB9" i="34" s="1"/>
  <c r="H8" i="35"/>
  <c r="I11" i="35" l="1"/>
  <c r="J11" i="35" s="1"/>
  <c r="J12" i="34" s="1"/>
  <c r="L12" i="34" s="1"/>
  <c r="P12" i="34" s="1"/>
  <c r="X12" i="34" s="1"/>
  <c r="AB12" i="34" s="1"/>
  <c r="G10" i="35"/>
  <c r="H10" i="35" s="1"/>
  <c r="H9" i="35"/>
  <c r="F12" i="35"/>
  <c r="F13" i="35" s="1"/>
  <c r="I10" i="35" l="1"/>
  <c r="J10" i="35" s="1"/>
  <c r="J11" i="34" s="1"/>
  <c r="L11" i="34" s="1"/>
  <c r="P11" i="34" s="1"/>
  <c r="X11" i="34" s="1"/>
  <c r="AB11" i="34" s="1"/>
  <c r="G12" i="35"/>
  <c r="H12" i="35" s="1"/>
  <c r="G13" i="35"/>
  <c r="F14" i="35"/>
  <c r="I12" i="35" l="1"/>
  <c r="J12" i="35" s="1"/>
  <c r="J13" i="34" s="1"/>
  <c r="L13" i="34" s="1"/>
  <c r="P13" i="34" s="1"/>
  <c r="X13" i="34" s="1"/>
  <c r="AB13" i="34" s="1"/>
  <c r="F15" i="35"/>
  <c r="G14" i="35"/>
  <c r="I13" i="35"/>
  <c r="J13" i="35" s="1"/>
  <c r="J14" i="34" s="1"/>
  <c r="L14" i="34" s="1"/>
  <c r="P14" i="34" s="1"/>
  <c r="X14" i="34" s="1"/>
  <c r="AB14" i="34" s="1"/>
  <c r="H13" i="35"/>
  <c r="I14" i="35" l="1"/>
  <c r="J14" i="35" s="1"/>
  <c r="J15" i="34" s="1"/>
  <c r="L15" i="34" s="1"/>
  <c r="P15" i="34" s="1"/>
  <c r="X15" i="34" s="1"/>
  <c r="AB15" i="34" s="1"/>
  <c r="H14" i="35"/>
  <c r="G15" i="35"/>
  <c r="F16" i="35"/>
  <c r="H15" i="35" l="1"/>
  <c r="I15" i="35"/>
  <c r="J15" i="35" s="1"/>
  <c r="J16" i="34" s="1"/>
  <c r="L16" i="34" s="1"/>
  <c r="P16" i="34" s="1"/>
  <c r="X16" i="34" s="1"/>
  <c r="AB16" i="34" s="1"/>
  <c r="G16" i="35"/>
  <c r="F17" i="35"/>
  <c r="G17" i="35" l="1"/>
  <c r="F18" i="35"/>
  <c r="I16" i="35"/>
  <c r="J16" i="35" s="1"/>
  <c r="J17" i="34" s="1"/>
  <c r="L17" i="34" s="1"/>
  <c r="P17" i="34" s="1"/>
  <c r="X17" i="34" s="1"/>
  <c r="AB17" i="34" s="1"/>
  <c r="H16" i="35"/>
  <c r="I17" i="35" l="1"/>
  <c r="J17" i="35" s="1"/>
  <c r="J18" i="34" s="1"/>
  <c r="L18" i="34" s="1"/>
  <c r="P18" i="34" s="1"/>
  <c r="X18" i="34" s="1"/>
  <c r="AB18" i="34" s="1"/>
  <c r="H17" i="35"/>
  <c r="F19" i="35"/>
  <c r="G18" i="35"/>
  <c r="I18" i="35" l="1"/>
  <c r="J18" i="35" s="1"/>
  <c r="J19" i="34" s="1"/>
  <c r="L19" i="34" s="1"/>
  <c r="P19" i="34" s="1"/>
  <c r="X19" i="34" s="1"/>
  <c r="AB19" i="34" s="1"/>
  <c r="H18" i="35"/>
  <c r="G19" i="35"/>
  <c r="F20" i="35"/>
  <c r="G20" i="35" l="1"/>
  <c r="F21" i="35"/>
  <c r="H19" i="35"/>
  <c r="I19" i="35"/>
  <c r="J19" i="35" s="1"/>
  <c r="J20" i="34" s="1"/>
  <c r="L20" i="34" s="1"/>
  <c r="P20" i="34" s="1"/>
  <c r="X20" i="34" s="1"/>
  <c r="AB20" i="34" s="1"/>
  <c r="G21" i="35" l="1"/>
  <c r="F22" i="35"/>
  <c r="H20" i="35"/>
  <c r="I20" i="35"/>
  <c r="J20" i="35" s="1"/>
  <c r="J21" i="34" s="1"/>
  <c r="L21" i="34" s="1"/>
  <c r="P21" i="34" s="1"/>
  <c r="X21" i="34" s="1"/>
  <c r="AB21" i="34" s="1"/>
  <c r="G22" i="35" l="1"/>
  <c r="F23" i="35"/>
  <c r="I21" i="35"/>
  <c r="J21" i="35" s="1"/>
  <c r="J22" i="34" s="1"/>
  <c r="L22" i="34" s="1"/>
  <c r="P22" i="34" s="1"/>
  <c r="X22" i="34" s="1"/>
  <c r="AB22" i="34" s="1"/>
  <c r="H21" i="35"/>
  <c r="F24" i="35" l="1"/>
  <c r="G23" i="35"/>
  <c r="I22" i="35"/>
  <c r="J22" i="35" s="1"/>
  <c r="J23" i="34" s="1"/>
  <c r="L23" i="34" s="1"/>
  <c r="P23" i="34" s="1"/>
  <c r="X23" i="34" s="1"/>
  <c r="AB23" i="34" s="1"/>
  <c r="H22" i="35"/>
  <c r="I23" i="35" l="1"/>
  <c r="J23" i="35" s="1"/>
  <c r="J24" i="34" s="1"/>
  <c r="L24" i="34" s="1"/>
  <c r="P24" i="34" s="1"/>
  <c r="X24" i="34" s="1"/>
  <c r="AB24" i="34" s="1"/>
  <c r="H23" i="35"/>
  <c r="G24" i="35"/>
  <c r="F25" i="35"/>
  <c r="G25" i="35" l="1"/>
  <c r="F26" i="35"/>
  <c r="H24" i="35"/>
  <c r="I24" i="35"/>
  <c r="J24" i="35" s="1"/>
  <c r="J26" i="34" s="1"/>
  <c r="L26" i="34" l="1"/>
  <c r="P26" i="34" s="1"/>
  <c r="X26" i="34" s="1"/>
  <c r="AB26" i="34" s="1"/>
  <c r="L26" i="36"/>
  <c r="P26" i="36" s="1"/>
  <c r="X26" i="36" s="1"/>
  <c r="AB26" i="36" s="1"/>
  <c r="G26" i="35"/>
  <c r="F27" i="35"/>
  <c r="I25" i="35"/>
  <c r="J25" i="35" s="1"/>
  <c r="J27" i="34" s="1"/>
  <c r="H25" i="35"/>
  <c r="L27" i="34" l="1"/>
  <c r="P27" i="34" s="1"/>
  <c r="X27" i="34" s="1"/>
  <c r="AB27" i="34" s="1"/>
  <c r="L27" i="36"/>
  <c r="P27" i="36" s="1"/>
  <c r="X27" i="36" s="1"/>
  <c r="AB27" i="36" s="1"/>
  <c r="G27" i="35"/>
  <c r="F28" i="35"/>
  <c r="H26" i="35"/>
  <c r="I26" i="35"/>
  <c r="J26" i="35" s="1"/>
  <c r="J28" i="34" s="1"/>
  <c r="L28" i="34" l="1"/>
  <c r="P28" i="34" s="1"/>
  <c r="X28" i="34" s="1"/>
  <c r="AB28" i="34" s="1"/>
  <c r="L28" i="36"/>
  <c r="P28" i="36" s="1"/>
  <c r="X28" i="36" s="1"/>
  <c r="AB28" i="36" s="1"/>
  <c r="G28" i="35"/>
  <c r="F29" i="35"/>
  <c r="I27" i="35"/>
  <c r="J27" i="35" s="1"/>
  <c r="J29" i="34" s="1"/>
  <c r="H27" i="35"/>
  <c r="L29" i="34" l="1"/>
  <c r="P29" i="34" s="1"/>
  <c r="X29" i="34" s="1"/>
  <c r="AB29" i="34" s="1"/>
  <c r="L29" i="36"/>
  <c r="P29" i="36" s="1"/>
  <c r="X29" i="36" s="1"/>
  <c r="AB29" i="36" s="1"/>
  <c r="G29" i="35"/>
  <c r="F30" i="35"/>
  <c r="H28" i="35"/>
  <c r="I28" i="35"/>
  <c r="J28" i="35" s="1"/>
  <c r="J30" i="34" s="1"/>
  <c r="L30" i="34" l="1"/>
  <c r="P30" i="34" s="1"/>
  <c r="X30" i="34" s="1"/>
  <c r="AB30" i="34" s="1"/>
  <c r="L30" i="36"/>
  <c r="P30" i="36" s="1"/>
  <c r="X30" i="36" s="1"/>
  <c r="AB30" i="36" s="1"/>
  <c r="G30" i="35"/>
  <c r="F31" i="35"/>
  <c r="I29" i="35"/>
  <c r="J29" i="35" s="1"/>
  <c r="J31" i="34" s="1"/>
  <c r="H29" i="35"/>
  <c r="L31" i="34" l="1"/>
  <c r="P31" i="34" s="1"/>
  <c r="X31" i="34" s="1"/>
  <c r="AB31" i="34" s="1"/>
  <c r="L31" i="36"/>
  <c r="P31" i="36" s="1"/>
  <c r="X31" i="36" s="1"/>
  <c r="AB31" i="36" s="1"/>
  <c r="G31" i="35"/>
  <c r="F32" i="35"/>
  <c r="H30" i="35"/>
  <c r="I30" i="35"/>
  <c r="J30" i="35" s="1"/>
  <c r="J32" i="34" s="1"/>
  <c r="L32" i="34" l="1"/>
  <c r="P32" i="34" s="1"/>
  <c r="X32" i="34" s="1"/>
  <c r="AB32" i="34" s="1"/>
  <c r="L32" i="36"/>
  <c r="P32" i="36" s="1"/>
  <c r="X32" i="36" s="1"/>
  <c r="AB32" i="36" s="1"/>
  <c r="G32" i="35"/>
  <c r="F33" i="35"/>
  <c r="I31" i="35"/>
  <c r="J31" i="35" s="1"/>
  <c r="J33" i="34" s="1"/>
  <c r="H31" i="35"/>
  <c r="L33" i="34" l="1"/>
  <c r="P33" i="34" s="1"/>
  <c r="X33" i="34" s="1"/>
  <c r="AB33" i="34" s="1"/>
  <c r="L33" i="36"/>
  <c r="P33" i="36" s="1"/>
  <c r="X33" i="36" s="1"/>
  <c r="AB33" i="36" s="1"/>
  <c r="G33" i="35"/>
  <c r="F34" i="35"/>
  <c r="H32" i="35"/>
  <c r="I32" i="35"/>
  <c r="J32" i="35" s="1"/>
  <c r="J34" i="34" s="1"/>
  <c r="L34" i="34" l="1"/>
  <c r="P34" i="34" s="1"/>
  <c r="X34" i="34" s="1"/>
  <c r="AB34" i="34" s="1"/>
  <c r="L34" i="36"/>
  <c r="P34" i="36" s="1"/>
  <c r="X34" i="36" s="1"/>
  <c r="AB34" i="36" s="1"/>
  <c r="G34" i="35"/>
  <c r="F35" i="35"/>
  <c r="I33" i="35"/>
  <c r="J33" i="35" s="1"/>
  <c r="J35" i="34" s="1"/>
  <c r="H33" i="35"/>
  <c r="L35" i="34" l="1"/>
  <c r="P35" i="34" s="1"/>
  <c r="X35" i="34" s="1"/>
  <c r="AB35" i="34" s="1"/>
  <c r="L35" i="36"/>
  <c r="P35" i="36" s="1"/>
  <c r="X35" i="36" s="1"/>
  <c r="AB35" i="36" s="1"/>
  <c r="G35" i="35"/>
  <c r="F36" i="35"/>
  <c r="H34" i="35"/>
  <c r="I34" i="35"/>
  <c r="J34" i="35" s="1"/>
  <c r="J36" i="34" s="1"/>
  <c r="L36" i="34" l="1"/>
  <c r="P36" i="34" s="1"/>
  <c r="X36" i="34" s="1"/>
  <c r="AB36" i="34" s="1"/>
  <c r="L36" i="36"/>
  <c r="P36" i="36" s="1"/>
  <c r="X36" i="36" s="1"/>
  <c r="AB36" i="36" s="1"/>
  <c r="G36" i="35"/>
  <c r="F37" i="35"/>
  <c r="I35" i="35"/>
  <c r="J35" i="35" s="1"/>
  <c r="J37" i="34" s="1"/>
  <c r="H35" i="35"/>
  <c r="L37" i="34" l="1"/>
  <c r="P37" i="34" s="1"/>
  <c r="X37" i="34" s="1"/>
  <c r="AB37" i="34" s="1"/>
  <c r="L37" i="36"/>
  <c r="P37" i="36" s="1"/>
  <c r="X37" i="36" s="1"/>
  <c r="AB37" i="36" s="1"/>
  <c r="G37" i="35"/>
  <c r="F38" i="35"/>
  <c r="H36" i="35"/>
  <c r="I36" i="35"/>
  <c r="J36" i="35" s="1"/>
  <c r="J38" i="34" s="1"/>
  <c r="L38" i="34" l="1"/>
  <c r="P38" i="34" s="1"/>
  <c r="X38" i="34" s="1"/>
  <c r="AB38" i="34" s="1"/>
  <c r="L38" i="36"/>
  <c r="P38" i="36" s="1"/>
  <c r="X38" i="36" s="1"/>
  <c r="AB38" i="36" s="1"/>
  <c r="G38" i="35"/>
  <c r="F39" i="35"/>
  <c r="I37" i="35"/>
  <c r="J37" i="35" s="1"/>
  <c r="J39" i="34" s="1"/>
  <c r="H37" i="35"/>
  <c r="L39" i="34" l="1"/>
  <c r="P39" i="34" s="1"/>
  <c r="X39" i="34" s="1"/>
  <c r="AB39" i="34" s="1"/>
  <c r="L39" i="36"/>
  <c r="P39" i="36" s="1"/>
  <c r="X39" i="36" s="1"/>
  <c r="AB39" i="36" s="1"/>
  <c r="G39" i="35"/>
  <c r="F40" i="35"/>
  <c r="H38" i="35"/>
  <c r="I38" i="35"/>
  <c r="J38" i="35" s="1"/>
  <c r="J40" i="34" s="1"/>
  <c r="L40" i="34" l="1"/>
  <c r="P40" i="34" s="1"/>
  <c r="X40" i="34" s="1"/>
  <c r="AB40" i="34" s="1"/>
  <c r="L40" i="36"/>
  <c r="P40" i="36" s="1"/>
  <c r="X40" i="36" s="1"/>
  <c r="AB40" i="36" s="1"/>
  <c r="G40" i="35"/>
  <c r="F41" i="35"/>
  <c r="I39" i="35"/>
  <c r="J39" i="35" s="1"/>
  <c r="J41" i="34" s="1"/>
  <c r="H39" i="35"/>
  <c r="L41" i="34" l="1"/>
  <c r="P41" i="34" s="1"/>
  <c r="X41" i="34" s="1"/>
  <c r="AB41" i="34" s="1"/>
  <c r="L41" i="36"/>
  <c r="P41" i="36" s="1"/>
  <c r="X41" i="36" s="1"/>
  <c r="AB41" i="36" s="1"/>
  <c r="G41" i="35"/>
  <c r="F42" i="35"/>
  <c r="H40" i="35"/>
  <c r="I40" i="35"/>
  <c r="J40" i="35" s="1"/>
  <c r="J42" i="34" s="1"/>
  <c r="L42" i="34" l="1"/>
  <c r="P42" i="34" s="1"/>
  <c r="X42" i="34" s="1"/>
  <c r="AB42" i="34" s="1"/>
  <c r="L42" i="36"/>
  <c r="P42" i="36" s="1"/>
  <c r="X42" i="36" s="1"/>
  <c r="AB42" i="36" s="1"/>
  <c r="G42" i="35"/>
  <c r="F43" i="35"/>
  <c r="I41" i="35"/>
  <c r="J41" i="35" s="1"/>
  <c r="J43" i="34" s="1"/>
  <c r="H41" i="35"/>
  <c r="L43" i="34" l="1"/>
  <c r="P43" i="34" s="1"/>
  <c r="X43" i="34" s="1"/>
  <c r="AB43" i="34" s="1"/>
  <c r="L43" i="36"/>
  <c r="P43" i="36" s="1"/>
  <c r="X43" i="36" s="1"/>
  <c r="AB43" i="36" s="1"/>
  <c r="G43" i="35"/>
  <c r="F44" i="35"/>
  <c r="H42" i="35"/>
  <c r="I42" i="35"/>
  <c r="J42" i="35" s="1"/>
  <c r="J44" i="34" s="1"/>
  <c r="L44" i="34" l="1"/>
  <c r="P44" i="34" s="1"/>
  <c r="X44" i="34" s="1"/>
  <c r="AB44" i="34" s="1"/>
  <c r="L44" i="36"/>
  <c r="P44" i="36" s="1"/>
  <c r="X44" i="36" s="1"/>
  <c r="AB44" i="36" s="1"/>
  <c r="G44" i="35"/>
  <c r="F45" i="35"/>
  <c r="I43" i="35"/>
  <c r="J43" i="35" s="1"/>
  <c r="J45" i="34" s="1"/>
  <c r="H43" i="35"/>
  <c r="L45" i="34" l="1"/>
  <c r="P45" i="34" s="1"/>
  <c r="X45" i="34" s="1"/>
  <c r="AB45" i="34" s="1"/>
  <c r="L45" i="36"/>
  <c r="P45" i="36" s="1"/>
  <c r="X45" i="36" s="1"/>
  <c r="AB45" i="36" s="1"/>
  <c r="G45" i="35"/>
  <c r="F46" i="35"/>
  <c r="H44" i="35"/>
  <c r="I44" i="35"/>
  <c r="J44" i="35" s="1"/>
  <c r="J46" i="34" s="1"/>
  <c r="L46" i="34" l="1"/>
  <c r="P46" i="34" s="1"/>
  <c r="X46" i="34" s="1"/>
  <c r="AB46" i="34" s="1"/>
  <c r="L46" i="36"/>
  <c r="P46" i="36" s="1"/>
  <c r="X46" i="36" s="1"/>
  <c r="AB46" i="36" s="1"/>
  <c r="G46" i="35"/>
  <c r="F47" i="35"/>
  <c r="I45" i="35"/>
  <c r="J45" i="35" s="1"/>
  <c r="J47" i="34" s="1"/>
  <c r="H45" i="35"/>
  <c r="L47" i="34" l="1"/>
  <c r="P47" i="34" s="1"/>
  <c r="X47" i="34" s="1"/>
  <c r="AB47" i="34" s="1"/>
  <c r="L47" i="36"/>
  <c r="P47" i="36" s="1"/>
  <c r="X47" i="36" s="1"/>
  <c r="AB47" i="36" s="1"/>
  <c r="G47" i="35"/>
  <c r="F48" i="35"/>
  <c r="H46" i="35"/>
  <c r="I46" i="35"/>
  <c r="J46" i="35" s="1"/>
  <c r="J48" i="34" s="1"/>
  <c r="L48" i="34" l="1"/>
  <c r="P48" i="34" s="1"/>
  <c r="X48" i="34" s="1"/>
  <c r="AB48" i="34" s="1"/>
  <c r="L48" i="36"/>
  <c r="P48" i="36" s="1"/>
  <c r="X48" i="36" s="1"/>
  <c r="AB48" i="36" s="1"/>
  <c r="G48" i="35"/>
  <c r="F49" i="35"/>
  <c r="I47" i="35"/>
  <c r="J47" i="35" s="1"/>
  <c r="J49" i="34" s="1"/>
  <c r="H47" i="35"/>
  <c r="L49" i="34" l="1"/>
  <c r="P49" i="34" s="1"/>
  <c r="X49" i="34" s="1"/>
  <c r="AB49" i="34" s="1"/>
  <c r="L49" i="36"/>
  <c r="P49" i="36" s="1"/>
  <c r="X49" i="36" s="1"/>
  <c r="AB49" i="36" s="1"/>
  <c r="G49" i="35"/>
  <c r="F50" i="35"/>
  <c r="H48" i="35"/>
  <c r="I48" i="35"/>
  <c r="J48" i="35" s="1"/>
  <c r="J50" i="34" s="1"/>
  <c r="L50" i="34" l="1"/>
  <c r="P50" i="34" s="1"/>
  <c r="X50" i="34" s="1"/>
  <c r="AB50" i="34" s="1"/>
  <c r="L50" i="36"/>
  <c r="P50" i="36" s="1"/>
  <c r="X50" i="36" s="1"/>
  <c r="AB50" i="36" s="1"/>
  <c r="G50" i="35"/>
  <c r="F51" i="35"/>
  <c r="I49" i="35"/>
  <c r="J49" i="35" s="1"/>
  <c r="J51" i="34" s="1"/>
  <c r="H49" i="35"/>
  <c r="L51" i="34" l="1"/>
  <c r="P51" i="34" s="1"/>
  <c r="X51" i="34" s="1"/>
  <c r="AB51" i="34" s="1"/>
  <c r="L51" i="36"/>
  <c r="P51" i="36" s="1"/>
  <c r="X51" i="36" s="1"/>
  <c r="AB51" i="36" s="1"/>
  <c r="G51" i="35"/>
  <c r="F52" i="35"/>
  <c r="H50" i="35"/>
  <c r="I50" i="35"/>
  <c r="J50" i="35" s="1"/>
  <c r="J52" i="34" s="1"/>
  <c r="L52" i="34" l="1"/>
  <c r="P52" i="34" s="1"/>
  <c r="X52" i="34" s="1"/>
  <c r="AB52" i="34" s="1"/>
  <c r="L52" i="36"/>
  <c r="P52" i="36" s="1"/>
  <c r="X52" i="36" s="1"/>
  <c r="AB52" i="36" s="1"/>
  <c r="G52" i="35"/>
  <c r="F53" i="35"/>
  <c r="I51" i="35"/>
  <c r="J51" i="35" s="1"/>
  <c r="J53" i="34" s="1"/>
  <c r="H51" i="35"/>
  <c r="L53" i="34" l="1"/>
  <c r="P53" i="34" s="1"/>
  <c r="X53" i="34" s="1"/>
  <c r="AB53" i="34" s="1"/>
  <c r="L53" i="36"/>
  <c r="P53" i="36" s="1"/>
  <c r="X53" i="36" s="1"/>
  <c r="AB53" i="36" s="1"/>
  <c r="G53" i="35"/>
  <c r="F54" i="35"/>
  <c r="H52" i="35"/>
  <c r="I52" i="35"/>
  <c r="J52" i="35" s="1"/>
  <c r="J54" i="34" s="1"/>
  <c r="L54" i="34" l="1"/>
  <c r="P54" i="34" s="1"/>
  <c r="X54" i="34" s="1"/>
  <c r="AB54" i="34" s="1"/>
  <c r="L54" i="36"/>
  <c r="P54" i="36" s="1"/>
  <c r="X54" i="36" s="1"/>
  <c r="AB54" i="36" s="1"/>
  <c r="G54" i="35"/>
  <c r="F55" i="35"/>
  <c r="I53" i="35"/>
  <c r="J53" i="35" s="1"/>
  <c r="J55" i="34" s="1"/>
  <c r="H53" i="35"/>
  <c r="L55" i="34" l="1"/>
  <c r="P55" i="34" s="1"/>
  <c r="X55" i="34" s="1"/>
  <c r="AB55" i="34" s="1"/>
  <c r="L55" i="36"/>
  <c r="P55" i="36" s="1"/>
  <c r="X55" i="36" s="1"/>
  <c r="AB55" i="36" s="1"/>
  <c r="G55" i="35"/>
  <c r="F56" i="35"/>
  <c r="H54" i="35"/>
  <c r="I54" i="35"/>
  <c r="J54" i="35" s="1"/>
  <c r="J56" i="34" s="1"/>
  <c r="L56" i="34" l="1"/>
  <c r="P56" i="34" s="1"/>
  <c r="X56" i="34" s="1"/>
  <c r="AB56" i="34" s="1"/>
  <c r="L56" i="36"/>
  <c r="P56" i="36" s="1"/>
  <c r="X56" i="36" s="1"/>
  <c r="AB56" i="36" s="1"/>
  <c r="G56" i="35"/>
  <c r="F57" i="35"/>
  <c r="I55" i="35"/>
  <c r="J55" i="35" s="1"/>
  <c r="J57" i="34" s="1"/>
  <c r="H55" i="35"/>
  <c r="L57" i="34" l="1"/>
  <c r="P57" i="34" s="1"/>
  <c r="X57" i="34" s="1"/>
  <c r="AB57" i="34" s="1"/>
  <c r="L57" i="36"/>
  <c r="P57" i="36" s="1"/>
  <c r="X57" i="36" s="1"/>
  <c r="AB57" i="36" s="1"/>
  <c r="G57" i="35"/>
  <c r="F58" i="35"/>
  <c r="H56" i="35"/>
  <c r="I56" i="35"/>
  <c r="J56" i="35" s="1"/>
  <c r="J58" i="34" s="1"/>
  <c r="L58" i="34" l="1"/>
  <c r="P58" i="34" s="1"/>
  <c r="X58" i="34" s="1"/>
  <c r="AB58" i="34" s="1"/>
  <c r="L58" i="36"/>
  <c r="P58" i="36" s="1"/>
  <c r="X58" i="36" s="1"/>
  <c r="AB58" i="36" s="1"/>
  <c r="G58" i="35"/>
  <c r="F59" i="35"/>
  <c r="I57" i="35"/>
  <c r="J57" i="35" s="1"/>
  <c r="J59" i="34" s="1"/>
  <c r="H57" i="35"/>
  <c r="L59" i="34" l="1"/>
  <c r="P59" i="34" s="1"/>
  <c r="X59" i="34" s="1"/>
  <c r="AB59" i="34" s="1"/>
  <c r="L59" i="36"/>
  <c r="P59" i="36" s="1"/>
  <c r="X59" i="36" s="1"/>
  <c r="AB59" i="36" s="1"/>
  <c r="G59" i="35"/>
  <c r="H58" i="35"/>
  <c r="I58" i="35"/>
  <c r="J58" i="35" s="1"/>
  <c r="J60" i="34" s="1"/>
  <c r="L60" i="34" l="1"/>
  <c r="P60" i="34" s="1"/>
  <c r="X60" i="34" s="1"/>
  <c r="AB60" i="34" s="1"/>
  <c r="L60" i="36"/>
  <c r="P60" i="36" s="1"/>
  <c r="X60" i="36" s="1"/>
  <c r="AB60" i="36" s="1"/>
  <c r="I59" i="35"/>
  <c r="J59" i="35" s="1"/>
  <c r="J61" i="34" s="1"/>
  <c r="H59" i="35"/>
  <c r="L61" i="34" l="1"/>
  <c r="P61" i="34" s="1"/>
  <c r="X61" i="34" s="1"/>
  <c r="AB61" i="34" s="1"/>
  <c r="C11" i="33" s="1" a="1"/>
  <c r="C11" i="33" s="1"/>
  <c r="G11" i="33" s="1"/>
  <c r="L61" i="36"/>
  <c r="P61" i="36" s="1"/>
  <c r="X61" i="36" s="1"/>
  <c r="AB61" i="36" s="1"/>
  <c r="D12" i="33" s="1" a="1"/>
  <c r="D12" i="33" s="1"/>
  <c r="K12" i="33" s="1"/>
  <c r="D18" i="33" l="1" a="1"/>
  <c r="D18" i="33" s="1"/>
  <c r="K18" i="33" s="1"/>
  <c r="M18" i="33" s="1"/>
  <c r="D15" i="33" a="1"/>
  <c r="D15" i="33" s="1"/>
  <c r="K15" i="33" s="1"/>
  <c r="L15" i="33" s="1"/>
  <c r="D8" i="33" a="1"/>
  <c r="D8" i="33" s="1"/>
  <c r="K8" i="33" s="1"/>
  <c r="M8" i="33" s="1"/>
  <c r="C7" i="33" a="1"/>
  <c r="C7" i="33" s="1"/>
  <c r="G7" i="33" s="1"/>
  <c r="H7" i="33" s="1"/>
  <c r="C6" i="33" a="1"/>
  <c r="C6" i="33" s="1"/>
  <c r="G6" i="33" s="1"/>
  <c r="I6" i="33" s="1"/>
  <c r="C10" i="33" a="1"/>
  <c r="C10" i="33" s="1"/>
  <c r="G10" i="33" s="1"/>
  <c r="H10" i="33" s="1"/>
  <c r="H11" i="33"/>
  <c r="I11" i="33"/>
  <c r="C8" i="33" a="1"/>
  <c r="C8" i="33" s="1"/>
  <c r="G8" i="33" s="1"/>
  <c r="C9" i="33" a="1"/>
  <c r="C9" i="33" s="1"/>
  <c r="G9" i="33" s="1"/>
  <c r="C17" i="33" a="1"/>
  <c r="C17" i="33" s="1"/>
  <c r="G17" i="33" s="1"/>
  <c r="C15" i="33" a="1"/>
  <c r="C15" i="33" s="1"/>
  <c r="G15" i="33" s="1"/>
  <c r="C18" i="33" a="1"/>
  <c r="C18" i="33" s="1"/>
  <c r="G18" i="33" s="1"/>
  <c r="C5" i="33" a="1"/>
  <c r="C5" i="33" s="1"/>
  <c r="G5" i="33" s="1"/>
  <c r="C19" i="33" a="1"/>
  <c r="C19" i="33" s="1"/>
  <c r="G19" i="33" s="1"/>
  <c r="C16" i="33" a="1"/>
  <c r="C16" i="33" s="1"/>
  <c r="G16" i="33" s="1"/>
  <c r="C12" i="33" a="1"/>
  <c r="C12" i="33" s="1"/>
  <c r="G12" i="33" s="1"/>
  <c r="O12" i="33" s="1"/>
  <c r="C14" i="33" a="1"/>
  <c r="C14" i="33" s="1"/>
  <c r="G14" i="33" s="1"/>
  <c r="C13" i="33" a="1"/>
  <c r="C13" i="33" s="1"/>
  <c r="G13" i="33" s="1"/>
  <c r="L12" i="33"/>
  <c r="M12" i="33"/>
  <c r="D19" i="33" a="1"/>
  <c r="D19" i="33" s="1"/>
  <c r="K19" i="33" s="1"/>
  <c r="D16" i="33" a="1"/>
  <c r="D16" i="33" s="1"/>
  <c r="K16" i="33" s="1"/>
  <c r="D7" i="33" a="1"/>
  <c r="D7" i="33" s="1"/>
  <c r="K7" i="33" s="1"/>
  <c r="D5" i="33" a="1"/>
  <c r="D5" i="33" s="1"/>
  <c r="K5" i="33" s="1"/>
  <c r="D14" i="33" a="1"/>
  <c r="D14" i="33" s="1"/>
  <c r="K14" i="33" s="1"/>
  <c r="D11" i="33" a="1"/>
  <c r="D11" i="33" s="1"/>
  <c r="K11" i="33" s="1"/>
  <c r="D9" i="33" a="1"/>
  <c r="D9" i="33" s="1"/>
  <c r="K9" i="33" s="1"/>
  <c r="D10" i="33" a="1"/>
  <c r="D10" i="33" s="1"/>
  <c r="K10" i="33" s="1"/>
  <c r="D13" i="33" a="1"/>
  <c r="D13" i="33" s="1"/>
  <c r="K13" i="33" s="1"/>
  <c r="D17" i="33" a="1"/>
  <c r="D17" i="33" s="1"/>
  <c r="K17" i="33" s="1"/>
  <c r="D6" i="33" a="1"/>
  <c r="D6" i="33" s="1"/>
  <c r="K6" i="33" s="1"/>
  <c r="L18" i="33" l="1"/>
  <c r="L8" i="33"/>
  <c r="O18" i="33"/>
  <c r="R18" i="33" s="1"/>
  <c r="S18" i="33" s="1"/>
  <c r="O8" i="33"/>
  <c r="P8" i="33" s="1"/>
  <c r="Q8" i="33" s="1"/>
  <c r="O15" i="33"/>
  <c r="R15" i="33" s="1"/>
  <c r="S15" i="33" s="1"/>
  <c r="M15" i="33"/>
  <c r="I7" i="33"/>
  <c r="I10" i="33"/>
  <c r="H6" i="33"/>
  <c r="I5" i="33"/>
  <c r="H5" i="33"/>
  <c r="H9" i="33"/>
  <c r="I9" i="33"/>
  <c r="H16" i="33"/>
  <c r="I16" i="33"/>
  <c r="H18" i="33"/>
  <c r="I18" i="33"/>
  <c r="H19" i="33"/>
  <c r="I19" i="33"/>
  <c r="H13" i="33"/>
  <c r="I13" i="33"/>
  <c r="H8" i="33"/>
  <c r="I8" i="33"/>
  <c r="H14" i="33"/>
  <c r="I14" i="33"/>
  <c r="H15" i="33"/>
  <c r="I15" i="33"/>
  <c r="H12" i="33"/>
  <c r="I12" i="33"/>
  <c r="H17" i="33"/>
  <c r="I17" i="33"/>
  <c r="M6" i="33"/>
  <c r="O6" i="33"/>
  <c r="L6" i="33"/>
  <c r="M10" i="33"/>
  <c r="O10" i="33"/>
  <c r="L10" i="33"/>
  <c r="M16" i="33"/>
  <c r="O16" i="33"/>
  <c r="L16" i="33"/>
  <c r="O11" i="33"/>
  <c r="L11" i="33"/>
  <c r="M11" i="33"/>
  <c r="O19" i="33"/>
  <c r="L19" i="33"/>
  <c r="M19" i="33"/>
  <c r="O17" i="33"/>
  <c r="M17" i="33"/>
  <c r="L17" i="33"/>
  <c r="M14" i="33"/>
  <c r="O14" i="33"/>
  <c r="L14" i="33"/>
  <c r="O13" i="33"/>
  <c r="L13" i="33"/>
  <c r="M13" i="33"/>
  <c r="O5" i="33"/>
  <c r="E45" i="27" s="1"/>
  <c r="L5" i="33"/>
  <c r="M5" i="33"/>
  <c r="O9" i="33"/>
  <c r="L9" i="33"/>
  <c r="M9" i="33"/>
  <c r="O7" i="33"/>
  <c r="M7" i="33"/>
  <c r="L7" i="33"/>
  <c r="P12" i="33"/>
  <c r="Q12" i="33" s="1"/>
  <c r="R12" i="33"/>
  <c r="S12" i="33" s="1"/>
  <c r="P15" i="33" l="1"/>
  <c r="Q15" i="33" s="1"/>
  <c r="P18" i="33"/>
  <c r="Q18" i="33" s="1"/>
  <c r="R8" i="33"/>
  <c r="S8" i="33" s="1"/>
  <c r="G49" i="27"/>
  <c r="F49" i="27"/>
  <c r="R7" i="33"/>
  <c r="S7" i="33" s="1"/>
  <c r="P7" i="33"/>
  <c r="Q7" i="33" s="1"/>
  <c r="P13" i="33"/>
  <c r="Q13" i="33" s="1"/>
  <c r="R13" i="33"/>
  <c r="S13" i="33" s="1"/>
  <c r="R19" i="33"/>
  <c r="S19" i="33" s="1"/>
  <c r="P19" i="33"/>
  <c r="Q19" i="33" s="1"/>
  <c r="P10" i="33"/>
  <c r="Q10" i="33" s="1"/>
  <c r="R10" i="33"/>
  <c r="S10" i="33" s="1"/>
  <c r="P9" i="33"/>
  <c r="Q9" i="33" s="1"/>
  <c r="R9" i="33"/>
  <c r="S9" i="33" s="1"/>
  <c r="P14" i="33"/>
  <c r="Q14" i="33" s="1"/>
  <c r="R14" i="33"/>
  <c r="S14" i="33" s="1"/>
  <c r="R11" i="33"/>
  <c r="S11" i="33" s="1"/>
  <c r="P11" i="33"/>
  <c r="Q11" i="33" s="1"/>
  <c r="P5" i="33"/>
  <c r="Q5" i="33" s="1"/>
  <c r="R5" i="33"/>
  <c r="S5" i="33" s="1"/>
  <c r="P17" i="33"/>
  <c r="Q17" i="33" s="1"/>
  <c r="R17" i="33"/>
  <c r="S17" i="33" s="1"/>
  <c r="P16" i="33"/>
  <c r="Q16" i="33" s="1"/>
  <c r="R16" i="33"/>
  <c r="S16" i="33" s="1"/>
  <c r="P6" i="33"/>
  <c r="Q6" i="33" s="1"/>
  <c r="R6" i="33"/>
  <c r="S6" i="33" s="1"/>
  <c r="J45" i="27" l="1"/>
  <c r="E49" i="27"/>
  <c r="E53" i="27" s="1"/>
  <c r="F53" i="27"/>
  <c r="J46" i="27"/>
  <c r="G53" i="27"/>
  <c r="R46" i="27" l="1"/>
  <c r="K46" i="27"/>
  <c r="R45" i="27"/>
  <c r="Q45" i="27" s="1"/>
  <c r="K45" i="27"/>
  <c r="F55" i="27" l="1"/>
  <c r="F57" i="27" s="1"/>
  <c r="P45" i="2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<sst xmlns="http://schemas.openxmlformats.org/spreadsheetml/2006/main" count="1023" uniqueCount="265">
  <si>
    <t xml:space="preserve"> </t>
  </si>
  <si>
    <t>Accumulated Depreciation</t>
  </si>
  <si>
    <t xml:space="preserve">ADFIT </t>
  </si>
  <si>
    <t>Rate Base</t>
  </si>
  <si>
    <t>Monthly Return on Rate Base</t>
  </si>
  <si>
    <t>Monthly O &amp; M</t>
  </si>
  <si>
    <t>Month</t>
  </si>
  <si>
    <t>Year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</si>
  <si>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</si>
  <si>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</si>
  <si>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</si>
  <si>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</si>
  <si>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</si>
  <si>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</si>
  <si>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</si>
  <si>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</si>
  <si>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</si>
  <si>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</si>
  <si>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</si>
  <si>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</si>
  <si>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MACRS Tax Depreciation Tables</t>
  </si>
  <si>
    <t xml:space="preserve">     Accum DFIT @  -  Asset &lt;Liability&gt;</t>
  </si>
  <si>
    <t>Expense Month</t>
  </si>
  <si>
    <t>Monthly Depreciation Expense</t>
  </si>
  <si>
    <t>Month
(Actuals)</t>
  </si>
  <si>
    <t>Month Filed</t>
  </si>
  <si>
    <t>Month Billed</t>
  </si>
  <si>
    <t>KY Retail Allocation Factor</t>
  </si>
  <si>
    <t>Allocation Factor</t>
  </si>
  <si>
    <t>LINE NO.</t>
  </si>
  <si>
    <t>Component</t>
  </si>
  <si>
    <t>Balances</t>
  </si>
  <si>
    <t>Cap.                                Structure</t>
  </si>
  <si>
    <t>Cost                                                Rates</t>
  </si>
  <si>
    <t>WACC                                              (Net of Tax)</t>
  </si>
  <si>
    <t>GRCF</t>
  </si>
  <si>
    <t>WACC       (PRE-TAX)</t>
  </si>
  <si>
    <t>L/T DEBT</t>
  </si>
  <si>
    <t>S/T DEBT</t>
  </si>
  <si>
    <t>ACCTS REC FINANCING</t>
  </si>
  <si>
    <t>C EQUITY</t>
  </si>
  <si>
    <t>TOTAL</t>
  </si>
  <si>
    <t>Debt</t>
  </si>
  <si>
    <t>Equity</t>
  </si>
  <si>
    <t>Operating Revenues</t>
  </si>
  <si>
    <t>Less Uncollectible Accounts Expense</t>
  </si>
  <si>
    <t>KPSC Maintenance Assessment Fee</t>
  </si>
  <si>
    <t>Income Before Income Taxes</t>
  </si>
  <si>
    <t>Operating  Income Percentage</t>
  </si>
  <si>
    <t>Gross Up Factor  (100.00/Ln 9)</t>
  </si>
  <si>
    <t>Twelve Mo. Average</t>
  </si>
  <si>
    <t>Total Monthly Environmental Revenue Requirement</t>
  </si>
  <si>
    <t>Residential</t>
  </si>
  <si>
    <t>All Other</t>
  </si>
  <si>
    <t>Installed Book Cost</t>
  </si>
  <si>
    <t>Depreciation Rate</t>
  </si>
  <si>
    <t>Net Book Basis</t>
  </si>
  <si>
    <t>Tax Depr</t>
  </si>
  <si>
    <t>Accumulated Depr</t>
  </si>
  <si>
    <t>Net Tax Basis</t>
  </si>
  <si>
    <t>Installed Year</t>
  </si>
  <si>
    <t>Accum Tax Depr</t>
  </si>
  <si>
    <t>% Tax Depr</t>
  </si>
  <si>
    <t>Book v. Tax Temporary Difference</t>
  </si>
  <si>
    <t>Federal Income Tax</t>
  </si>
  <si>
    <t>Estimated Revenue Requirement for ELG Through 2040</t>
  </si>
  <si>
    <t>Less State Income Taxes (Ln 4 x 5.0065)</t>
  </si>
  <si>
    <t>Taxable Income for Federal Income Taxes</t>
  </si>
  <si>
    <t>Less Federal Income Taxes (Ln 11*21%)</t>
  </si>
  <si>
    <t>KENTUCKY POWER COMPANY</t>
  </si>
  <si>
    <t>Environmental Surcharge</t>
  </si>
  <si>
    <t>Mitchell Plant Cost of Capital</t>
  </si>
  <si>
    <t>3/31/2023</t>
  </si>
  <si>
    <t>Property Tax Rates</t>
  </si>
  <si>
    <t>Marshall County WV Rate</t>
  </si>
  <si>
    <t>WV Listing Percentage</t>
  </si>
  <si>
    <t>Pollution Control Value (Salvage)</t>
  </si>
  <si>
    <t>Allocation Factors</t>
  </si>
  <si>
    <t>Allocation of E(m) by Classification</t>
  </si>
  <si>
    <t>Line 1 * 2</t>
  </si>
  <si>
    <t>KPCo's Twelve Months Ended December 2020 Revenues</t>
  </si>
  <si>
    <t>Percent Annual Increase</t>
  </si>
  <si>
    <t>Line 3 / 4</t>
  </si>
  <si>
    <t>Line 6 * 12</t>
  </si>
  <si>
    <t>ES Form 1.10, Line 9</t>
  </si>
  <si>
    <t>Year 1 Effect of Project 23</t>
  </si>
  <si>
    <t>12 MONTHS BILLED AND ACCRUED - MCSR0162 - FINAL</t>
  </si>
  <si>
    <t>Tariff Code</t>
  </si>
  <si>
    <t>Revenue</t>
  </si>
  <si>
    <t>Metered KWH</t>
  </si>
  <si>
    <t>Billing Demand</t>
  </si>
  <si>
    <t># of Customers</t>
  </si>
  <si>
    <t>Avg kWh</t>
  </si>
  <si>
    <t>Avg Bill</t>
  </si>
  <si>
    <t>Avg Peak</t>
  </si>
  <si>
    <t>RSW-LMWH</t>
  </si>
  <si>
    <t>RSW-A</t>
  </si>
  <si>
    <t>RSW-B</t>
  </si>
  <si>
    <t>RSW-C</t>
  </si>
  <si>
    <t>RS</t>
  </si>
  <si>
    <t>RS EMP</t>
  </si>
  <si>
    <t>RSW-RS</t>
  </si>
  <si>
    <t>AORH-W ON</t>
  </si>
  <si>
    <t>RSW-ONPK</t>
  </si>
  <si>
    <t>RS LM-ON</t>
  </si>
  <si>
    <t>AORH-ON</t>
  </si>
  <si>
    <t>RS-TOD-ON</t>
  </si>
  <si>
    <t>RES Subtotal</t>
  </si>
  <si>
    <t>OL 175 MV</t>
  </si>
  <si>
    <t>OL 100 HP</t>
  </si>
  <si>
    <t>OL 400 MV</t>
  </si>
  <si>
    <t>OL 200 HP</t>
  </si>
  <si>
    <t>OL 400 HP</t>
  </si>
  <si>
    <t>OL175 MVP</t>
  </si>
  <si>
    <t>OL 250 HP</t>
  </si>
  <si>
    <t>OL 200HPF</t>
  </si>
  <si>
    <t>OL400 HPF</t>
  </si>
  <si>
    <t>OL 250 MH</t>
  </si>
  <si>
    <t>OL100 HPP</t>
  </si>
  <si>
    <t>OL 150 HP</t>
  </si>
  <si>
    <t>OL 400 MH</t>
  </si>
  <si>
    <t>OL 250HPP</t>
  </si>
  <si>
    <t>OL150 HPP</t>
  </si>
  <si>
    <t>OL 400HPP</t>
  </si>
  <si>
    <t>OL 250MON</t>
  </si>
  <si>
    <t>OL 1000MH</t>
  </si>
  <si>
    <t>OL 400MON</t>
  </si>
  <si>
    <t>OL Subtotal</t>
  </si>
  <si>
    <t>SGS-MTRD</t>
  </si>
  <si>
    <t>SGS</t>
  </si>
  <si>
    <t>SGS-UMR</t>
  </si>
  <si>
    <t>MGS - AF</t>
  </si>
  <si>
    <t>MGS SEC</t>
  </si>
  <si>
    <t>MGS PRI</t>
  </si>
  <si>
    <t>MGS M SEC</t>
  </si>
  <si>
    <t>MGSCC PRI</t>
  </si>
  <si>
    <t>MGS LM ON</t>
  </si>
  <si>
    <t>SGSTOD ON</t>
  </si>
  <si>
    <t>EXPSGSTOD</t>
  </si>
  <si>
    <t>SGS-TOD Subtotal</t>
  </si>
  <si>
    <t>MGS-TOD</t>
  </si>
  <si>
    <t>MGS-TOD Subtotal</t>
  </si>
  <si>
    <t>MGSCC SUB</t>
  </si>
  <si>
    <t>GS Subtotal</t>
  </si>
  <si>
    <t>LGS SEC</t>
  </si>
  <si>
    <t>LGS M SEC</t>
  </si>
  <si>
    <t>LGS PRI</t>
  </si>
  <si>
    <t>LGS M PRI</t>
  </si>
  <si>
    <t>LGS SUB</t>
  </si>
  <si>
    <t>LGS TRAN</t>
  </si>
  <si>
    <t>LGS-LM-TD</t>
  </si>
  <si>
    <t>LGSSECTOD</t>
  </si>
  <si>
    <t>LGSPRITOD</t>
  </si>
  <si>
    <t>PS SEC</t>
  </si>
  <si>
    <t>PS PRI</t>
  </si>
  <si>
    <t>LGS Subtotal</t>
  </si>
  <si>
    <t>CS-IRP PR</t>
  </si>
  <si>
    <t>CS-IRP ST</t>
  </si>
  <si>
    <t>CS-IRP TR</t>
  </si>
  <si>
    <t>CS-IRP</t>
  </si>
  <si>
    <t>IGS SEC</t>
  </si>
  <si>
    <t>IGS PRI</t>
  </si>
  <si>
    <t>IGS SUB</t>
  </si>
  <si>
    <t>IGS</t>
  </si>
  <si>
    <t>IGS Subtotal</t>
  </si>
  <si>
    <t>SL</t>
  </si>
  <si>
    <t>SL Subtotal</t>
  </si>
  <si>
    <t>MW</t>
  </si>
  <si>
    <t>MW Subtotal</t>
  </si>
  <si>
    <t>Customer Classification</t>
  </si>
  <si>
    <t>R.S.</t>
  </si>
  <si>
    <t>S.G.S. - T.O.D.</t>
  </si>
  <si>
    <t>M.G.S. - T.O.D.</t>
  </si>
  <si>
    <t>G.S.</t>
  </si>
  <si>
    <t>L.G.S.</t>
  </si>
  <si>
    <t>I.G.S.</t>
  </si>
  <si>
    <t>M.W.</t>
  </si>
  <si>
    <t>O.L.</t>
  </si>
  <si>
    <t>S.L.**</t>
  </si>
  <si>
    <t>Line</t>
  </si>
  <si>
    <t>Description</t>
  </si>
  <si>
    <t>Source</t>
  </si>
  <si>
    <t>Total Retail</t>
  </si>
  <si>
    <t>Total Retail Impact</t>
  </si>
  <si>
    <t>** Number of lamps, not customers</t>
  </si>
  <si>
    <t>55W LEDOL</t>
  </si>
  <si>
    <t>100WLEDOL</t>
  </si>
  <si>
    <t>175WLEDOL</t>
  </si>
  <si>
    <t>300WLEDOL</t>
  </si>
  <si>
    <t>64W LEDOL</t>
  </si>
  <si>
    <t>146WLEDOL</t>
  </si>
  <si>
    <t>297WLEDOL</t>
  </si>
  <si>
    <t>Check</t>
  </si>
  <si>
    <t>CWIP</t>
  </si>
  <si>
    <t>WACC</t>
  </si>
  <si>
    <t>Gross Plant</t>
  </si>
  <si>
    <t>Federal and State Income Taxes</t>
  </si>
  <si>
    <t>Taxes Other than Income</t>
  </si>
  <si>
    <t>Retail Allocation</t>
  </si>
  <si>
    <t>Monthly Property Tax</t>
  </si>
  <si>
    <t>Filing Month</t>
  </si>
  <si>
    <t>WPCo Repayment</t>
  </si>
  <si>
    <t>Plant</t>
  </si>
  <si>
    <t xml:space="preserve"> Impact by Customer Classification</t>
  </si>
  <si>
    <t>Annual Percent Change</t>
  </si>
  <si>
    <t>Annual $ Increase for Class</t>
  </si>
  <si>
    <t>Monthly Average Usage (kWh)*</t>
  </si>
  <si>
    <t>Monthly Average Customer Demand (kW)*</t>
  </si>
  <si>
    <t>Current Monthly Average Bill $*</t>
  </si>
  <si>
    <t>Proposed Monthly Average Bill $</t>
  </si>
  <si>
    <t>Monthly  $ Increase</t>
  </si>
  <si>
    <t>Monthly Percent Increase</t>
  </si>
  <si>
    <t>* Based on 12-months ending May 2025</t>
  </si>
  <si>
    <t>Monthly Effect on a Residential Customer using 1189 kWh</t>
  </si>
  <si>
    <t>Annual Effect on a Residential Customer using 14268 kWh</t>
  </si>
  <si>
    <t>12 Mos. Ended April 2025
Average Retail Allocation</t>
  </si>
  <si>
    <t>Exhibit LMK-4, ELG Rev Req tab</t>
  </si>
  <si>
    <t>Exhibit LMK-4, 12mos BA tab</t>
  </si>
  <si>
    <t>Exhibit LMK-4, Retail Impact tab</t>
  </si>
  <si>
    <t>Base Costs of Operation</t>
  </si>
  <si>
    <t>Material Direct Purchase</t>
  </si>
  <si>
    <t>Non-Outage Maintenance Improvements</t>
  </si>
  <si>
    <t>Scheduled Outage O&amp;M</t>
  </si>
  <si>
    <t>Total</t>
  </si>
  <si>
    <t>Monthly Total Plant</t>
  </si>
  <si>
    <t>Monthly KP</t>
  </si>
  <si>
    <t>Figure JDS-3</t>
  </si>
  <si>
    <t>Amortization Mos.</t>
  </si>
  <si>
    <t>Accumulated Amortization Expense</t>
  </si>
  <si>
    <t>Reg Asset Balance</t>
  </si>
  <si>
    <t>Starting Reg Asset</t>
  </si>
  <si>
    <t>Regulatory Asset</t>
  </si>
  <si>
    <t>Regulatory Asset Amortization Expense</t>
  </si>
  <si>
    <t>ADFIT</t>
  </si>
  <si>
    <t>Annual Average Usage (kWh)*</t>
  </si>
  <si>
    <t>Depreciation Rate 1</t>
  </si>
  <si>
    <t>Depreciation Rate 2</t>
  </si>
  <si>
    <t>Current</t>
  </si>
  <si>
    <t>Modified</t>
  </si>
  <si>
    <t>Current Estimated Revenue Requirement for CCR Through 2028</t>
  </si>
  <si>
    <t>Modified Estimated Revenue Requirement for CCR Through 2040</t>
  </si>
  <si>
    <t>Change</t>
  </si>
  <si>
    <t>ELG Rev Req</t>
  </si>
  <si>
    <t>ELG w/ Current CCR Depr Rate</t>
  </si>
  <si>
    <t>ELG w/ Modified CCR Depr Rate</t>
  </si>
  <si>
    <t>Res Alloc</t>
  </si>
  <si>
    <t>AO Alloc</t>
  </si>
  <si>
    <t>Res % Change</t>
  </si>
  <si>
    <t>Current CCR Rev Req</t>
  </si>
  <si>
    <t>Modified CCR Rev Req</t>
  </si>
  <si>
    <t>Rev Req</t>
  </si>
  <si>
    <t>AO % Change</t>
  </si>
  <si>
    <t>Impact by Customer Classification</t>
  </si>
  <si>
    <t>As Filed</t>
  </si>
  <si>
    <t>Year 1 Effect</t>
  </si>
  <si>
    <t>Regulatory Asset Amortized to 2040 and CCR Depr Rate Modification Prospectively</t>
  </si>
  <si>
    <t>Regulatory Asset Amortized to 2040</t>
  </si>
  <si>
    <t>Exhibit LMK-4, ELG Rev Req tab +CCR Summary</t>
  </si>
  <si>
    <t>As of September 2025 close</t>
  </si>
  <si>
    <t>Original Cost</t>
  </si>
  <si>
    <t>Accum Depr</t>
  </si>
  <si>
    <t>Remaining</t>
  </si>
  <si>
    <t>Years</t>
  </si>
  <si>
    <t>Annual/Monthly Accrual</t>
  </si>
  <si>
    <t>As discussed at pp. 25 of Company Wolffram's Direct Testimony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</si>
</sst>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\(0\)"/>
    <numFmt numFmtId="165" formatCode="&quot;$&quot;#,##0"/>
    <numFmt numFmtId="166" formatCode="&quot;$&quot;#,##0.00"/>
    <numFmt numFmtId="167" formatCode="0.0%"/>
    <numFmt numFmtId="168" formatCode="0.0000%"/>
    <numFmt numFmtId="169" formatCode="0.000%"/>
    <numFmt numFmtId="170" formatCode="_(* #,##0.0000_);_(* \(#,##0.0000\);_(* &quot;-&quot;??_);_(@_)"/>
    <numFmt numFmtId="171" formatCode="0.000000"/>
    <numFmt numFmtId="172" formatCode="0.0000"/>
    <numFmt numFmtId="173" formatCode="#,##0.0000_);\(#,##0.0000\)"/>
    <numFmt numFmtId="174" formatCode="_(&quot;$&quot;* #,##0_);_(&quot;$&quot;* \(#,##0\);_(&quot;$&quot;* &quot;-&quot;??_);_(@_)"/>
    <numFmt numFmtId="175" formatCode="_(* #,##0_);_(* \(#,##0\);_(* &quot;-&quot;??_);_(@_)"/>
    <numFmt numFmtId="176" formatCode="#,##0.0"/>
    <numFmt numFmtId="177" formatCode="_(* #,##0.0_);_(* \(#,##0.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b/>
      <sz val="11"/>
      <color rgb="FF0000FF"/>
      <name val="Times New Roman"/>
      <family val="1"/>
    </font>
    <font>
      <sz val="8"/>
      <color theme="1"/>
      <name val="Times New Roman"/>
      <family val="1"/>
    </font>
    <font>
      <sz val="10"/>
      <name val="MS Sans Serif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b/>
      <u/>
      <sz val="10"/>
      <name val="Times New Roman"/>
      <family val="1"/>
    </font>
    <font>
      <b/>
      <sz val="14"/>
      <color theme="1"/>
      <name val="Times New Roman"/>
      <family val="1"/>
    </font>
    <font>
      <i/>
      <sz val="10"/>
      <color rgb="FFFF0000"/>
      <name val="Times New Roman"/>
      <family val="1"/>
    </font>
    <font>
      <b/>
      <sz val="10"/>
      <color rgb="FFFFFFFF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i/>
      <sz val="10"/>
      <color theme="1"/>
      <name val="Times New Roman"/>
      <family val="1"/>
    </font>
    <font>
      <b/>
      <u/>
      <sz val="10"/>
      <color theme="1"/>
      <name val="Times New Roman"/>
      <family val="1"/>
    </font>
    <font>
      <b/>
      <sz val="14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0CECE"/>
        <bgColor rgb="FF000000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0" fillId="0" borderId="0"/>
    <xf numFmtId="0" fontId="1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00">
    <xf numFmtId="0" fontId="0" fillId="0" borderId="0" xfId="0"/>
    <xf numFmtId="3" fontId="4" fillId="0" borderId="0" xfId="4" applyNumberFormat="1" applyFont="1" applyAlignment="1" applyProtection="1">
      <alignment horizontal="center"/>
      <protection locked="0"/>
    </xf>
    <xf numFmtId="0" fontId="4" fillId="0" borderId="0" xfId="4" applyFont="1" applyAlignment="1">
      <alignment horizontal="center"/>
    </xf>
    <xf numFmtId="0" fontId="5" fillId="0" borderId="0" xfId="2" applyFont="1"/>
    <xf numFmtId="0" fontId="6" fillId="0" borderId="0" xfId="2" applyFont="1"/>
    <xf numFmtId="0" fontId="6" fillId="0" borderId="0" xfId="2" applyFont="1" applyAlignment="1">
      <alignment horizontal="center" wrapText="1"/>
    </xf>
    <xf numFmtId="0" fontId="6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164" fontId="5" fillId="0" borderId="0" xfId="2" applyNumberFormat="1" applyFont="1" applyAlignment="1">
      <alignment horizontal="center"/>
    </xf>
    <xf numFmtId="0" fontId="5" fillId="0" borderId="0" xfId="0" applyFont="1"/>
    <xf numFmtId="0" fontId="6" fillId="2" borderId="0" xfId="0" applyFont="1" applyFill="1" applyAlignment="1">
      <alignment horizontal="center" wrapText="1"/>
    </xf>
    <xf numFmtId="168" fontId="5" fillId="0" borderId="0" xfId="1" applyNumberFormat="1" applyFont="1" applyFill="1"/>
    <xf numFmtId="167" fontId="5" fillId="2" borderId="0" xfId="1" applyNumberFormat="1" applyFont="1" applyFill="1"/>
    <xf numFmtId="0" fontId="7" fillId="0" borderId="0" xfId="2" applyFont="1"/>
    <xf numFmtId="6" fontId="5" fillId="0" borderId="0" xfId="2" applyNumberFormat="1" applyFont="1" applyAlignment="1">
      <alignment horizontal="center" vertical="center" wrapText="1"/>
    </xf>
    <xf numFmtId="0" fontId="6" fillId="0" borderId="0" xfId="0" applyFont="1"/>
    <xf numFmtId="6" fontId="5" fillId="0" borderId="0" xfId="2" applyNumberFormat="1" applyFont="1"/>
    <xf numFmtId="165" fontId="5" fillId="0" borderId="0" xfId="3" applyNumberFormat="1" applyFont="1" applyFill="1" applyBorder="1"/>
    <xf numFmtId="6" fontId="6" fillId="0" borderId="0" xfId="2" applyNumberFormat="1" applyFont="1"/>
    <xf numFmtId="165" fontId="5" fillId="0" borderId="0" xfId="2" applyNumberFormat="1" applyFont="1"/>
    <xf numFmtId="10" fontId="5" fillId="0" borderId="0" xfId="1" applyNumberFormat="1" applyFont="1" applyFill="1" applyBorder="1" applyAlignment="1">
      <alignment horizontal="center"/>
    </xf>
    <xf numFmtId="167" fontId="5" fillId="0" borderId="0" xfId="1" applyNumberFormat="1" applyFont="1" applyFill="1" applyBorder="1" applyAlignment="1">
      <alignment horizontal="center"/>
    </xf>
    <xf numFmtId="166" fontId="5" fillId="0" borderId="0" xfId="2" applyNumberFormat="1" applyFont="1"/>
    <xf numFmtId="0" fontId="6" fillId="0" borderId="0" xfId="2" quotePrefix="1" applyFont="1"/>
    <xf numFmtId="0" fontId="5" fillId="0" borderId="0" xfId="0" applyFont="1" applyAlignment="1">
      <alignment horizontal="center" vertical="center" wrapText="1"/>
    </xf>
    <xf numFmtId="3" fontId="4" fillId="0" borderId="16" xfId="4" applyNumberFormat="1" applyFont="1" applyBorder="1" applyProtection="1">
      <protection locked="0"/>
    </xf>
    <xf numFmtId="0" fontId="0" fillId="0" borderId="4" xfId="0" applyBorder="1"/>
    <xf numFmtId="3" fontId="4" fillId="0" borderId="4" xfId="4" applyNumberFormat="1" applyFont="1" applyBorder="1" applyAlignment="1" applyProtection="1">
      <alignment horizontal="center"/>
      <protection locked="0"/>
    </xf>
    <xf numFmtId="169" fontId="3" fillId="0" borderId="5" xfId="6" applyNumberFormat="1" applyFont="1" applyFill="1" applyBorder="1" applyAlignment="1" applyProtection="1">
      <protection locked="0"/>
    </xf>
    <xf numFmtId="3" fontId="3" fillId="0" borderId="12" xfId="4" applyNumberFormat="1" applyFont="1" applyBorder="1" applyProtection="1">
      <protection locked="0"/>
    </xf>
    <xf numFmtId="169" fontId="3" fillId="0" borderId="11" xfId="6" applyNumberFormat="1" applyFont="1" applyFill="1" applyBorder="1" applyAlignment="1" applyProtection="1">
      <protection locked="0"/>
    </xf>
    <xf numFmtId="0" fontId="3" fillId="0" borderId="12" xfId="4" applyFont="1" applyBorder="1"/>
    <xf numFmtId="0" fontId="3" fillId="0" borderId="17" xfId="4" applyFont="1" applyBorder="1"/>
    <xf numFmtId="0" fontId="0" fillId="0" borderId="6" xfId="0" applyBorder="1"/>
    <xf numFmtId="0" fontId="4" fillId="0" borderId="6" xfId="4" applyFont="1" applyBorder="1" applyAlignment="1">
      <alignment horizontal="center"/>
    </xf>
    <xf numFmtId="169" fontId="3" fillId="0" borderId="7" xfId="6" applyNumberFormat="1" applyFont="1" applyFill="1" applyBorder="1" applyAlignment="1" applyProtection="1">
      <protection locked="0"/>
    </xf>
    <xf numFmtId="0" fontId="5" fillId="0" borderId="0" xfId="0" applyFont="1" applyAlignment="1">
      <alignment horizontal="center"/>
    </xf>
    <xf numFmtId="3" fontId="3" fillId="0" borderId="4" xfId="4" applyNumberFormat="1" applyFont="1" applyBorder="1" applyAlignment="1" applyProtection="1">
      <alignment horizontal="center"/>
      <protection locked="0"/>
    </xf>
    <xf numFmtId="3" fontId="3" fillId="0" borderId="0" xfId="4" applyNumberFormat="1" applyFont="1" applyAlignment="1" applyProtection="1">
      <alignment horizontal="center"/>
      <protection locked="0"/>
    </xf>
    <xf numFmtId="0" fontId="3" fillId="0" borderId="0" xfId="4" applyFont="1" applyAlignment="1">
      <alignment horizontal="center"/>
    </xf>
    <xf numFmtId="0" fontId="3" fillId="0" borderId="6" xfId="4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165" fontId="6" fillId="0" borderId="0" xfId="2" applyNumberFormat="1" applyFont="1"/>
    <xf numFmtId="0" fontId="13" fillId="0" borderId="0" xfId="12" applyFont="1"/>
    <xf numFmtId="49" fontId="13" fillId="0" borderId="1" xfId="13" applyNumberFormat="1" applyFont="1" applyBorder="1" applyAlignment="1">
      <alignment horizontal="center" wrapText="1"/>
    </xf>
    <xf numFmtId="49" fontId="13" fillId="3" borderId="4" xfId="13" applyNumberFormat="1" applyFont="1" applyFill="1" applyBorder="1" applyAlignment="1">
      <alignment wrapText="1"/>
    </xf>
    <xf numFmtId="49" fontId="13" fillId="0" borderId="8" xfId="13" applyNumberFormat="1" applyFont="1" applyBorder="1" applyAlignment="1">
      <alignment horizontal="center" wrapText="1"/>
    </xf>
    <xf numFmtId="49" fontId="13" fillId="3" borderId="9" xfId="13" applyNumberFormat="1" applyFont="1" applyFill="1" applyBorder="1" applyAlignment="1">
      <alignment wrapText="1"/>
    </xf>
    <xf numFmtId="49" fontId="13" fillId="0" borderId="9" xfId="13" applyNumberFormat="1" applyFont="1" applyBorder="1" applyAlignment="1">
      <alignment horizontal="center" wrapText="1"/>
    </xf>
    <xf numFmtId="49" fontId="13" fillId="0" borderId="1" xfId="13" applyNumberFormat="1" applyFont="1" applyBorder="1" applyAlignment="1">
      <alignment wrapText="1"/>
    </xf>
    <xf numFmtId="0" fontId="13" fillId="3" borderId="9" xfId="13" applyFont="1" applyFill="1" applyBorder="1" applyAlignment="1">
      <alignment horizontal="center"/>
    </xf>
    <xf numFmtId="0" fontId="13" fillId="0" borderId="9" xfId="13" applyFont="1" applyBorder="1" applyAlignment="1">
      <alignment horizontal="center"/>
    </xf>
    <xf numFmtId="0" fontId="13" fillId="0" borderId="9" xfId="13" applyFont="1" applyBorder="1"/>
    <xf numFmtId="0" fontId="13" fillId="3" borderId="9" xfId="13" applyFont="1" applyFill="1" applyBorder="1"/>
    <xf numFmtId="49" fontId="13" fillId="0" borderId="10" xfId="13" applyNumberFormat="1" applyFont="1" applyBorder="1" applyAlignment="1">
      <alignment horizontal="center" wrapText="1"/>
    </xf>
    <xf numFmtId="49" fontId="13" fillId="0" borderId="0" xfId="12" applyNumberFormat="1" applyFont="1" applyAlignment="1">
      <alignment horizontal="center" wrapText="1"/>
    </xf>
    <xf numFmtId="49" fontId="13" fillId="0" borderId="12" xfId="13" applyNumberFormat="1" applyFont="1" applyBorder="1" applyAlignment="1">
      <alignment horizontal="center" wrapText="1"/>
    </xf>
    <xf numFmtId="49" fontId="13" fillId="3" borderId="0" xfId="13" applyNumberFormat="1" applyFont="1" applyFill="1" applyAlignment="1">
      <alignment wrapText="1"/>
    </xf>
    <xf numFmtId="49" fontId="13" fillId="0" borderId="0" xfId="13" applyNumberFormat="1" applyFont="1" applyAlignment="1">
      <alignment horizontal="center" wrapText="1"/>
    </xf>
    <xf numFmtId="0" fontId="14" fillId="0" borderId="0" xfId="13" applyFont="1" applyAlignment="1">
      <alignment horizontal="center" wrapText="1"/>
    </xf>
    <xf numFmtId="49" fontId="13" fillId="0" borderId="13" xfId="13" applyNumberFormat="1" applyFont="1" applyBorder="1" applyAlignment="1">
      <alignment wrapText="1"/>
    </xf>
    <xf numFmtId="0" fontId="13" fillId="3" borderId="0" xfId="13" applyFont="1" applyFill="1" applyAlignment="1">
      <alignment horizontal="center"/>
    </xf>
    <xf numFmtId="0" fontId="13" fillId="0" borderId="0" xfId="13" applyFont="1" applyAlignment="1">
      <alignment horizontal="center"/>
    </xf>
    <xf numFmtId="0" fontId="13" fillId="0" borderId="0" xfId="13" applyFont="1"/>
    <xf numFmtId="0" fontId="13" fillId="3" borderId="0" xfId="13" applyFont="1" applyFill="1"/>
    <xf numFmtId="49" fontId="13" fillId="0" borderId="11" xfId="13" applyNumberFormat="1" applyFont="1" applyBorder="1" applyAlignment="1">
      <alignment horizontal="center" wrapText="1"/>
    </xf>
    <xf numFmtId="0" fontId="13" fillId="0" borderId="14" xfId="13" applyFont="1" applyBorder="1" applyAlignment="1">
      <alignment horizontal="center"/>
    </xf>
    <xf numFmtId="0" fontId="13" fillId="3" borderId="4" xfId="13" applyFont="1" applyFill="1" applyBorder="1"/>
    <xf numFmtId="0" fontId="13" fillId="0" borderId="4" xfId="13" applyFont="1" applyBorder="1"/>
    <xf numFmtId="0" fontId="13" fillId="0" borderId="14" xfId="13" applyFont="1" applyBorder="1"/>
    <xf numFmtId="0" fontId="13" fillId="0" borderId="5" xfId="13" applyFont="1" applyBorder="1"/>
    <xf numFmtId="0" fontId="13" fillId="0" borderId="13" xfId="13" applyFont="1" applyBorder="1" applyAlignment="1">
      <alignment horizontal="center"/>
    </xf>
    <xf numFmtId="5" fontId="15" fillId="0" borderId="0" xfId="13" applyNumberFormat="1" applyFont="1"/>
    <xf numFmtId="10" fontId="13" fillId="0" borderId="0" xfId="13" applyNumberFormat="1" applyFont="1"/>
    <xf numFmtId="10" fontId="15" fillId="0" borderId="0" xfId="13" applyNumberFormat="1" applyFont="1"/>
    <xf numFmtId="0" fontId="13" fillId="0" borderId="13" xfId="13" applyFont="1" applyBorder="1"/>
    <xf numFmtId="171" fontId="13" fillId="0" borderId="0" xfId="13" applyNumberFormat="1" applyFont="1" applyAlignment="1">
      <alignment horizontal="center"/>
    </xf>
    <xf numFmtId="10" fontId="13" fillId="0" borderId="11" xfId="13" applyNumberFormat="1" applyFont="1" applyBorder="1"/>
    <xf numFmtId="10" fontId="13" fillId="0" borderId="0" xfId="12" applyNumberFormat="1" applyFont="1"/>
    <xf numFmtId="49" fontId="13" fillId="0" borderId="0" xfId="13" applyNumberFormat="1" applyFont="1" applyAlignment="1">
      <alignment wrapText="1"/>
    </xf>
    <xf numFmtId="10" fontId="14" fillId="0" borderId="0" xfId="13" applyNumberFormat="1" applyFont="1"/>
    <xf numFmtId="171" fontId="14" fillId="0" borderId="0" xfId="13" applyNumberFormat="1" applyFont="1" applyAlignment="1">
      <alignment horizontal="center"/>
    </xf>
    <xf numFmtId="169" fontId="13" fillId="0" borderId="0" xfId="13" applyNumberFormat="1" applyFont="1"/>
    <xf numFmtId="169" fontId="16" fillId="0" borderId="0" xfId="13" applyNumberFormat="1" applyFont="1"/>
    <xf numFmtId="173" fontId="13" fillId="0" borderId="11" xfId="13" applyNumberFormat="1" applyFont="1" applyBorder="1"/>
    <xf numFmtId="173" fontId="13" fillId="0" borderId="0" xfId="12" applyNumberFormat="1" applyFont="1"/>
    <xf numFmtId="5" fontId="17" fillId="0" borderId="0" xfId="13" applyNumberFormat="1" applyFont="1"/>
    <xf numFmtId="10" fontId="18" fillId="0" borderId="0" xfId="13" applyNumberFormat="1" applyFont="1"/>
    <xf numFmtId="10" fontId="18" fillId="0" borderId="11" xfId="13" applyNumberFormat="1" applyFont="1" applyBorder="1" applyAlignment="1">
      <alignment horizontal="right" wrapText="1"/>
    </xf>
    <xf numFmtId="10" fontId="18" fillId="0" borderId="0" xfId="12" applyNumberFormat="1" applyFont="1" applyAlignment="1">
      <alignment horizontal="center" wrapText="1"/>
    </xf>
    <xf numFmtId="0" fontId="13" fillId="0" borderId="11" xfId="13" applyFont="1" applyBorder="1"/>
    <xf numFmtId="0" fontId="13" fillId="0" borderId="15" xfId="13" applyFont="1" applyBorder="1" applyAlignment="1">
      <alignment horizontal="center"/>
    </xf>
    <xf numFmtId="0" fontId="13" fillId="3" borderId="6" xfId="13" applyFont="1" applyFill="1" applyBorder="1"/>
    <xf numFmtId="0" fontId="13" fillId="0" borderId="6" xfId="13" applyFont="1" applyBorder="1"/>
    <xf numFmtId="0" fontId="13" fillId="0" borderId="15" xfId="13" applyFont="1" applyBorder="1"/>
    <xf numFmtId="0" fontId="13" fillId="0" borderId="7" xfId="13" applyFont="1" applyBorder="1"/>
    <xf numFmtId="0" fontId="13" fillId="0" borderId="0" xfId="12" applyFont="1" applyAlignment="1">
      <alignment horizontal="center"/>
    </xf>
    <xf numFmtId="0" fontId="19" fillId="0" borderId="0" xfId="12" applyFont="1" applyAlignment="1">
      <alignment horizontal="center"/>
    </xf>
    <xf numFmtId="170" fontId="13" fillId="0" borderId="0" xfId="9" applyNumberFormat="1" applyFont="1" applyFill="1" applyBorder="1"/>
    <xf numFmtId="170" fontId="13" fillId="0" borderId="0" xfId="9" applyNumberFormat="1" applyFont="1" applyFill="1" applyBorder="1" applyAlignment="1">
      <alignment horizontal="right"/>
    </xf>
    <xf numFmtId="170" fontId="13" fillId="0" borderId="0" xfId="9" applyNumberFormat="1" applyFont="1" applyFill="1" applyAlignment="1">
      <alignment horizontal="right"/>
    </xf>
    <xf numFmtId="172" fontId="13" fillId="0" borderId="0" xfId="13" applyNumberFormat="1" applyFont="1"/>
    <xf numFmtId="168" fontId="13" fillId="0" borderId="0" xfId="6" applyNumberFormat="1" applyFont="1" applyFill="1"/>
    <xf numFmtId="170" fontId="13" fillId="0" borderId="0" xfId="9" applyNumberFormat="1" applyFont="1" applyFill="1" applyAlignment="1">
      <alignment horizontal="right" vertical="center"/>
    </xf>
    <xf numFmtId="0" fontId="13" fillId="0" borderId="0" xfId="13" applyFont="1" applyAlignment="1">
      <alignment horizontal="right"/>
    </xf>
    <xf numFmtId="171" fontId="13" fillId="0" borderId="0" xfId="13" applyNumberFormat="1" applyFont="1"/>
    <xf numFmtId="171" fontId="13" fillId="0" borderId="0" xfId="13" applyNumberFormat="1" applyFont="1" applyAlignment="1">
      <alignment horizontal="right"/>
    </xf>
    <xf numFmtId="0" fontId="13" fillId="0" borderId="0" xfId="4" applyFont="1"/>
    <xf numFmtId="49" fontId="18" fillId="0" borderId="0" xfId="12" applyNumberFormat="1" applyFont="1"/>
    <xf numFmtId="49" fontId="7" fillId="0" borderId="0" xfId="12" applyNumberFormat="1" applyFont="1"/>
    <xf numFmtId="0" fontId="7" fillId="0" borderId="0" xfId="4" applyFont="1" applyAlignment="1">
      <alignment horizontal="center"/>
    </xf>
    <xf numFmtId="0" fontId="13" fillId="0" borderId="0" xfId="4" applyFont="1" applyAlignment="1">
      <alignment horizontal="center" vertical="center"/>
    </xf>
    <xf numFmtId="0" fontId="13" fillId="0" borderId="0" xfId="12" applyFont="1" applyAlignment="1">
      <alignment horizontal="center" vertical="center"/>
    </xf>
    <xf numFmtId="0" fontId="13" fillId="0" borderId="0" xfId="12" applyFont="1" applyAlignment="1">
      <alignment horizontal="left" wrapText="1"/>
    </xf>
    <xf numFmtId="0" fontId="18" fillId="0" borderId="0" xfId="13" applyFont="1" applyAlignment="1">
      <alignment horizontal="center" vertical="center"/>
    </xf>
    <xf numFmtId="37" fontId="13" fillId="0" borderId="0" xfId="13" applyNumberFormat="1" applyFont="1" applyAlignment="1">
      <alignment horizontal="center"/>
    </xf>
    <xf numFmtId="0" fontId="5" fillId="5" borderId="0" xfId="0" applyFont="1" applyFill="1"/>
    <xf numFmtId="169" fontId="9" fillId="0" borderId="0" xfId="1" applyNumberFormat="1" applyFont="1" applyFill="1" applyAlignment="1">
      <alignment horizontal="center"/>
    </xf>
    <xf numFmtId="9" fontId="5" fillId="0" borderId="0" xfId="1" applyFont="1" applyFill="1" applyAlignment="1">
      <alignment horizontal="center"/>
    </xf>
    <xf numFmtId="0" fontId="6" fillId="6" borderId="0" xfId="2" quotePrefix="1" applyFont="1" applyFill="1"/>
    <xf numFmtId="0" fontId="5" fillId="6" borderId="0" xfId="2" applyFont="1" applyFill="1"/>
    <xf numFmtId="6" fontId="5" fillId="6" borderId="0" xfId="2" applyNumberFormat="1" applyFont="1" applyFill="1"/>
    <xf numFmtId="0" fontId="6" fillId="6" borderId="0" xfId="2" applyFont="1" applyFill="1"/>
    <xf numFmtId="6" fontId="5" fillId="6" borderId="0" xfId="2" applyNumberFormat="1" applyFont="1" applyFill="1" applyAlignment="1">
      <alignment horizontal="center" vertical="center" wrapText="1"/>
    </xf>
    <xf numFmtId="10" fontId="5" fillId="6" borderId="0" xfId="1" applyNumberFormat="1" applyFont="1" applyFill="1" applyBorder="1" applyAlignment="1">
      <alignment horizontal="center"/>
    </xf>
    <xf numFmtId="165" fontId="5" fillId="6" borderId="0" xfId="3" applyNumberFormat="1" applyFont="1" applyFill="1" applyBorder="1"/>
    <xf numFmtId="37" fontId="13" fillId="0" borderId="13" xfId="4" applyNumberFormat="1" applyFont="1" applyBorder="1" applyAlignment="1">
      <alignment horizontal="center"/>
    </xf>
    <xf numFmtId="0" fontId="13" fillId="0" borderId="13" xfId="4" applyFont="1" applyBorder="1"/>
    <xf numFmtId="5" fontId="13" fillId="0" borderId="13" xfId="4" applyNumberFormat="1" applyFont="1" applyBorder="1"/>
    <xf numFmtId="37" fontId="13" fillId="0" borderId="13" xfId="4" applyNumberFormat="1" applyFont="1" applyBorder="1" applyAlignment="1">
      <alignment horizontal="center" wrapText="1"/>
    </xf>
    <xf numFmtId="9" fontId="13" fillId="0" borderId="13" xfId="1" applyFont="1" applyFill="1" applyBorder="1"/>
    <xf numFmtId="10" fontId="13" fillId="0" borderId="13" xfId="1" applyNumberFormat="1" applyFont="1" applyFill="1" applyBorder="1"/>
    <xf numFmtId="0" fontId="13" fillId="0" borderId="13" xfId="4" applyFont="1" applyBorder="1" applyAlignment="1">
      <alignment horizontal="center"/>
    </xf>
    <xf numFmtId="168" fontId="13" fillId="0" borderId="13" xfId="6" applyNumberFormat="1" applyFont="1" applyFill="1" applyBorder="1" applyAlignment="1">
      <alignment horizontal="right"/>
    </xf>
    <xf numFmtId="0" fontId="13" fillId="0" borderId="13" xfId="4" applyFont="1" applyBorder="1" applyAlignment="1">
      <alignment horizontal="center" wrapText="1"/>
    </xf>
    <xf numFmtId="10" fontId="5" fillId="0" borderId="13" xfId="1" applyNumberFormat="1" applyFont="1" applyFill="1" applyBorder="1" applyAlignment="1">
      <alignment horizontal="right"/>
    </xf>
    <xf numFmtId="44" fontId="5" fillId="0" borderId="13" xfId="1" applyNumberFormat="1" applyFont="1" applyFill="1" applyBorder="1" applyAlignment="1">
      <alignment horizontal="right"/>
    </xf>
    <xf numFmtId="37" fontId="13" fillId="0" borderId="15" xfId="4" applyNumberFormat="1" applyFont="1" applyBorder="1" applyAlignment="1">
      <alignment horizontal="center"/>
    </xf>
    <xf numFmtId="37" fontId="13" fillId="0" borderId="15" xfId="4" applyNumberFormat="1" applyFont="1" applyBorder="1" applyAlignment="1">
      <alignment horizontal="right"/>
    </xf>
    <xf numFmtId="37" fontId="13" fillId="0" borderId="6" xfId="4" applyNumberFormat="1" applyFont="1" applyBorder="1" applyAlignment="1">
      <alignment horizontal="right"/>
    </xf>
    <xf numFmtId="43" fontId="5" fillId="0" borderId="0" xfId="10" applyFont="1"/>
    <xf numFmtId="175" fontId="5" fillId="0" borderId="0" xfId="10" applyNumberFormat="1" applyFont="1"/>
    <xf numFmtId="0" fontId="18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43" fontId="5" fillId="0" borderId="0" xfId="10" applyFont="1" applyFill="1"/>
    <xf numFmtId="3" fontId="5" fillId="0" borderId="0" xfId="0" applyNumberFormat="1" applyFont="1"/>
    <xf numFmtId="176" fontId="5" fillId="0" borderId="0" xfId="0" applyNumberFormat="1" applyFont="1"/>
    <xf numFmtId="0" fontId="5" fillId="2" borderId="0" xfId="0" applyFont="1" applyFill="1"/>
    <xf numFmtId="43" fontId="5" fillId="2" borderId="0" xfId="10" applyFont="1" applyFill="1"/>
    <xf numFmtId="175" fontId="5" fillId="2" borderId="0" xfId="10" applyNumberFormat="1" applyFont="1" applyFill="1"/>
    <xf numFmtId="44" fontId="5" fillId="2" borderId="0" xfId="11" applyFont="1" applyFill="1"/>
    <xf numFmtId="43" fontId="5" fillId="0" borderId="0" xfId="10" applyFont="1" applyFill="1" applyBorder="1"/>
    <xf numFmtId="0" fontId="5" fillId="0" borderId="4" xfId="0" applyFont="1" applyBorder="1"/>
    <xf numFmtId="43" fontId="5" fillId="0" borderId="4" xfId="10" applyFont="1" applyFill="1" applyBorder="1"/>
    <xf numFmtId="0" fontId="5" fillId="0" borderId="5" xfId="0" applyFont="1" applyBorder="1"/>
    <xf numFmtId="0" fontId="5" fillId="0" borderId="11" xfId="0" applyFont="1" applyBorder="1"/>
    <xf numFmtId="0" fontId="5" fillId="5" borderId="12" xfId="0" applyFont="1" applyFill="1" applyBorder="1"/>
    <xf numFmtId="43" fontId="5" fillId="5" borderId="0" xfId="10" applyFont="1" applyFill="1" applyBorder="1"/>
    <xf numFmtId="175" fontId="5" fillId="5" borderId="0" xfId="10" applyNumberFormat="1" applyFont="1" applyFill="1" applyBorder="1"/>
    <xf numFmtId="44" fontId="5" fillId="5" borderId="0" xfId="11" applyFont="1" applyFill="1" applyBorder="1"/>
    <xf numFmtId="175" fontId="5" fillId="5" borderId="11" xfId="10" applyNumberFormat="1" applyFont="1" applyFill="1" applyBorder="1"/>
    <xf numFmtId="0" fontId="5" fillId="5" borderId="17" xfId="0" applyFont="1" applyFill="1" applyBorder="1"/>
    <xf numFmtId="0" fontId="5" fillId="5" borderId="6" xfId="0" applyFont="1" applyFill="1" applyBorder="1"/>
    <xf numFmtId="43" fontId="5" fillId="5" borderId="6" xfId="10" applyFont="1" applyFill="1" applyBorder="1"/>
    <xf numFmtId="175" fontId="5" fillId="5" borderId="6" xfId="10" applyNumberFormat="1" applyFont="1" applyFill="1" applyBorder="1"/>
    <xf numFmtId="44" fontId="5" fillId="5" borderId="6" xfId="11" applyFont="1" applyFill="1" applyBorder="1"/>
    <xf numFmtId="175" fontId="5" fillId="5" borderId="7" xfId="10" applyNumberFormat="1" applyFont="1" applyFill="1" applyBorder="1"/>
    <xf numFmtId="175" fontId="5" fillId="0" borderId="0" xfId="0" applyNumberFormat="1" applyFont="1"/>
    <xf numFmtId="43" fontId="5" fillId="0" borderId="0" xfId="0" applyNumberFormat="1" applyFont="1"/>
    <xf numFmtId="175" fontId="5" fillId="0" borderId="0" xfId="9" applyNumberFormat="1" applyFont="1" applyFill="1"/>
    <xf numFmtId="176" fontId="5" fillId="0" borderId="0" xfId="9" applyNumberFormat="1" applyFont="1" applyFill="1"/>
    <xf numFmtId="49" fontId="13" fillId="0" borderId="0" xfId="4" applyNumberFormat="1" applyFont="1" applyAlignment="1">
      <alignment wrapText="1"/>
    </xf>
    <xf numFmtId="0" fontId="0" fillId="0" borderId="0" xfId="0" applyAlignment="1">
      <alignment vertical="center"/>
    </xf>
    <xf numFmtId="0" fontId="18" fillId="0" borderId="8" xfId="4" applyFont="1" applyBorder="1" applyAlignment="1">
      <alignment horizontal="center" vertical="center" wrapText="1"/>
    </xf>
    <xf numFmtId="0" fontId="18" fillId="0" borderId="9" xfId="4" applyFont="1" applyBorder="1" applyAlignment="1">
      <alignment horizontal="center" vertical="center" wrapText="1"/>
    </xf>
    <xf numFmtId="0" fontId="18" fillId="0" borderId="10" xfId="4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43" fontId="6" fillId="0" borderId="0" xfId="0" applyNumberFormat="1" applyFont="1"/>
    <xf numFmtId="165" fontId="13" fillId="0" borderId="13" xfId="4" applyNumberFormat="1" applyFont="1" applyBorder="1" applyAlignment="1">
      <alignment horizontal="right"/>
    </xf>
    <xf numFmtId="0" fontId="6" fillId="0" borderId="3" xfId="2" quotePrefix="1" applyFont="1" applyBorder="1"/>
    <xf numFmtId="0" fontId="5" fillId="0" borderId="3" xfId="2" applyFont="1" applyBorder="1"/>
    <xf numFmtId="0" fontId="6" fillId="0" borderId="3" xfId="2" applyFont="1" applyBorder="1"/>
    <xf numFmtId="6" fontId="5" fillId="0" borderId="3" xfId="2" applyNumberFormat="1" applyFont="1" applyBorder="1" applyAlignment="1">
      <alignment horizontal="center" vertical="center" wrapText="1"/>
    </xf>
    <xf numFmtId="165" fontId="5" fillId="0" borderId="0" xfId="2" applyNumberFormat="1" applyFont="1" applyAlignment="1">
      <alignment vertical="center"/>
    </xf>
    <xf numFmtId="0" fontId="13" fillId="0" borderId="0" xfId="0" applyFont="1"/>
    <xf numFmtId="0" fontId="5" fillId="0" borderId="12" xfId="0" applyFont="1" applyBorder="1"/>
    <xf numFmtId="0" fontId="5" fillId="0" borderId="16" xfId="0" applyFont="1" applyBorder="1"/>
    <xf numFmtId="3" fontId="5" fillId="0" borderId="4" xfId="0" applyNumberFormat="1" applyFont="1" applyBorder="1"/>
    <xf numFmtId="176" fontId="5" fillId="0" borderId="4" xfId="0" applyNumberFormat="1" applyFont="1" applyBorder="1"/>
    <xf numFmtId="9" fontId="5" fillId="0" borderId="0" xfId="1" applyFont="1" applyFill="1"/>
    <xf numFmtId="164" fontId="6" fillId="0" borderId="0" xfId="2" applyNumberFormat="1" applyFont="1" applyAlignment="1">
      <alignment horizontal="center"/>
    </xf>
    <xf numFmtId="0" fontId="21" fillId="0" borderId="0" xfId="2" applyFont="1"/>
    <xf numFmtId="165" fontId="5" fillId="0" borderId="0" xfId="3" quotePrefix="1" applyNumberFormat="1" applyFont="1" applyFill="1" applyBorder="1"/>
    <xf numFmtId="0" fontId="21" fillId="0" borderId="0" xfId="2" applyFont="1" applyAlignment="1">
      <alignment horizontal="left"/>
    </xf>
    <xf numFmtId="0" fontId="8" fillId="0" borderId="0" xfId="2" applyFont="1" applyAlignment="1">
      <alignment horizontal="center" vertical="center"/>
    </xf>
    <xf numFmtId="44" fontId="5" fillId="0" borderId="0" xfId="11" applyFont="1"/>
    <xf numFmtId="44" fontId="5" fillId="0" borderId="0" xfId="2" applyNumberFormat="1" applyFont="1"/>
    <xf numFmtId="174" fontId="5" fillId="0" borderId="0" xfId="2" applyNumberFormat="1" applyFont="1"/>
    <xf numFmtId="174" fontId="5" fillId="0" borderId="3" xfId="2" applyNumberFormat="1" applyFont="1" applyBorder="1"/>
    <xf numFmtId="174" fontId="5" fillId="0" borderId="0" xfId="2" applyNumberFormat="1" applyFont="1" applyAlignment="1">
      <alignment horizontal="center" vertical="center" wrapText="1"/>
    </xf>
    <xf numFmtId="10" fontId="6" fillId="0" borderId="0" xfId="1" applyNumberFormat="1" applyFont="1" applyFill="1" applyAlignment="1">
      <alignment horizontal="center"/>
    </xf>
    <xf numFmtId="165" fontId="6" fillId="4" borderId="3" xfId="3" applyNumberFormat="1" applyFont="1" applyFill="1" applyBorder="1"/>
    <xf numFmtId="165" fontId="6" fillId="7" borderId="1" xfId="3" applyNumberFormat="1" applyFont="1" applyFill="1" applyBorder="1"/>
    <xf numFmtId="165" fontId="6" fillId="7" borderId="1" xfId="2" applyNumberFormat="1" applyFont="1" applyFill="1" applyBorder="1" applyAlignment="1">
      <alignment vertical="center"/>
    </xf>
    <xf numFmtId="177" fontId="5" fillId="2" borderId="0" xfId="10" applyNumberFormat="1" applyFont="1" applyFill="1"/>
    <xf numFmtId="0" fontId="22" fillId="8" borderId="16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center" vertical="center"/>
    </xf>
    <xf numFmtId="0" fontId="23" fillId="9" borderId="24" xfId="0" applyFont="1" applyFill="1" applyBorder="1" applyAlignment="1">
      <alignment horizontal="center" vertical="center"/>
    </xf>
    <xf numFmtId="6" fontId="24" fillId="0" borderId="25" xfId="0" applyNumberFormat="1" applyFont="1" applyBorder="1" applyAlignment="1">
      <alignment horizontal="center" vertical="center"/>
    </xf>
    <xf numFmtId="6" fontId="24" fillId="0" borderId="26" xfId="0" applyNumberFormat="1" applyFont="1" applyBorder="1" applyAlignment="1">
      <alignment horizontal="center" vertical="center"/>
    </xf>
    <xf numFmtId="0" fontId="23" fillId="9" borderId="17" xfId="0" applyFont="1" applyFill="1" applyBorder="1" applyAlignment="1">
      <alignment horizontal="center" vertical="center"/>
    </xf>
    <xf numFmtId="6" fontId="24" fillId="0" borderId="15" xfId="0" applyNumberFormat="1" applyFont="1" applyBorder="1" applyAlignment="1">
      <alignment horizontal="center" vertical="center"/>
    </xf>
    <xf numFmtId="6" fontId="24" fillId="0" borderId="7" xfId="0" applyNumberFormat="1" applyFont="1" applyBorder="1" applyAlignment="1">
      <alignment horizontal="center" vertical="center"/>
    </xf>
    <xf numFmtId="0" fontId="23" fillId="9" borderId="27" xfId="0" applyFont="1" applyFill="1" applyBorder="1" applyAlignment="1">
      <alignment horizontal="center" vertical="center"/>
    </xf>
    <xf numFmtId="6" fontId="23" fillId="0" borderId="15" xfId="0" applyNumberFormat="1" applyFont="1" applyBorder="1" applyAlignment="1">
      <alignment horizontal="center" vertical="center"/>
    </xf>
    <xf numFmtId="6" fontId="23" fillId="0" borderId="1" xfId="0" applyNumberFormat="1" applyFont="1" applyBorder="1" applyAlignment="1">
      <alignment horizontal="center" vertical="center"/>
    </xf>
    <xf numFmtId="0" fontId="23" fillId="9" borderId="15" xfId="0" applyFont="1" applyFill="1" applyBorder="1" applyAlignment="1">
      <alignment horizontal="center" vertical="center"/>
    </xf>
    <xf numFmtId="0" fontId="0" fillId="10" borderId="0" xfId="0" applyFill="1"/>
    <xf numFmtId="174" fontId="5" fillId="0" borderId="0" xfId="11" applyNumberFormat="1" applyFont="1"/>
    <xf numFmtId="0" fontId="5" fillId="0" borderId="0" xfId="10" applyNumberFormat="1" applyFont="1" applyFill="1"/>
    <xf numFmtId="164" fontId="6" fillId="0" borderId="31" xfId="2" applyNumberFormat="1" applyFont="1" applyBorder="1" applyAlignment="1">
      <alignment horizontal="center"/>
    </xf>
    <xf numFmtId="164" fontId="6" fillId="0" borderId="32" xfId="2" applyNumberFormat="1" applyFont="1" applyBorder="1" applyAlignment="1">
      <alignment horizontal="center"/>
    </xf>
    <xf numFmtId="174" fontId="5" fillId="6" borderId="31" xfId="2" applyNumberFormat="1" applyFont="1" applyFill="1" applyBorder="1"/>
    <xf numFmtId="6" fontId="5" fillId="6" borderId="32" xfId="2" applyNumberFormat="1" applyFont="1" applyFill="1" applyBorder="1" applyAlignment="1">
      <alignment horizontal="center" vertical="center" wrapText="1"/>
    </xf>
    <xf numFmtId="174" fontId="5" fillId="0" borderId="31" xfId="2" applyNumberFormat="1" applyFont="1" applyBorder="1"/>
    <xf numFmtId="6" fontId="5" fillId="0" borderId="32" xfId="2" applyNumberFormat="1" applyFont="1" applyBorder="1" applyAlignment="1">
      <alignment horizontal="center" vertical="center" wrapText="1"/>
    </xf>
    <xf numFmtId="174" fontId="5" fillId="0" borderId="33" xfId="2" applyNumberFormat="1" applyFont="1" applyBorder="1"/>
    <xf numFmtId="6" fontId="5" fillId="0" borderId="34" xfId="2" applyNumberFormat="1" applyFont="1" applyBorder="1" applyAlignment="1">
      <alignment horizontal="center" vertical="center" wrapText="1"/>
    </xf>
    <xf numFmtId="6" fontId="5" fillId="6" borderId="31" xfId="2" applyNumberFormat="1" applyFont="1" applyFill="1" applyBorder="1" applyAlignment="1">
      <alignment horizontal="center" vertical="center" wrapText="1"/>
    </xf>
    <xf numFmtId="0" fontId="13" fillId="0" borderId="22" xfId="4" applyFont="1" applyBorder="1"/>
    <xf numFmtId="0" fontId="13" fillId="0" borderId="19" xfId="4" applyFont="1" applyBorder="1"/>
    <xf numFmtId="0" fontId="13" fillId="0" borderId="20" xfId="4" applyFont="1" applyBorder="1"/>
    <xf numFmtId="10" fontId="13" fillId="0" borderId="21" xfId="4" applyNumberFormat="1" applyFont="1" applyBorder="1" applyAlignment="1">
      <alignment horizontal="center" vertical="center"/>
    </xf>
    <xf numFmtId="175" fontId="13" fillId="0" borderId="21" xfId="10" applyNumberFormat="1" applyFont="1" applyFill="1" applyBorder="1" applyAlignment="1">
      <alignment horizontal="center" vertical="center"/>
    </xf>
    <xf numFmtId="175" fontId="13" fillId="0" borderId="21" xfId="10" applyNumberFormat="1" applyFont="1" applyFill="1" applyBorder="1" applyAlignment="1">
      <alignment horizontal="left"/>
    </xf>
    <xf numFmtId="1" fontId="13" fillId="0" borderId="21" xfId="4" applyNumberFormat="1" applyFont="1" applyBorder="1"/>
    <xf numFmtId="44" fontId="13" fillId="0" borderId="21" xfId="4" applyNumberFormat="1" applyFont="1" applyBorder="1"/>
    <xf numFmtId="175" fontId="13" fillId="0" borderId="2" xfId="10" applyNumberFormat="1" applyFont="1" applyFill="1" applyBorder="1" applyAlignment="1">
      <alignment horizontal="left"/>
    </xf>
    <xf numFmtId="1" fontId="13" fillId="0" borderId="2" xfId="4" applyNumberFormat="1" applyFont="1" applyBorder="1"/>
    <xf numFmtId="44" fontId="13" fillId="0" borderId="2" xfId="4" applyNumberFormat="1" applyFont="1" applyBorder="1"/>
    <xf numFmtId="175" fontId="13" fillId="0" borderId="2" xfId="10" applyNumberFormat="1" applyFont="1" applyFill="1" applyBorder="1"/>
    <xf numFmtId="175" fontId="13" fillId="0" borderId="38" xfId="10" applyNumberFormat="1" applyFont="1" applyFill="1" applyBorder="1" applyAlignment="1">
      <alignment horizontal="center" vertical="center"/>
    </xf>
    <xf numFmtId="175" fontId="13" fillId="0" borderId="18" xfId="10" applyNumberFormat="1" applyFont="1" applyFill="1" applyBorder="1" applyAlignment="1">
      <alignment horizontal="left"/>
    </xf>
    <xf numFmtId="1" fontId="13" fillId="0" borderId="18" xfId="4" applyNumberFormat="1" applyFont="1" applyBorder="1"/>
    <xf numFmtId="44" fontId="13" fillId="0" borderId="18" xfId="4" applyNumberFormat="1" applyFont="1" applyBorder="1"/>
    <xf numFmtId="44" fontId="13" fillId="0" borderId="21" xfId="11" applyFont="1" applyFill="1" applyBorder="1"/>
    <xf numFmtId="44" fontId="13" fillId="0" borderId="2" xfId="11" applyFont="1" applyFill="1" applyBorder="1"/>
    <xf numFmtId="10" fontId="5" fillId="0" borderId="23" xfId="1" applyNumberFormat="1" applyFont="1" applyFill="1" applyBorder="1" applyAlignment="1">
      <alignment horizontal="center"/>
    </xf>
    <xf numFmtId="44" fontId="13" fillId="0" borderId="18" xfId="11" applyFont="1" applyFill="1" applyBorder="1"/>
    <xf numFmtId="5" fontId="13" fillId="0" borderId="21" xfId="4" applyNumberFormat="1" applyFont="1" applyBorder="1" applyAlignment="1">
      <alignment horizontal="center" vertical="center"/>
    </xf>
    <xf numFmtId="167" fontId="5" fillId="0" borderId="0" xfId="1" applyNumberFormat="1" applyFont="1" applyFill="1" applyAlignment="1">
      <alignment horizontal="center"/>
    </xf>
    <xf numFmtId="10" fontId="5" fillId="0" borderId="0" xfId="1" applyNumberFormat="1" applyFont="1" applyFill="1"/>
    <xf numFmtId="0" fontId="5" fillId="0" borderId="0" xfId="0" quotePrefix="1" applyFont="1"/>
    <xf numFmtId="174" fontId="5" fillId="0" borderId="0" xfId="11" applyNumberFormat="1" applyFont="1" applyFill="1"/>
    <xf numFmtId="10" fontId="5" fillId="4" borderId="0" xfId="1" applyNumberFormat="1" applyFont="1" applyFill="1"/>
    <xf numFmtId="0" fontId="5" fillId="4" borderId="0" xfId="0" applyFont="1" applyFill="1"/>
    <xf numFmtId="1" fontId="5" fillId="4" borderId="0" xfId="1" applyNumberFormat="1" applyFont="1" applyFill="1"/>
    <xf numFmtId="6" fontId="5" fillId="4" borderId="0" xfId="2" applyNumberFormat="1" applyFont="1" applyFill="1" applyAlignment="1">
      <alignment horizontal="center" vertical="center" wrapText="1"/>
    </xf>
    <xf numFmtId="6" fontId="5" fillId="4" borderId="31" xfId="2" applyNumberFormat="1" applyFont="1" applyFill="1" applyBorder="1" applyAlignment="1">
      <alignment horizontal="center" vertical="center" wrapText="1"/>
    </xf>
    <xf numFmtId="0" fontId="5" fillId="4" borderId="0" xfId="2" applyFont="1" applyFill="1"/>
    <xf numFmtId="6" fontId="5" fillId="4" borderId="32" xfId="2" applyNumberFormat="1" applyFont="1" applyFill="1" applyBorder="1" applyAlignment="1">
      <alignment horizontal="center" vertical="center" wrapText="1"/>
    </xf>
    <xf numFmtId="6" fontId="5" fillId="4" borderId="33" xfId="2" applyNumberFormat="1" applyFont="1" applyFill="1" applyBorder="1" applyAlignment="1">
      <alignment horizontal="center" vertical="center" wrapText="1"/>
    </xf>
    <xf numFmtId="0" fontId="5" fillId="4" borderId="3" xfId="2" applyFont="1" applyFill="1" applyBorder="1"/>
    <xf numFmtId="6" fontId="5" fillId="4" borderId="3" xfId="2" applyNumberFormat="1" applyFont="1" applyFill="1" applyBorder="1" applyAlignment="1">
      <alignment horizontal="center" vertical="center" wrapText="1"/>
    </xf>
    <xf numFmtId="6" fontId="5" fillId="4" borderId="34" xfId="2" applyNumberFormat="1" applyFont="1" applyFill="1" applyBorder="1" applyAlignment="1">
      <alignment horizontal="center" vertical="center" wrapText="1"/>
    </xf>
    <xf numFmtId="165" fontId="5" fillId="4" borderId="0" xfId="3" applyNumberFormat="1" applyFont="1" applyFill="1" applyBorder="1"/>
    <xf numFmtId="0" fontId="5" fillId="4" borderId="0" xfId="2" applyFont="1" applyFill="1" applyAlignment="1">
      <alignment horizontal="center"/>
    </xf>
    <xf numFmtId="164" fontId="6" fillId="4" borderId="31" xfId="2" applyNumberFormat="1" applyFont="1" applyFill="1" applyBorder="1" applyAlignment="1">
      <alignment horizontal="center"/>
    </xf>
    <xf numFmtId="164" fontId="6" fillId="4" borderId="0" xfId="2" applyNumberFormat="1" applyFont="1" applyFill="1" applyAlignment="1">
      <alignment horizontal="center"/>
    </xf>
    <xf numFmtId="164" fontId="6" fillId="4" borderId="32" xfId="2" applyNumberFormat="1" applyFont="1" applyFill="1" applyBorder="1" applyAlignment="1">
      <alignment horizontal="center"/>
    </xf>
    <xf numFmtId="174" fontId="5" fillId="6" borderId="0" xfId="2" applyNumberFormat="1" applyFont="1" applyFill="1"/>
    <xf numFmtId="0" fontId="25" fillId="0" borderId="0" xfId="2" applyFont="1"/>
    <xf numFmtId="10" fontId="5" fillId="5" borderId="0" xfId="1" applyNumberFormat="1" applyFont="1" applyFill="1"/>
    <xf numFmtId="6" fontId="5" fillId="5" borderId="0" xfId="2" applyNumberFormat="1" applyFont="1" applyFill="1" applyAlignment="1">
      <alignment horizontal="center" vertical="center" wrapText="1"/>
    </xf>
    <xf numFmtId="0" fontId="26" fillId="0" borderId="0" xfId="0" applyFont="1"/>
    <xf numFmtId="0" fontId="5" fillId="0" borderId="0" xfId="0" applyFont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10" fontId="5" fillId="0" borderId="4" xfId="0" applyNumberFormat="1" applyFont="1" applyBorder="1"/>
    <xf numFmtId="174" fontId="5" fillId="0" borderId="4" xfId="11" applyNumberFormat="1" applyFont="1" applyBorder="1"/>
    <xf numFmtId="174" fontId="5" fillId="0" borderId="5" xfId="11" applyNumberFormat="1" applyFont="1" applyBorder="1"/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174" fontId="5" fillId="0" borderId="12" xfId="0" applyNumberFormat="1" applyFont="1" applyBorder="1"/>
    <xf numFmtId="174" fontId="5" fillId="0" borderId="0" xfId="0" applyNumberFormat="1" applyFont="1"/>
    <xf numFmtId="167" fontId="5" fillId="0" borderId="0" xfId="1" applyNumberFormat="1" applyFont="1" applyBorder="1"/>
    <xf numFmtId="174" fontId="5" fillId="0" borderId="17" xfId="0" applyNumberFormat="1" applyFont="1" applyBorder="1"/>
    <xf numFmtId="174" fontId="5" fillId="0" borderId="6" xfId="0" applyNumberFormat="1" applyFont="1" applyBorder="1"/>
    <xf numFmtId="167" fontId="5" fillId="0" borderId="6" xfId="1" applyNumberFormat="1" applyFont="1" applyBorder="1"/>
    <xf numFmtId="0" fontId="5" fillId="0" borderId="16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174" fontId="5" fillId="0" borderId="0" xfId="11" applyNumberFormat="1" applyFont="1" applyBorder="1"/>
    <xf numFmtId="174" fontId="5" fillId="0" borderId="11" xfId="11" applyNumberFormat="1" applyFont="1" applyBorder="1"/>
    <xf numFmtId="0" fontId="5" fillId="0" borderId="17" xfId="0" applyFont="1" applyBorder="1" applyAlignment="1">
      <alignment horizontal="left"/>
    </xf>
    <xf numFmtId="174" fontId="5" fillId="0" borderId="6" xfId="11" applyNumberFormat="1" applyFont="1" applyBorder="1"/>
    <xf numFmtId="174" fontId="5" fillId="0" borderId="7" xfId="11" applyNumberFormat="1" applyFont="1" applyBorder="1"/>
    <xf numFmtId="167" fontId="5" fillId="0" borderId="11" xfId="1" applyNumberFormat="1" applyFont="1" applyBorder="1"/>
    <xf numFmtId="167" fontId="5" fillId="0" borderId="7" xfId="1" applyNumberFormat="1" applyFont="1" applyBorder="1"/>
    <xf numFmtId="174" fontId="5" fillId="0" borderId="11" xfId="0" applyNumberFormat="1" applyFont="1" applyBorder="1"/>
    <xf numFmtId="10" fontId="5" fillId="0" borderId="5" xfId="0" applyNumberFormat="1" applyFont="1" applyBorder="1"/>
    <xf numFmtId="174" fontId="5" fillId="0" borderId="7" xfId="0" applyNumberFormat="1" applyFont="1" applyBorder="1"/>
    <xf numFmtId="0" fontId="27" fillId="0" borderId="0" xfId="0" applyFont="1" applyAlignment="1">
      <alignment vertical="center"/>
    </xf>
    <xf numFmtId="0" fontId="28" fillId="0" borderId="0" xfId="0" applyFont="1"/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13" fillId="0" borderId="13" xfId="0" applyFont="1" applyBorder="1" applyAlignment="1">
      <alignment horizontal="center"/>
    </xf>
    <xf numFmtId="0" fontId="13" fillId="0" borderId="13" xfId="0" applyFont="1" applyBorder="1"/>
    <xf numFmtId="6" fontId="13" fillId="0" borderId="13" xfId="0" applyNumberFormat="1" applyFont="1" applyBorder="1"/>
    <xf numFmtId="0" fontId="13" fillId="0" borderId="22" xfId="0" applyFont="1" applyBorder="1"/>
    <xf numFmtId="6" fontId="13" fillId="0" borderId="21" xfId="0" applyNumberFormat="1" applyFont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left"/>
    </xf>
    <xf numFmtId="0" fontId="13" fillId="0" borderId="21" xfId="0" applyFont="1" applyBorder="1"/>
    <xf numFmtId="8" fontId="13" fillId="0" borderId="21" xfId="0" applyNumberFormat="1" applyFont="1" applyBorder="1"/>
    <xf numFmtId="10" fontId="29" fillId="0" borderId="23" xfId="0" applyNumberFormat="1" applyFont="1" applyBorder="1" applyAlignment="1">
      <alignment horizontal="center"/>
    </xf>
    <xf numFmtId="0" fontId="13" fillId="0" borderId="19" xfId="0" applyFont="1" applyBorder="1"/>
    <xf numFmtId="3" fontId="13" fillId="0" borderId="2" xfId="0" applyNumberFormat="1" applyFont="1" applyBorder="1" applyAlignment="1">
      <alignment horizontal="left"/>
    </xf>
    <xf numFmtId="0" fontId="13" fillId="0" borderId="2" xfId="0" applyFont="1" applyBorder="1"/>
    <xf numFmtId="8" fontId="13" fillId="0" borderId="2" xfId="0" applyNumberFormat="1" applyFont="1" applyBorder="1"/>
    <xf numFmtId="0" fontId="13" fillId="0" borderId="13" xfId="0" applyFont="1" applyBorder="1" applyAlignment="1">
      <alignment horizontal="center" wrapText="1"/>
    </xf>
    <xf numFmtId="9" fontId="13" fillId="0" borderId="13" xfId="0" applyNumberFormat="1" applyFont="1" applyBorder="1"/>
    <xf numFmtId="10" fontId="13" fillId="0" borderId="13" xfId="0" applyNumberFormat="1" applyFont="1" applyBorder="1"/>
    <xf numFmtId="3" fontId="13" fillId="0" borderId="2" xfId="0" applyNumberFormat="1" applyFont="1" applyBorder="1"/>
    <xf numFmtId="0" fontId="13" fillId="0" borderId="0" xfId="0" applyFont="1" applyAlignment="1">
      <alignment wrapText="1"/>
    </xf>
    <xf numFmtId="6" fontId="13" fillId="0" borderId="13" xfId="0" applyNumberFormat="1" applyFont="1" applyBorder="1" applyAlignment="1">
      <alignment horizontal="right"/>
    </xf>
    <xf numFmtId="0" fontId="13" fillId="0" borderId="13" xfId="0" applyFont="1" applyBorder="1" applyAlignment="1">
      <alignment horizontal="right"/>
    </xf>
    <xf numFmtId="0" fontId="13" fillId="0" borderId="21" xfId="0" applyFont="1" applyBorder="1" applyAlignment="1">
      <alignment horizontal="center" vertical="center"/>
    </xf>
    <xf numFmtId="0" fontId="13" fillId="0" borderId="2" xfId="0" applyFont="1" applyBorder="1" applyAlignment="1">
      <alignment horizontal="left"/>
    </xf>
    <xf numFmtId="10" fontId="29" fillId="0" borderId="13" xfId="0" applyNumberFormat="1" applyFont="1" applyBorder="1" applyAlignment="1">
      <alignment horizontal="right"/>
    </xf>
    <xf numFmtId="0" fontId="13" fillId="0" borderId="20" xfId="0" applyFont="1" applyBorder="1"/>
    <xf numFmtId="0" fontId="13" fillId="0" borderId="38" xfId="0" applyFont="1" applyBorder="1" applyAlignment="1">
      <alignment horizontal="center" vertical="center"/>
    </xf>
    <xf numFmtId="0" fontId="13" fillId="0" borderId="18" xfId="0" applyFont="1" applyBorder="1" applyAlignment="1">
      <alignment horizontal="left"/>
    </xf>
    <xf numFmtId="0" fontId="13" fillId="0" borderId="18" xfId="0" applyFont="1" applyBorder="1"/>
    <xf numFmtId="8" fontId="13" fillId="0" borderId="18" xfId="0" applyNumberFormat="1" applyFont="1" applyBorder="1"/>
    <xf numFmtId="0" fontId="29" fillId="0" borderId="0" xfId="0" applyFont="1"/>
    <xf numFmtId="0" fontId="29" fillId="0" borderId="13" xfId="0" applyFont="1" applyBorder="1" applyAlignment="1">
      <alignment horizontal="right"/>
    </xf>
    <xf numFmtId="8" fontId="29" fillId="0" borderId="13" xfId="0" applyNumberFormat="1" applyFont="1" applyBorder="1" applyAlignment="1">
      <alignment horizontal="right"/>
    </xf>
    <xf numFmtId="0" fontId="13" fillId="0" borderId="15" xfId="0" applyFont="1" applyBorder="1" applyAlignment="1">
      <alignment horizontal="center"/>
    </xf>
    <xf numFmtId="0" fontId="13" fillId="0" borderId="15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30" fillId="0" borderId="0" xfId="0" applyFont="1"/>
    <xf numFmtId="0" fontId="31" fillId="10" borderId="0" xfId="0" applyFont="1" applyFill="1"/>
    <xf numFmtId="10" fontId="0" fillId="0" borderId="0" xfId="0" applyNumberFormat="1"/>
    <xf numFmtId="8" fontId="0" fillId="0" borderId="0" xfId="0" applyNumberFormat="1"/>
    <xf numFmtId="44" fontId="0" fillId="0" borderId="0" xfId="11" applyFont="1"/>
    <xf numFmtId="10" fontId="5" fillId="0" borderId="0" xfId="1" applyNumberFormat="1" applyFont="1" applyAlignment="1">
      <alignment horizontal="left"/>
    </xf>
    <xf numFmtId="174" fontId="5" fillId="0" borderId="4" xfId="0" applyNumberFormat="1" applyFont="1" applyBorder="1"/>
    <xf numFmtId="0" fontId="5" fillId="0" borderId="5" xfId="0" applyFont="1" applyBorder="1" applyAlignment="1">
      <alignment horizontal="center"/>
    </xf>
    <xf numFmtId="6" fontId="5" fillId="0" borderId="0" xfId="0" applyNumberFormat="1" applyFont="1"/>
    <xf numFmtId="0" fontId="5" fillId="0" borderId="11" xfId="0" applyFont="1" applyBorder="1" applyAlignment="1">
      <alignment horizontal="center"/>
    </xf>
    <xf numFmtId="44" fontId="5" fillId="0" borderId="0" xfId="0" applyNumberFormat="1" applyFont="1"/>
    <xf numFmtId="44" fontId="5" fillId="0" borderId="11" xfId="0" applyNumberFormat="1" applyFont="1" applyBorder="1" applyAlignment="1">
      <alignment horizontal="center"/>
    </xf>
    <xf numFmtId="0" fontId="6" fillId="0" borderId="17" xfId="0" applyFont="1" applyBorder="1"/>
    <xf numFmtId="10" fontId="5" fillId="0" borderId="6" xfId="1" applyNumberFormat="1" applyFont="1" applyFill="1" applyBorder="1"/>
    <xf numFmtId="0" fontId="5" fillId="0" borderId="7" xfId="0" applyFont="1" applyBorder="1" applyAlignment="1">
      <alignment horizontal="center"/>
    </xf>
    <xf numFmtId="0" fontId="28" fillId="0" borderId="0" xfId="0" applyFont="1"/>
    <xf numFmtId="0" fontId="27" fillId="11" borderId="6" xfId="0" applyFont="1" applyFill="1" applyBorder="1" applyAlignment="1">
      <alignment horizontal="center" vertical="center"/>
    </xf>
    <xf numFmtId="6" fontId="13" fillId="0" borderId="41" xfId="0" applyNumberFormat="1" applyFont="1" applyBorder="1" applyAlignment="1">
      <alignment horizontal="center" vertical="center"/>
    </xf>
    <xf numFmtId="6" fontId="13" fillId="0" borderId="42" xfId="0" applyNumberFormat="1" applyFont="1" applyBorder="1" applyAlignment="1">
      <alignment horizontal="center" vertical="center"/>
    </xf>
    <xf numFmtId="6" fontId="13" fillId="0" borderId="38" xfId="0" applyNumberFormat="1" applyFont="1" applyBorder="1" applyAlignment="1">
      <alignment horizontal="center" vertical="center"/>
    </xf>
    <xf numFmtId="10" fontId="13" fillId="0" borderId="41" xfId="0" applyNumberFormat="1" applyFont="1" applyBorder="1" applyAlignment="1">
      <alignment horizontal="center" vertical="center"/>
    </xf>
    <xf numFmtId="10" fontId="13" fillId="0" borderId="42" xfId="0" applyNumberFormat="1" applyFont="1" applyBorder="1" applyAlignment="1">
      <alignment horizontal="center" vertical="center"/>
    </xf>
    <xf numFmtId="10" fontId="13" fillId="0" borderId="38" xfId="0" applyNumberFormat="1" applyFont="1" applyBorder="1" applyAlignment="1">
      <alignment horizontal="center" vertical="center"/>
    </xf>
    <xf numFmtId="10" fontId="29" fillId="0" borderId="35" xfId="0" applyNumberFormat="1" applyFont="1" applyBorder="1" applyAlignment="1">
      <alignment horizontal="center" vertical="center"/>
    </xf>
    <xf numFmtId="10" fontId="29" fillId="0" borderId="36" xfId="0" applyNumberFormat="1" applyFont="1" applyBorder="1" applyAlignment="1">
      <alignment horizontal="center" vertical="center"/>
    </xf>
    <xf numFmtId="10" fontId="29" fillId="0" borderId="37" xfId="0" applyNumberFormat="1" applyFont="1" applyBorder="1" applyAlignment="1">
      <alignment horizontal="center" vertical="center"/>
    </xf>
    <xf numFmtId="0" fontId="20" fillId="6" borderId="6" xfId="0" applyFont="1" applyFill="1" applyBorder="1" applyAlignment="1">
      <alignment horizontal="center" vertical="center"/>
    </xf>
    <xf numFmtId="5" fontId="13" fillId="0" borderId="2" xfId="4" applyNumberFormat="1" applyFont="1" applyBorder="1" applyAlignment="1">
      <alignment horizontal="center" vertical="center"/>
    </xf>
    <xf numFmtId="5" fontId="13" fillId="0" borderId="18" xfId="4" applyNumberFormat="1" applyFont="1" applyBorder="1" applyAlignment="1">
      <alignment horizontal="center" vertical="center"/>
    </xf>
    <xf numFmtId="10" fontId="13" fillId="0" borderId="2" xfId="4" applyNumberFormat="1" applyFont="1" applyBorder="1" applyAlignment="1">
      <alignment horizontal="center" vertical="center"/>
    </xf>
    <xf numFmtId="10" fontId="5" fillId="0" borderId="35" xfId="1" applyNumberFormat="1" applyFont="1" applyFill="1" applyBorder="1" applyAlignment="1">
      <alignment horizontal="center" vertical="center"/>
    </xf>
    <xf numFmtId="10" fontId="5" fillId="0" borderId="36" xfId="1" applyNumberFormat="1" applyFont="1" applyFill="1" applyBorder="1" applyAlignment="1">
      <alignment horizontal="center" vertical="center"/>
    </xf>
    <xf numFmtId="10" fontId="5" fillId="0" borderId="3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center" wrapText="1"/>
    </xf>
    <xf numFmtId="0" fontId="6" fillId="4" borderId="31" xfId="2" applyFont="1" applyFill="1" applyBorder="1" applyAlignment="1">
      <alignment horizontal="center" wrapText="1"/>
    </xf>
    <xf numFmtId="0" fontId="6" fillId="4" borderId="32" xfId="2" applyFont="1" applyFill="1" applyBorder="1" applyAlignment="1">
      <alignment horizontal="center" wrapText="1"/>
    </xf>
    <xf numFmtId="0" fontId="6" fillId="4" borderId="0" xfId="2" applyFont="1" applyFill="1" applyAlignment="1">
      <alignment horizontal="center" wrapText="1"/>
    </xf>
    <xf numFmtId="0" fontId="25" fillId="0" borderId="28" xfId="2" applyFont="1" applyBorder="1" applyAlignment="1">
      <alignment horizontal="center"/>
    </xf>
    <xf numFmtId="0" fontId="25" fillId="0" borderId="29" xfId="2" applyFont="1" applyBorder="1" applyAlignment="1">
      <alignment horizontal="center"/>
    </xf>
    <xf numFmtId="0" fontId="25" fillId="0" borderId="30" xfId="2" applyFont="1" applyBorder="1" applyAlignment="1">
      <alignment horizontal="center"/>
    </xf>
    <xf numFmtId="0" fontId="25" fillId="4" borderId="28" xfId="2" applyFont="1" applyFill="1" applyBorder="1" applyAlignment="1">
      <alignment horizontal="center"/>
    </xf>
    <xf numFmtId="0" fontId="25" fillId="4" borderId="29" xfId="2" applyFont="1" applyFill="1" applyBorder="1" applyAlignment="1">
      <alignment horizontal="center"/>
    </xf>
    <xf numFmtId="0" fontId="25" fillId="4" borderId="30" xfId="2" applyFont="1" applyFill="1" applyBorder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6" fillId="0" borderId="31" xfId="2" applyFont="1" applyBorder="1" applyAlignment="1">
      <alignment horizontal="center" wrapText="1"/>
    </xf>
    <xf numFmtId="0" fontId="6" fillId="0" borderId="32" xfId="2" applyFont="1" applyBorder="1" applyAlignment="1">
      <alignment horizontal="center" wrapText="1"/>
    </xf>
    <xf numFmtId="9" fontId="6" fillId="0" borderId="0" xfId="2" applyNumberFormat="1" applyFont="1" applyAlignment="1">
      <alignment horizontal="center" wrapText="1"/>
    </xf>
    <xf numFmtId="0" fontId="6" fillId="2" borderId="0" xfId="0" applyFont="1" applyFill="1" applyAlignment="1">
      <alignment horizontal="center"/>
    </xf>
    <xf numFmtId="49" fontId="18" fillId="0" borderId="0" xfId="12" applyNumberFormat="1" applyFont="1" applyAlignment="1">
      <alignment horizontal="center"/>
    </xf>
    <xf numFmtId="49" fontId="7" fillId="0" borderId="0" xfId="12" applyNumberFormat="1" applyFont="1" applyAlignment="1">
      <alignment horizontal="center"/>
    </xf>
    <xf numFmtId="0" fontId="13" fillId="0" borderId="0" xfId="12" applyFont="1" applyAlignment="1">
      <alignment horizontal="left" wrapText="1"/>
    </xf>
    <xf numFmtId="0" fontId="13" fillId="0" borderId="0" xfId="13" applyFont="1" applyAlignment="1">
      <alignment horizontal="left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</cellXfs>
  <cellStyles count="17">
    <cellStyle name="Comma" xfId="10" builtinId="3"/>
    <cellStyle name="Comma 10" xfId="5" xr:uid="{00000000-0005-0000-0000-000001000000}"/>
    <cellStyle name="Comma 2" xfId="9" xr:uid="{00000000-0005-0000-0000-000002000000}"/>
    <cellStyle name="Comma 2 2" xfId="16" xr:uid="{6B3B7284-F1A8-4067-A208-0F2607A0B323}"/>
    <cellStyle name="Currency" xfId="11" builtinId="4"/>
    <cellStyle name="Currency 2" xfId="3" xr:uid="{00000000-0005-0000-0000-000004000000}"/>
    <cellStyle name="Currency 2 2" xfId="8" xr:uid="{00000000-0005-0000-0000-000005000000}"/>
    <cellStyle name="Normal" xfId="0" builtinId="0"/>
    <cellStyle name="Normal 2" xfId="2" xr:uid="{00000000-0005-0000-0000-000007000000}"/>
    <cellStyle name="Normal 2 2" xfId="13" xr:uid="{00000000-0005-0000-0000-000008000000}"/>
    <cellStyle name="Normal 2 2 2" xfId="4" xr:uid="{00000000-0005-0000-0000-000009000000}"/>
    <cellStyle name="Normal 3" xfId="12" xr:uid="{00000000-0005-0000-0000-00000A000000}"/>
    <cellStyle name="Normal 4" xfId="7" xr:uid="{00000000-0005-0000-0000-00000B000000}"/>
    <cellStyle name="Normal 5" xfId="14" xr:uid="{00000000-0005-0000-0000-00000C000000}"/>
    <cellStyle name="Percent" xfId="1" builtinId="5"/>
    <cellStyle name="Percent 10" xfId="6" xr:uid="{00000000-0005-0000-0000-00000E000000}"/>
    <cellStyle name="Percent 10 2" xfId="15" xr:uid="{161495AC-FA99-4834-B5EB-5A26D3AE67F0}"/>
  </cellStyles>
  <dxfs count="0"/>
  <tableStyles count="0" defaultTableStyle="TableStyleMedium2" defaultPivotStyle="PivotStyleLight16"/>
  <colors>
    <mruColors>
      <color rgb="FFFFCCFF"/>
      <color rgb="FFCCFFFF"/>
      <color rgb="FFFFFFCC"/>
      <color rgb="FF0000FF"/>
      <color rgb="FFEAE1FB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91093-8923-432D-9CB1-309A92162CA7}">
  <sheetPr>
    <pageSetUpPr fitToPage="1"/>
  </sheetPr>
  <dimension ref="A1:T58"/>
  <sheetViews>
    <sheetView showGridLines="0" tabSelected="1" zoomScale="90" zoomScaleNormal="90" workbookViewId="0">
      <selection activeCell="O58" sqref="O58"/>
    </sheetView>
  </sheetViews>
  <sheetFormatPr defaultRowHeight="15" outlineLevelRow="1" x14ac:dyDescent="0.25"/>
  <cols>
    <col min="1" max="1" width="1.7109375" customWidth="1"/>
    <col min="2" max="2" width="5.42578125" customWidth="1"/>
    <col min="3" max="3" width="46.85546875" bestFit="1" customWidth="1"/>
    <col min="4" max="4" width="42.85546875" customWidth="1"/>
    <col min="5" max="7" width="12.85546875" customWidth="1"/>
    <col min="8" max="8" width="11" customWidth="1"/>
    <col min="9" max="9" width="14.42578125" customWidth="1"/>
    <col min="10" max="11" width="12.85546875" customWidth="1"/>
    <col min="12" max="12" width="14.140625" customWidth="1"/>
    <col min="13" max="14" width="12.85546875" customWidth="1"/>
    <col min="15" max="15" width="14.42578125" customWidth="1"/>
    <col min="16" max="18" width="12.85546875" customWidth="1"/>
  </cols>
  <sheetData>
    <row r="1" spans="1:18" s="344" customFormat="1" ht="15.75" x14ac:dyDescent="0.25">
      <c r="B1" s="345" t="s">
        <v>253</v>
      </c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</row>
    <row r="2" spans="1:18" ht="19.5" outlineLevel="1" thickBot="1" x14ac:dyDescent="0.3">
      <c r="A2" s="302"/>
      <c r="B2" s="360" t="s">
        <v>183</v>
      </c>
      <c r="C2" s="360"/>
      <c r="D2" s="360"/>
      <c r="E2" s="360"/>
      <c r="F2" s="360"/>
      <c r="G2" s="360"/>
      <c r="H2" s="302"/>
      <c r="I2" s="360" t="s">
        <v>252</v>
      </c>
      <c r="J2" s="360"/>
      <c r="K2" s="360"/>
      <c r="L2" s="360"/>
      <c r="M2" s="360"/>
      <c r="N2" s="360"/>
      <c r="O2" s="360"/>
      <c r="P2" s="360"/>
      <c r="Q2" s="360"/>
      <c r="R2" s="360"/>
    </row>
    <row r="3" spans="1:18" ht="15.75" outlineLevel="1" thickBot="1" x14ac:dyDescent="0.3">
      <c r="A3" s="359"/>
      <c r="B3" s="359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</row>
    <row r="4" spans="1:18" ht="51.75" outlineLevel="1" thickBot="1" x14ac:dyDescent="0.3">
      <c r="A4" s="307"/>
      <c r="B4" s="304" t="s">
        <v>179</v>
      </c>
      <c r="C4" s="305" t="s">
        <v>180</v>
      </c>
      <c r="D4" s="305" t="s">
        <v>181</v>
      </c>
      <c r="E4" s="305" t="s">
        <v>182</v>
      </c>
      <c r="F4" s="305" t="s">
        <v>52</v>
      </c>
      <c r="G4" s="306" t="s">
        <v>53</v>
      </c>
      <c r="H4" s="307"/>
      <c r="I4" s="304" t="s">
        <v>169</v>
      </c>
      <c r="J4" s="305" t="s">
        <v>205</v>
      </c>
      <c r="K4" s="305" t="s">
        <v>204</v>
      </c>
      <c r="L4" s="305" t="s">
        <v>234</v>
      </c>
      <c r="M4" s="305" t="s">
        <v>206</v>
      </c>
      <c r="N4" s="305" t="s">
        <v>207</v>
      </c>
      <c r="O4" s="305" t="s">
        <v>208</v>
      </c>
      <c r="P4" s="305" t="s">
        <v>209</v>
      </c>
      <c r="Q4" s="305" t="s">
        <v>210</v>
      </c>
      <c r="R4" s="306" t="s">
        <v>211</v>
      </c>
    </row>
    <row r="5" spans="1:18" outlineLevel="1" x14ac:dyDescent="0.25">
      <c r="A5" s="338">
        <v>2026</v>
      </c>
      <c r="B5" s="308">
        <v>1</v>
      </c>
      <c r="C5" s="309" t="s">
        <v>85</v>
      </c>
      <c r="D5" s="185" t="s">
        <v>216</v>
      </c>
      <c r="E5" s="310">
        <v>13103816</v>
      </c>
      <c r="F5" s="309"/>
      <c r="G5" s="309"/>
      <c r="H5" s="303"/>
      <c r="I5" s="311" t="s">
        <v>170</v>
      </c>
      <c r="J5" s="312">
        <v>5772231</v>
      </c>
      <c r="K5" s="313">
        <v>2.0199999999999999E-2</v>
      </c>
      <c r="L5" s="314">
        <v>14268</v>
      </c>
      <c r="M5" s="315">
        <v>1189</v>
      </c>
      <c r="N5" s="316">
        <v>0</v>
      </c>
      <c r="O5" s="317">
        <v>181.74</v>
      </c>
      <c r="P5" s="317">
        <v>185.42</v>
      </c>
      <c r="Q5" s="317">
        <v>3.68</v>
      </c>
      <c r="R5" s="318">
        <v>2.0199999999999999E-2</v>
      </c>
    </row>
    <row r="6" spans="1:18" outlineLevel="1" x14ac:dyDescent="0.25">
      <c r="A6" s="303"/>
      <c r="B6" s="308"/>
      <c r="C6" s="309"/>
      <c r="D6" s="185"/>
      <c r="E6" s="309"/>
      <c r="F6" s="309"/>
      <c r="G6" s="309"/>
      <c r="H6" s="303"/>
      <c r="I6" s="319" t="s">
        <v>171</v>
      </c>
      <c r="J6" s="361">
        <v>7331585</v>
      </c>
      <c r="K6" s="364">
        <v>1.9900000000000001E-2</v>
      </c>
      <c r="L6" s="314">
        <v>15156</v>
      </c>
      <c r="M6" s="320">
        <v>1263</v>
      </c>
      <c r="N6" s="321">
        <v>0</v>
      </c>
      <c r="O6" s="322">
        <v>221.33</v>
      </c>
      <c r="P6" s="322">
        <v>225.74</v>
      </c>
      <c r="Q6" s="322">
        <v>4.41</v>
      </c>
      <c r="R6" s="367">
        <v>1.9900000000000001E-2</v>
      </c>
    </row>
    <row r="7" spans="1:18" outlineLevel="1" x14ac:dyDescent="0.25">
      <c r="A7" s="303"/>
      <c r="B7" s="323">
        <v>2</v>
      </c>
      <c r="C7" s="309" t="s">
        <v>77</v>
      </c>
      <c r="D7" s="185" t="s">
        <v>84</v>
      </c>
      <c r="E7" s="324">
        <v>1</v>
      </c>
      <c r="F7" s="325">
        <v>0.4405</v>
      </c>
      <c r="G7" s="325">
        <v>0.5595</v>
      </c>
      <c r="H7" s="303"/>
      <c r="I7" s="319" t="s">
        <v>172</v>
      </c>
      <c r="J7" s="362"/>
      <c r="K7" s="365"/>
      <c r="L7" s="314">
        <v>50556</v>
      </c>
      <c r="M7" s="320">
        <v>4213</v>
      </c>
      <c r="N7" s="321">
        <v>2</v>
      </c>
      <c r="O7" s="322">
        <v>642.1</v>
      </c>
      <c r="P7" s="322">
        <v>654.88</v>
      </c>
      <c r="Q7" s="322">
        <v>12.78</v>
      </c>
      <c r="R7" s="368"/>
    </row>
    <row r="8" spans="1:18" outlineLevel="1" x14ac:dyDescent="0.25">
      <c r="A8" s="303"/>
      <c r="B8" s="308"/>
      <c r="C8" s="309"/>
      <c r="D8" s="185"/>
      <c r="E8" s="309"/>
      <c r="F8" s="309"/>
      <c r="G8" s="309"/>
      <c r="H8" s="303"/>
      <c r="I8" s="319" t="s">
        <v>173</v>
      </c>
      <c r="J8" s="362"/>
      <c r="K8" s="365"/>
      <c r="L8" s="314">
        <v>19560</v>
      </c>
      <c r="M8" s="320">
        <v>1630</v>
      </c>
      <c r="N8" s="321">
        <v>6</v>
      </c>
      <c r="O8" s="322">
        <v>283.24</v>
      </c>
      <c r="P8" s="322">
        <v>288.88</v>
      </c>
      <c r="Q8" s="322">
        <v>5.64</v>
      </c>
      <c r="R8" s="368"/>
    </row>
    <row r="9" spans="1:18" outlineLevel="1" x14ac:dyDescent="0.25">
      <c r="A9" s="303"/>
      <c r="B9" s="323">
        <v>3</v>
      </c>
      <c r="C9" s="309" t="s">
        <v>78</v>
      </c>
      <c r="D9" s="185" t="s">
        <v>79</v>
      </c>
      <c r="E9" s="310">
        <v>13103816</v>
      </c>
      <c r="F9" s="310">
        <v>5772231</v>
      </c>
      <c r="G9" s="310">
        <v>7331585</v>
      </c>
      <c r="H9" s="303"/>
      <c r="I9" s="319" t="s">
        <v>174</v>
      </c>
      <c r="J9" s="362"/>
      <c r="K9" s="365"/>
      <c r="L9" s="314">
        <v>826176</v>
      </c>
      <c r="M9" s="320">
        <v>68848</v>
      </c>
      <c r="N9" s="321">
        <v>216</v>
      </c>
      <c r="O9" s="322">
        <v>9973.75</v>
      </c>
      <c r="P9" s="322">
        <v>10172.26</v>
      </c>
      <c r="Q9" s="322">
        <v>198.51</v>
      </c>
      <c r="R9" s="368"/>
    </row>
    <row r="10" spans="1:18" outlineLevel="1" x14ac:dyDescent="0.25">
      <c r="A10" s="303"/>
      <c r="B10" s="308"/>
      <c r="C10" s="309"/>
      <c r="D10" s="185"/>
      <c r="E10" s="309"/>
      <c r="F10" s="309"/>
      <c r="G10" s="309"/>
      <c r="H10" s="303"/>
      <c r="I10" s="319" t="s">
        <v>175</v>
      </c>
      <c r="J10" s="362"/>
      <c r="K10" s="365"/>
      <c r="L10" s="314">
        <v>37781100</v>
      </c>
      <c r="M10" s="320">
        <v>3148425</v>
      </c>
      <c r="N10" s="326">
        <v>5411</v>
      </c>
      <c r="O10" s="322">
        <v>250003.87</v>
      </c>
      <c r="P10" s="322">
        <v>254979.76</v>
      </c>
      <c r="Q10" s="322">
        <v>4975.8900000000003</v>
      </c>
      <c r="R10" s="368"/>
    </row>
    <row r="11" spans="1:18" outlineLevel="1" x14ac:dyDescent="0.25">
      <c r="A11" s="303"/>
      <c r="B11" s="308">
        <v>4</v>
      </c>
      <c r="C11" s="309" t="s">
        <v>80</v>
      </c>
      <c r="D11" s="327" t="s">
        <v>217</v>
      </c>
      <c r="E11" s="328">
        <v>653489895</v>
      </c>
      <c r="F11" s="328">
        <v>285128806</v>
      </c>
      <c r="G11" s="328">
        <v>368361090</v>
      </c>
      <c r="H11" s="303"/>
      <c r="I11" s="319" t="s">
        <v>176</v>
      </c>
      <c r="J11" s="362"/>
      <c r="K11" s="365"/>
      <c r="L11" s="314">
        <v>219096</v>
      </c>
      <c r="M11" s="320">
        <v>18258</v>
      </c>
      <c r="N11" s="321">
        <v>27</v>
      </c>
      <c r="O11" s="322">
        <v>2523.0300000000002</v>
      </c>
      <c r="P11" s="322">
        <v>2573.2399999999998</v>
      </c>
      <c r="Q11" s="322">
        <v>50.22</v>
      </c>
      <c r="R11" s="368"/>
    </row>
    <row r="12" spans="1:18" outlineLevel="1" x14ac:dyDescent="0.25">
      <c r="A12" s="303"/>
      <c r="B12" s="308"/>
      <c r="C12" s="309"/>
      <c r="D12" s="185"/>
      <c r="E12" s="329" t="s">
        <v>0</v>
      </c>
      <c r="F12" s="329" t="s">
        <v>0</v>
      </c>
      <c r="G12" s="329" t="s">
        <v>0</v>
      </c>
      <c r="H12" s="303"/>
      <c r="I12" s="319" t="s">
        <v>177</v>
      </c>
      <c r="J12" s="362"/>
      <c r="K12" s="365"/>
      <c r="L12" s="330">
        <v>684</v>
      </c>
      <c r="M12" s="331">
        <v>57</v>
      </c>
      <c r="N12" s="321">
        <v>0</v>
      </c>
      <c r="O12" s="322">
        <v>16.45</v>
      </c>
      <c r="P12" s="322">
        <v>16.78</v>
      </c>
      <c r="Q12" s="322">
        <v>0.33</v>
      </c>
      <c r="R12" s="368"/>
    </row>
    <row r="13" spans="1:18" ht="15.75" outlineLevel="1" thickBot="1" x14ac:dyDescent="0.3">
      <c r="A13" s="303"/>
      <c r="B13" s="323">
        <v>5</v>
      </c>
      <c r="C13" s="309" t="s">
        <v>81</v>
      </c>
      <c r="D13" s="185" t="s">
        <v>82</v>
      </c>
      <c r="E13" s="332">
        <v>2.01E-2</v>
      </c>
      <c r="F13" s="332">
        <v>2.0199999999999999E-2</v>
      </c>
      <c r="G13" s="332">
        <v>1.9900000000000001E-2</v>
      </c>
      <c r="H13" s="303"/>
      <c r="I13" s="333" t="s">
        <v>178</v>
      </c>
      <c r="J13" s="363"/>
      <c r="K13" s="366"/>
      <c r="L13" s="334">
        <v>660</v>
      </c>
      <c r="M13" s="335">
        <v>55</v>
      </c>
      <c r="N13" s="336">
        <v>0</v>
      </c>
      <c r="O13" s="337">
        <v>13.43</v>
      </c>
      <c r="P13" s="337">
        <v>13.7</v>
      </c>
      <c r="Q13" s="337">
        <v>0.27</v>
      </c>
      <c r="R13" s="369"/>
    </row>
    <row r="14" spans="1:18" outlineLevel="1" x14ac:dyDescent="0.25">
      <c r="A14" s="303"/>
      <c r="B14" s="323"/>
      <c r="C14" s="309"/>
      <c r="D14" s="185"/>
      <c r="E14" s="339"/>
      <c r="F14" s="339"/>
      <c r="G14" s="339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</row>
    <row r="15" spans="1:18" outlineLevel="1" x14ac:dyDescent="0.25">
      <c r="A15" s="303"/>
      <c r="B15" s="308">
        <v>6</v>
      </c>
      <c r="C15" s="309" t="s">
        <v>213</v>
      </c>
      <c r="D15" s="185" t="s">
        <v>218</v>
      </c>
      <c r="E15" s="339"/>
      <c r="F15" s="340">
        <v>3.68</v>
      </c>
      <c r="G15" s="339"/>
      <c r="H15" s="303"/>
      <c r="I15" s="185" t="s">
        <v>212</v>
      </c>
      <c r="J15" s="185"/>
      <c r="K15" s="185"/>
      <c r="L15" s="185"/>
      <c r="M15" s="303"/>
      <c r="N15" s="303"/>
      <c r="O15" s="303"/>
      <c r="P15" s="303"/>
      <c r="Q15" s="303"/>
      <c r="R15" s="303"/>
    </row>
    <row r="16" spans="1:18" outlineLevel="1" x14ac:dyDescent="0.25">
      <c r="A16" s="303"/>
      <c r="B16" s="308"/>
      <c r="C16" s="309"/>
      <c r="D16" s="185"/>
      <c r="E16" s="339"/>
      <c r="F16" s="339"/>
      <c r="G16" s="339"/>
      <c r="H16" s="303"/>
      <c r="I16" s="185" t="s">
        <v>184</v>
      </c>
      <c r="J16" s="185"/>
      <c r="K16" s="185"/>
      <c r="L16" s="185"/>
      <c r="M16" s="303"/>
      <c r="N16" s="303"/>
      <c r="O16" s="303"/>
      <c r="P16" s="303"/>
      <c r="Q16" s="303"/>
      <c r="R16" s="303"/>
    </row>
    <row r="17" spans="1:20" outlineLevel="1" x14ac:dyDescent="0.25">
      <c r="A17" s="303"/>
      <c r="B17" s="323">
        <v>7</v>
      </c>
      <c r="C17" s="309" t="s">
        <v>214</v>
      </c>
      <c r="D17" s="185" t="s">
        <v>83</v>
      </c>
      <c r="E17" s="339"/>
      <c r="F17" s="340">
        <v>44.15</v>
      </c>
      <c r="G17" s="339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</row>
    <row r="18" spans="1:20" ht="15.75" outlineLevel="1" thickBot="1" x14ac:dyDescent="0.3">
      <c r="A18" s="303"/>
      <c r="B18" s="341"/>
      <c r="C18" s="342"/>
      <c r="D18" s="343"/>
      <c r="E18" s="342"/>
      <c r="F18" s="342"/>
      <c r="G18" s="342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</row>
    <row r="19" spans="1:20" outlineLevel="1" x14ac:dyDescent="0.25">
      <c r="A19" s="359"/>
      <c r="B19" s="359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</row>
    <row r="21" spans="1:20" s="344" customFormat="1" ht="15.75" x14ac:dyDescent="0.25">
      <c r="B21" s="345" t="s">
        <v>256</v>
      </c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</row>
    <row r="22" spans="1:20" s="177" customFormat="1" ht="27.75" hidden="1" customHeight="1" outlineLevel="1" thickBot="1" x14ac:dyDescent="0.3">
      <c r="B22" s="370" t="s">
        <v>183</v>
      </c>
      <c r="C22" s="370"/>
      <c r="D22" s="370"/>
      <c r="E22" s="370"/>
      <c r="F22" s="370"/>
      <c r="G22" s="370"/>
      <c r="I22" s="370" t="s">
        <v>203</v>
      </c>
      <c r="J22" s="370"/>
      <c r="K22" s="370"/>
      <c r="L22" s="370"/>
      <c r="M22" s="370"/>
      <c r="N22" s="370"/>
      <c r="O22" s="370"/>
      <c r="P22" s="370"/>
      <c r="Q22" s="370"/>
      <c r="R22" s="370"/>
    </row>
    <row r="23" spans="1:20" ht="15.75" hidden="1" outlineLevel="1" thickBot="1" x14ac:dyDescent="0.3"/>
    <row r="24" spans="1:20" s="173" customFormat="1" ht="67.5" hidden="1" customHeight="1" outlineLevel="1" thickBot="1" x14ac:dyDescent="0.3">
      <c r="B24" s="174" t="s">
        <v>179</v>
      </c>
      <c r="C24" s="175" t="s">
        <v>180</v>
      </c>
      <c r="D24" s="175" t="s">
        <v>181</v>
      </c>
      <c r="E24" s="175" t="s">
        <v>182</v>
      </c>
      <c r="F24" s="175" t="s">
        <v>52</v>
      </c>
      <c r="G24" s="176" t="s">
        <v>53</v>
      </c>
      <c r="I24" s="174" t="s">
        <v>169</v>
      </c>
      <c r="J24" s="175" t="s">
        <v>205</v>
      </c>
      <c r="K24" s="175" t="s">
        <v>204</v>
      </c>
      <c r="L24" s="175" t="s">
        <v>234</v>
      </c>
      <c r="M24" s="175" t="s">
        <v>206</v>
      </c>
      <c r="N24" s="175" t="s">
        <v>207</v>
      </c>
      <c r="O24" s="175" t="s">
        <v>208</v>
      </c>
      <c r="P24" s="175" t="s">
        <v>209</v>
      </c>
      <c r="Q24" s="175" t="s">
        <v>210</v>
      </c>
      <c r="R24" s="176" t="s">
        <v>211</v>
      </c>
    </row>
    <row r="25" spans="1:20" ht="16.5" hidden="1" customHeight="1" outlineLevel="1" x14ac:dyDescent="0.25">
      <c r="A25" s="9">
        <v>2026</v>
      </c>
      <c r="B25" s="126">
        <v>1</v>
      </c>
      <c r="C25" s="127" t="s">
        <v>85</v>
      </c>
      <c r="D25" s="107" t="s">
        <v>216</v>
      </c>
      <c r="E25" s="128">
        <f>SUM('ELG Rev Req'!$AJ$9:$AJ$20)</f>
        <v>11244570.374215554</v>
      </c>
      <c r="F25" s="128"/>
      <c r="G25" s="128"/>
      <c r="I25" s="231" t="s">
        <v>170</v>
      </c>
      <c r="J25" s="251">
        <f>$F$29</f>
        <v>4953233.2498419518</v>
      </c>
      <c r="K25" s="234">
        <f>$F$33</f>
        <v>1.7371914564931864E-2</v>
      </c>
      <c r="L25" s="235">
        <f>M25*12</f>
        <v>14268</v>
      </c>
      <c r="M25" s="236">
        <f>'12mos BA'!$H$16</f>
        <v>1189</v>
      </c>
      <c r="N25" s="237">
        <f>'12mos BA'!$J$16</f>
        <v>1.902374446511693E-2</v>
      </c>
      <c r="O25" s="238">
        <f>'12mos BA'!$I$16</f>
        <v>181.73653066804852</v>
      </c>
      <c r="P25" s="247">
        <f>+O25+Q25</f>
        <v>184.89364215214098</v>
      </c>
      <c r="Q25" s="247">
        <f t="shared" ref="Q25" si="0">O25*R25</f>
        <v>3.1571114840924586</v>
      </c>
      <c r="R25" s="249">
        <f>$F$33</f>
        <v>1.7371914564931864E-2</v>
      </c>
      <c r="S25" s="346"/>
      <c r="T25" s="346"/>
    </row>
    <row r="26" spans="1:20" ht="16.5" hidden="1" customHeight="1" outlineLevel="1" x14ac:dyDescent="0.25">
      <c r="B26" s="126"/>
      <c r="C26" s="127"/>
      <c r="D26" s="107"/>
      <c r="E26" s="128"/>
      <c r="F26" s="128"/>
      <c r="G26" s="128"/>
      <c r="I26" s="232" t="s">
        <v>171</v>
      </c>
      <c r="J26" s="371">
        <f>$G$29</f>
        <v>6291337.1243736027</v>
      </c>
      <c r="K26" s="373">
        <f>$G$33</f>
        <v>1.7079266247627029E-2</v>
      </c>
      <c r="L26" s="235">
        <f t="shared" ref="L26:L33" si="1">M26*12</f>
        <v>15156</v>
      </c>
      <c r="M26" s="239">
        <f>'12mos BA'!$H$55</f>
        <v>1263</v>
      </c>
      <c r="N26" s="240">
        <f>'12mos BA'!$J$55</f>
        <v>9.6082540706110085E-3</v>
      </c>
      <c r="O26" s="241">
        <f>'12mos BA'!$I$55</f>
        <v>221.33116234080319</v>
      </c>
      <c r="P26" s="248">
        <f t="shared" ref="P26:P33" si="2">+O26+Q26</f>
        <v>225.11133619131851</v>
      </c>
      <c r="Q26" s="248">
        <f>O26*$R$26</f>
        <v>3.7801738505153386</v>
      </c>
      <c r="R26" s="374">
        <f t="shared" ref="R26" si="3">$G$33</f>
        <v>1.7079266247627029E-2</v>
      </c>
    </row>
    <row r="27" spans="1:20" ht="16.5" hidden="1" customHeight="1" outlineLevel="1" x14ac:dyDescent="0.25">
      <c r="B27" s="129">
        <v>2</v>
      </c>
      <c r="C27" s="127" t="s">
        <v>77</v>
      </c>
      <c r="D27" s="107" t="s">
        <v>84</v>
      </c>
      <c r="E27" s="130">
        <f>F27+G27</f>
        <v>1</v>
      </c>
      <c r="F27" s="131">
        <v>0.4405</v>
      </c>
      <c r="G27" s="131">
        <v>0.5595</v>
      </c>
      <c r="I27" s="232" t="s">
        <v>172</v>
      </c>
      <c r="J27" s="371"/>
      <c r="K27" s="371"/>
      <c r="L27" s="235">
        <f t="shared" si="1"/>
        <v>50556</v>
      </c>
      <c r="M27" s="239">
        <f>'12mos BA'!$H$57</f>
        <v>4213</v>
      </c>
      <c r="N27" s="240">
        <f>'12mos BA'!$J$57</f>
        <v>1.8092570754717023</v>
      </c>
      <c r="O27" s="241">
        <f>'12mos BA'!$I$57</f>
        <v>642.10231721698267</v>
      </c>
      <c r="P27" s="248">
        <f t="shared" si="2"/>
        <v>653.06895365094977</v>
      </c>
      <c r="Q27" s="248">
        <f t="shared" ref="Q27:Q33" si="4">O27*$R$26</f>
        <v>10.966636433967116</v>
      </c>
      <c r="R27" s="375"/>
    </row>
    <row r="28" spans="1:20" ht="16.5" hidden="1" customHeight="1" outlineLevel="1" x14ac:dyDescent="0.25">
      <c r="B28" s="126"/>
      <c r="C28" s="127"/>
      <c r="D28" s="107"/>
      <c r="E28" s="128"/>
      <c r="F28" s="128"/>
      <c r="G28" s="128"/>
      <c r="I28" s="232" t="s">
        <v>173</v>
      </c>
      <c r="J28" s="371"/>
      <c r="K28" s="371"/>
      <c r="L28" s="235">
        <f t="shared" si="1"/>
        <v>19560</v>
      </c>
      <c r="M28" s="239">
        <f>'12mos BA'!$H$59</f>
        <v>1630</v>
      </c>
      <c r="N28" s="240">
        <f>'12mos BA'!$J$59</f>
        <v>5.6547058079627819</v>
      </c>
      <c r="O28" s="241">
        <f>'12mos BA'!$I$59</f>
        <v>283.24172762562461</v>
      </c>
      <c r="P28" s="248">
        <f t="shared" si="2"/>
        <v>288.07928850418051</v>
      </c>
      <c r="Q28" s="248">
        <f t="shared" si="4"/>
        <v>4.837560878555899</v>
      </c>
      <c r="R28" s="375"/>
    </row>
    <row r="29" spans="1:20" ht="16.5" hidden="1" customHeight="1" outlineLevel="1" x14ac:dyDescent="0.25">
      <c r="B29" s="129">
        <v>3</v>
      </c>
      <c r="C29" s="127" t="s">
        <v>78</v>
      </c>
      <c r="D29" s="107" t="s">
        <v>79</v>
      </c>
      <c r="E29" s="128">
        <f>F29+G29</f>
        <v>11244570.374215554</v>
      </c>
      <c r="F29" s="128">
        <f>F27*E25</f>
        <v>4953233.2498419518</v>
      </c>
      <c r="G29" s="128">
        <f>E25*G27</f>
        <v>6291337.1243736027</v>
      </c>
      <c r="I29" s="232" t="s">
        <v>174</v>
      </c>
      <c r="J29" s="371"/>
      <c r="K29" s="371"/>
      <c r="L29" s="235">
        <f t="shared" si="1"/>
        <v>826176</v>
      </c>
      <c r="M29" s="239">
        <f>'12mos BA'!$H$71</f>
        <v>68848</v>
      </c>
      <c r="N29" s="240">
        <f>'12mos BA'!$J$71</f>
        <v>216.17680047225602</v>
      </c>
      <c r="O29" s="241">
        <f>'12mos BA'!$I$71</f>
        <v>9973.745708382572</v>
      </c>
      <c r="P29" s="248">
        <f t="shared" si="2"/>
        <v>10144.089966822165</v>
      </c>
      <c r="Q29" s="248">
        <f t="shared" si="4"/>
        <v>170.3442584395934</v>
      </c>
      <c r="R29" s="375"/>
    </row>
    <row r="30" spans="1:20" ht="16.5" hidden="1" customHeight="1" outlineLevel="1" x14ac:dyDescent="0.25">
      <c r="B30" s="126"/>
      <c r="C30" s="127"/>
      <c r="D30" s="107"/>
      <c r="E30" s="128"/>
      <c r="F30" s="128"/>
      <c r="G30" s="128"/>
      <c r="I30" s="232" t="s">
        <v>175</v>
      </c>
      <c r="J30" s="371"/>
      <c r="K30" s="371"/>
      <c r="L30" s="235">
        <f t="shared" si="1"/>
        <v>37781100</v>
      </c>
      <c r="M30" s="239">
        <f>'12mos BA'!$H$83</f>
        <v>3148425</v>
      </c>
      <c r="N30" s="242">
        <f>'12mos BA'!$J$83</f>
        <v>5411.0426630435077</v>
      </c>
      <c r="O30" s="241">
        <f>'12mos BA'!$I$83</f>
        <v>250003.87063858824</v>
      </c>
      <c r="P30" s="248">
        <f t="shared" si="2"/>
        <v>254273.75330816201</v>
      </c>
      <c r="Q30" s="248">
        <f t="shared" si="4"/>
        <v>4269.8826695737544</v>
      </c>
      <c r="R30" s="375"/>
    </row>
    <row r="31" spans="1:20" ht="16.5" hidden="1" customHeight="1" outlineLevel="1" x14ac:dyDescent="0.25">
      <c r="B31" s="126">
        <v>4</v>
      </c>
      <c r="C31" s="127" t="s">
        <v>80</v>
      </c>
      <c r="D31" s="172" t="s">
        <v>217</v>
      </c>
      <c r="E31" s="179">
        <f>'12mos BA'!$C$90</f>
        <v>653489895.13</v>
      </c>
      <c r="F31" s="179">
        <f>'12mos BA'!$C$16</f>
        <v>285128805.54000002</v>
      </c>
      <c r="G31" s="179">
        <f>+E31-F31</f>
        <v>368361089.58999997</v>
      </c>
      <c r="I31" s="232" t="s">
        <v>176</v>
      </c>
      <c r="J31" s="371"/>
      <c r="K31" s="371"/>
      <c r="L31" s="235">
        <f t="shared" si="1"/>
        <v>219096</v>
      </c>
      <c r="M31" s="239">
        <f>'12mos BA'!$H$87</f>
        <v>18258</v>
      </c>
      <c r="N31" s="240">
        <f>'12mos BA'!$J$87</f>
        <v>27.283333333333331</v>
      </c>
      <c r="O31" s="241">
        <f>'12mos BA'!$I$87</f>
        <v>2523.0262499999999</v>
      </c>
      <c r="P31" s="248">
        <f t="shared" si="2"/>
        <v>2566.1176870735017</v>
      </c>
      <c r="Q31" s="248">
        <f t="shared" si="4"/>
        <v>43.091437073501993</v>
      </c>
      <c r="R31" s="375"/>
    </row>
    <row r="32" spans="1:20" ht="16.5" hidden="1" customHeight="1" outlineLevel="1" x14ac:dyDescent="0.25">
      <c r="B32" s="132"/>
      <c r="C32" s="127"/>
      <c r="D32" s="107"/>
      <c r="E32" s="133" t="s">
        <v>0</v>
      </c>
      <c r="F32" s="133" t="s">
        <v>0</v>
      </c>
      <c r="G32" s="133" t="s">
        <v>0</v>
      </c>
      <c r="I32" s="232" t="s">
        <v>177</v>
      </c>
      <c r="J32" s="371"/>
      <c r="K32" s="371"/>
      <c r="L32" s="235">
        <f t="shared" si="1"/>
        <v>684</v>
      </c>
      <c r="M32" s="239">
        <f>'12mos BA'!$H$43</f>
        <v>57</v>
      </c>
      <c r="N32" s="240">
        <f>'12mos BA'!$J$43</f>
        <v>0</v>
      </c>
      <c r="O32" s="241">
        <f>'12mos BA'!$I$43</f>
        <v>16.453590070466735</v>
      </c>
      <c r="P32" s="248">
        <f t="shared" si="2"/>
        <v>16.734605316009549</v>
      </c>
      <c r="Q32" s="248">
        <f t="shared" si="4"/>
        <v>0.28101524554281376</v>
      </c>
      <c r="R32" s="375"/>
    </row>
    <row r="33" spans="1:20" ht="16.5" hidden="1" customHeight="1" outlineLevel="1" thickBot="1" x14ac:dyDescent="0.3">
      <c r="B33" s="134">
        <v>5</v>
      </c>
      <c r="C33" s="127" t="s">
        <v>81</v>
      </c>
      <c r="D33" s="107" t="s">
        <v>82</v>
      </c>
      <c r="E33" s="135">
        <f>E29/E31</f>
        <v>1.7206953708103857E-2</v>
      </c>
      <c r="F33" s="135">
        <f>F29/F31</f>
        <v>1.7371914564931864E-2</v>
      </c>
      <c r="G33" s="135">
        <f>G29/G31</f>
        <v>1.7079266247627029E-2</v>
      </c>
      <c r="I33" s="233" t="s">
        <v>178</v>
      </c>
      <c r="J33" s="372"/>
      <c r="K33" s="372"/>
      <c r="L33" s="243">
        <f t="shared" si="1"/>
        <v>660</v>
      </c>
      <c r="M33" s="244">
        <f>'12mos BA'!$H$85</f>
        <v>55</v>
      </c>
      <c r="N33" s="245">
        <f>'12mos BA'!$J$85</f>
        <v>0</v>
      </c>
      <c r="O33" s="246">
        <f>'12mos BA'!$I$85</f>
        <v>13.429364456567351</v>
      </c>
      <c r="P33" s="250">
        <f t="shared" si="2"/>
        <v>13.658728147657483</v>
      </c>
      <c r="Q33" s="250">
        <f t="shared" si="4"/>
        <v>0.22936369109013285</v>
      </c>
      <c r="R33" s="376"/>
    </row>
    <row r="34" spans="1:20" ht="16.5" hidden="1" customHeight="1" outlineLevel="1" x14ac:dyDescent="0.25">
      <c r="B34" s="134"/>
      <c r="C34" s="127"/>
      <c r="D34" s="107"/>
      <c r="E34" s="135"/>
      <c r="F34" s="135"/>
      <c r="G34" s="135"/>
    </row>
    <row r="35" spans="1:20" ht="16.5" hidden="1" customHeight="1" outlineLevel="1" x14ac:dyDescent="0.25">
      <c r="B35" s="126">
        <v>6</v>
      </c>
      <c r="C35" s="127" t="s">
        <v>213</v>
      </c>
      <c r="D35" s="107" t="s">
        <v>218</v>
      </c>
      <c r="E35" s="136"/>
      <c r="F35" s="136">
        <f>Q25</f>
        <v>3.1571114840924586</v>
      </c>
      <c r="G35" s="135"/>
      <c r="I35" s="107" t="s">
        <v>212</v>
      </c>
      <c r="J35" s="107"/>
      <c r="K35" s="107"/>
      <c r="L35" s="107"/>
    </row>
    <row r="36" spans="1:20" ht="16.5" hidden="1" customHeight="1" outlineLevel="1" x14ac:dyDescent="0.25">
      <c r="B36" s="126"/>
      <c r="C36" s="127"/>
      <c r="D36" s="107"/>
      <c r="E36" s="135"/>
      <c r="F36" s="135"/>
      <c r="G36" s="135"/>
      <c r="I36" s="107" t="s">
        <v>184</v>
      </c>
      <c r="J36" s="107"/>
      <c r="K36" s="107"/>
      <c r="L36" s="107"/>
    </row>
    <row r="37" spans="1:20" ht="16.5" hidden="1" customHeight="1" outlineLevel="1" x14ac:dyDescent="0.25">
      <c r="B37" s="129">
        <v>7</v>
      </c>
      <c r="C37" s="127" t="s">
        <v>214</v>
      </c>
      <c r="D37" s="107" t="s">
        <v>83</v>
      </c>
      <c r="E37" s="136"/>
      <c r="F37" s="136">
        <f>F35*12</f>
        <v>37.885337809109501</v>
      </c>
      <c r="G37" s="135"/>
    </row>
    <row r="38" spans="1:20" ht="16.5" hidden="1" customHeight="1" outlineLevel="1" thickBot="1" x14ac:dyDescent="0.3">
      <c r="B38" s="137"/>
      <c r="C38" s="138"/>
      <c r="D38" s="139"/>
      <c r="E38" s="138"/>
      <c r="F38" s="138"/>
      <c r="G38" s="138"/>
    </row>
    <row r="39" spans="1:20" hidden="1" outlineLevel="1" x14ac:dyDescent="0.25"/>
    <row r="40" spans="1:20" collapsed="1" x14ac:dyDescent="0.25"/>
    <row r="41" spans="1:20" s="344" customFormat="1" ht="15.75" x14ac:dyDescent="0.25">
      <c r="B41" s="345" t="s">
        <v>255</v>
      </c>
      <c r="C41" s="345"/>
      <c r="D41" s="345"/>
      <c r="E41" s="345"/>
      <c r="F41" s="345"/>
      <c r="G41" s="345"/>
      <c r="H41" s="345"/>
      <c r="I41" s="345"/>
      <c r="J41" s="345"/>
      <c r="K41" s="345"/>
      <c r="L41" s="345"/>
      <c r="M41" s="345"/>
      <c r="N41" s="345"/>
      <c r="O41" s="345"/>
      <c r="P41" s="345"/>
      <c r="Q41" s="345"/>
      <c r="R41" s="345"/>
    </row>
    <row r="42" spans="1:20" s="177" customFormat="1" ht="27.75" customHeight="1" thickBot="1" x14ac:dyDescent="0.3">
      <c r="B42" s="370" t="s">
        <v>183</v>
      </c>
      <c r="C42" s="370"/>
      <c r="D42" s="370"/>
      <c r="E42" s="370"/>
      <c r="F42" s="370"/>
      <c r="G42" s="370"/>
      <c r="I42" s="370" t="s">
        <v>203</v>
      </c>
      <c r="J42" s="370"/>
      <c r="K42" s="370"/>
      <c r="L42" s="370"/>
      <c r="M42" s="370"/>
      <c r="N42" s="370"/>
      <c r="O42" s="370"/>
      <c r="P42" s="370"/>
      <c r="Q42" s="370"/>
      <c r="R42" s="370"/>
    </row>
    <row r="43" spans="1:20" ht="15.75" thickBot="1" x14ac:dyDescent="0.3"/>
    <row r="44" spans="1:20" s="173" customFormat="1" ht="67.5" customHeight="1" thickBot="1" x14ac:dyDescent="0.3">
      <c r="B44" s="174" t="s">
        <v>179</v>
      </c>
      <c r="C44" s="175" t="s">
        <v>180</v>
      </c>
      <c r="D44" s="175" t="s">
        <v>181</v>
      </c>
      <c r="E44" s="175" t="s">
        <v>182</v>
      </c>
      <c r="F44" s="175" t="s">
        <v>52</v>
      </c>
      <c r="G44" s="176" t="s">
        <v>53</v>
      </c>
      <c r="I44" s="174" t="s">
        <v>169</v>
      </c>
      <c r="J44" s="175" t="s">
        <v>205</v>
      </c>
      <c r="K44" s="175" t="s">
        <v>204</v>
      </c>
      <c r="L44" s="175" t="s">
        <v>234</v>
      </c>
      <c r="M44" s="175" t="s">
        <v>206</v>
      </c>
      <c r="N44" s="175" t="s">
        <v>207</v>
      </c>
      <c r="O44" s="175" t="s">
        <v>208</v>
      </c>
      <c r="P44" s="175" t="s">
        <v>209</v>
      </c>
      <c r="Q44" s="175" t="s">
        <v>210</v>
      </c>
      <c r="R44" s="176" t="s">
        <v>211</v>
      </c>
    </row>
    <row r="45" spans="1:20" ht="16.5" customHeight="1" x14ac:dyDescent="0.25">
      <c r="A45" s="9">
        <v>2026</v>
      </c>
      <c r="B45" s="126">
        <v>1</v>
      </c>
      <c r="C45" s="127" t="s">
        <v>254</v>
      </c>
      <c r="D45" s="107" t="s">
        <v>257</v>
      </c>
      <c r="E45" s="128">
        <f>SUM('ELG Rev Req'!$AJ$9:$AJ$20)+Summary!O5</f>
        <v>8291160.978124721</v>
      </c>
      <c r="F45" s="128"/>
      <c r="G45" s="128"/>
      <c r="I45" s="231" t="s">
        <v>170</v>
      </c>
      <c r="J45" s="251">
        <f>$F$49</f>
        <v>3652256.4108639397</v>
      </c>
      <c r="K45" s="234">
        <f>$F$53</f>
        <v>1.2809145691004459E-2</v>
      </c>
      <c r="L45" s="235">
        <f>M45*12</f>
        <v>14268</v>
      </c>
      <c r="M45" s="236">
        <f>'12mos BA'!$H$16</f>
        <v>1189</v>
      </c>
      <c r="N45" s="237">
        <f>'12mos BA'!$J$16</f>
        <v>1.902374446511693E-2</v>
      </c>
      <c r="O45" s="238">
        <f>'12mos BA'!$I$16</f>
        <v>181.73653066804852</v>
      </c>
      <c r="P45" s="247">
        <f>+O45+Q45</f>
        <v>184.06442036675324</v>
      </c>
      <c r="Q45" s="247">
        <f t="shared" ref="Q45" si="5">O45*R45</f>
        <v>2.3278896987047335</v>
      </c>
      <c r="R45" s="249">
        <f>$F$53</f>
        <v>1.2809145691004459E-2</v>
      </c>
      <c r="S45" s="348"/>
      <c r="T45" s="347"/>
    </row>
    <row r="46" spans="1:20" ht="16.5" customHeight="1" x14ac:dyDescent="0.25">
      <c r="B46" s="126"/>
      <c r="C46" s="127"/>
      <c r="D46" s="107"/>
      <c r="E46" s="128"/>
      <c r="F46" s="128"/>
      <c r="G46" s="128"/>
      <c r="I46" s="232" t="s">
        <v>171</v>
      </c>
      <c r="J46" s="371">
        <f>$G$49</f>
        <v>4638904.5672607813</v>
      </c>
      <c r="K46" s="373">
        <f>$G$53</f>
        <v>1.259336205250142E-2</v>
      </c>
      <c r="L46" s="235">
        <f t="shared" ref="L46:L53" si="6">M46*12</f>
        <v>15156</v>
      </c>
      <c r="M46" s="239">
        <f>'12mos BA'!$H$55</f>
        <v>1263</v>
      </c>
      <c r="N46" s="240">
        <f>'12mos BA'!$J$55</f>
        <v>9.6082540706110085E-3</v>
      </c>
      <c r="O46" s="241">
        <f>'12mos BA'!$I$55</f>
        <v>221.33116234080319</v>
      </c>
      <c r="P46" s="248">
        <f t="shared" ref="P46:P53" si="7">+O46+Q46</f>
        <v>225.11133619131851</v>
      </c>
      <c r="Q46" s="248">
        <f>O46*$R$26</f>
        <v>3.7801738505153386</v>
      </c>
      <c r="R46" s="374">
        <f>$G$53</f>
        <v>1.259336205250142E-2</v>
      </c>
    </row>
    <row r="47" spans="1:20" ht="16.5" customHeight="1" x14ac:dyDescent="0.25">
      <c r="B47" s="129">
        <v>2</v>
      </c>
      <c r="C47" s="127" t="s">
        <v>77</v>
      </c>
      <c r="D47" s="107" t="s">
        <v>84</v>
      </c>
      <c r="E47" s="130">
        <f>F47+G47</f>
        <v>1</v>
      </c>
      <c r="F47" s="131">
        <v>0.4405</v>
      </c>
      <c r="G47" s="131">
        <v>0.5595</v>
      </c>
      <c r="I47" s="232" t="s">
        <v>172</v>
      </c>
      <c r="J47" s="371"/>
      <c r="K47" s="371"/>
      <c r="L47" s="235">
        <f t="shared" si="6"/>
        <v>50556</v>
      </c>
      <c r="M47" s="239">
        <f>'12mos BA'!$H$57</f>
        <v>4213</v>
      </c>
      <c r="N47" s="240">
        <f>'12mos BA'!$J$57</f>
        <v>1.8092570754717023</v>
      </c>
      <c r="O47" s="241">
        <f>'12mos BA'!$I$57</f>
        <v>642.10231721698267</v>
      </c>
      <c r="P47" s="248">
        <f t="shared" si="7"/>
        <v>653.06895365094977</v>
      </c>
      <c r="Q47" s="248">
        <f t="shared" ref="Q47:Q53" si="8">O47*$R$26</f>
        <v>10.966636433967116</v>
      </c>
      <c r="R47" s="375"/>
    </row>
    <row r="48" spans="1:20" ht="16.5" customHeight="1" x14ac:dyDescent="0.25">
      <c r="B48" s="126"/>
      <c r="C48" s="127"/>
      <c r="D48" s="107"/>
      <c r="E48" s="128"/>
      <c r="F48" s="128"/>
      <c r="G48" s="128"/>
      <c r="I48" s="232" t="s">
        <v>173</v>
      </c>
      <c r="J48" s="371"/>
      <c r="K48" s="371"/>
      <c r="L48" s="235">
        <f t="shared" si="6"/>
        <v>19560</v>
      </c>
      <c r="M48" s="239">
        <f>'12mos BA'!$H$59</f>
        <v>1630</v>
      </c>
      <c r="N48" s="240">
        <f>'12mos BA'!$J$59</f>
        <v>5.6547058079627819</v>
      </c>
      <c r="O48" s="241">
        <f>'12mos BA'!$I$59</f>
        <v>283.24172762562461</v>
      </c>
      <c r="P48" s="248">
        <f t="shared" si="7"/>
        <v>288.07928850418051</v>
      </c>
      <c r="Q48" s="248">
        <f t="shared" si="8"/>
        <v>4.837560878555899</v>
      </c>
      <c r="R48" s="375"/>
    </row>
    <row r="49" spans="2:20" ht="16.5" customHeight="1" x14ac:dyDescent="0.25">
      <c r="B49" s="129">
        <v>3</v>
      </c>
      <c r="C49" s="127" t="s">
        <v>78</v>
      </c>
      <c r="D49" s="107" t="s">
        <v>79</v>
      </c>
      <c r="E49" s="128">
        <f>F49+G49</f>
        <v>8291160.978124721</v>
      </c>
      <c r="F49" s="128">
        <f>F47*E45</f>
        <v>3652256.4108639397</v>
      </c>
      <c r="G49" s="128">
        <f>E45*G47</f>
        <v>4638904.5672607813</v>
      </c>
      <c r="I49" s="232" t="s">
        <v>174</v>
      </c>
      <c r="J49" s="371"/>
      <c r="K49" s="371"/>
      <c r="L49" s="235">
        <f t="shared" si="6"/>
        <v>826176</v>
      </c>
      <c r="M49" s="239">
        <f>'12mos BA'!$H$71</f>
        <v>68848</v>
      </c>
      <c r="N49" s="240">
        <f>'12mos BA'!$J$71</f>
        <v>216.17680047225602</v>
      </c>
      <c r="O49" s="241">
        <f>'12mos BA'!$I$71</f>
        <v>9973.745708382572</v>
      </c>
      <c r="P49" s="248">
        <f t="shared" si="7"/>
        <v>10144.089966822165</v>
      </c>
      <c r="Q49" s="248">
        <f t="shared" si="8"/>
        <v>170.3442584395934</v>
      </c>
      <c r="R49" s="375"/>
      <c r="S49" s="346"/>
      <c r="T49" s="347"/>
    </row>
    <row r="50" spans="2:20" ht="16.5" customHeight="1" x14ac:dyDescent="0.25">
      <c r="B50" s="126"/>
      <c r="C50" s="127"/>
      <c r="D50" s="107"/>
      <c r="E50" s="128"/>
      <c r="F50" s="128"/>
      <c r="G50" s="128"/>
      <c r="I50" s="232" t="s">
        <v>175</v>
      </c>
      <c r="J50" s="371"/>
      <c r="K50" s="371"/>
      <c r="L50" s="235">
        <f t="shared" si="6"/>
        <v>37781100</v>
      </c>
      <c r="M50" s="239">
        <f>'12mos BA'!$H$83</f>
        <v>3148425</v>
      </c>
      <c r="N50" s="242">
        <f>'12mos BA'!$J$83</f>
        <v>5411.0426630435077</v>
      </c>
      <c r="O50" s="241">
        <f>'12mos BA'!$I$83</f>
        <v>250003.87063858824</v>
      </c>
      <c r="P50" s="248">
        <f t="shared" si="7"/>
        <v>254273.75330816201</v>
      </c>
      <c r="Q50" s="248">
        <f t="shared" si="8"/>
        <v>4269.8826695737544</v>
      </c>
      <c r="R50" s="375"/>
    </row>
    <row r="51" spans="2:20" ht="16.5" customHeight="1" x14ac:dyDescent="0.25">
      <c r="B51" s="126">
        <v>4</v>
      </c>
      <c r="C51" s="127" t="s">
        <v>80</v>
      </c>
      <c r="D51" s="172" t="s">
        <v>217</v>
      </c>
      <c r="E51" s="179">
        <f>'12mos BA'!$C$90</f>
        <v>653489895.13</v>
      </c>
      <c r="F51" s="179">
        <f>'12mos BA'!$C$16</f>
        <v>285128805.54000002</v>
      </c>
      <c r="G51" s="179">
        <f>+E51-F51</f>
        <v>368361089.58999997</v>
      </c>
      <c r="I51" s="232" t="s">
        <v>176</v>
      </c>
      <c r="J51" s="371"/>
      <c r="K51" s="371"/>
      <c r="L51" s="235">
        <f t="shared" si="6"/>
        <v>219096</v>
      </c>
      <c r="M51" s="239">
        <f>'12mos BA'!$H$87</f>
        <v>18258</v>
      </c>
      <c r="N51" s="240">
        <f>'12mos BA'!$J$87</f>
        <v>27.283333333333331</v>
      </c>
      <c r="O51" s="241">
        <f>'12mos BA'!$I$87</f>
        <v>2523.0262499999999</v>
      </c>
      <c r="P51" s="248">
        <f t="shared" si="7"/>
        <v>2566.1176870735017</v>
      </c>
      <c r="Q51" s="248">
        <f t="shared" si="8"/>
        <v>43.091437073501993</v>
      </c>
      <c r="R51" s="375"/>
    </row>
    <row r="52" spans="2:20" ht="16.5" customHeight="1" x14ac:dyDescent="0.25">
      <c r="B52" s="132"/>
      <c r="C52" s="127"/>
      <c r="D52" s="107"/>
      <c r="E52" s="133" t="s">
        <v>0</v>
      </c>
      <c r="F52" s="133" t="s">
        <v>0</v>
      </c>
      <c r="G52" s="133" t="s">
        <v>0</v>
      </c>
      <c r="I52" s="232" t="s">
        <v>177</v>
      </c>
      <c r="J52" s="371"/>
      <c r="K52" s="371"/>
      <c r="L52" s="235">
        <f t="shared" si="6"/>
        <v>684</v>
      </c>
      <c r="M52" s="239">
        <f>'12mos BA'!$H$43</f>
        <v>57</v>
      </c>
      <c r="N52" s="240">
        <f>'12mos BA'!$J$43</f>
        <v>0</v>
      </c>
      <c r="O52" s="241">
        <f>'12mos BA'!$I$43</f>
        <v>16.453590070466735</v>
      </c>
      <c r="P52" s="248">
        <f t="shared" si="7"/>
        <v>16.734605316009549</v>
      </c>
      <c r="Q52" s="248">
        <f t="shared" si="8"/>
        <v>0.28101524554281376</v>
      </c>
      <c r="R52" s="375"/>
    </row>
    <row r="53" spans="2:20" ht="16.5" customHeight="1" thickBot="1" x14ac:dyDescent="0.3">
      <c r="B53" s="134">
        <v>5</v>
      </c>
      <c r="C53" s="127" t="s">
        <v>81</v>
      </c>
      <c r="D53" s="107" t="s">
        <v>82</v>
      </c>
      <c r="E53" s="135">
        <f>E49/E51</f>
        <v>1.2687512140452217E-2</v>
      </c>
      <c r="F53" s="135">
        <f>F49/F51</f>
        <v>1.2809145691004459E-2</v>
      </c>
      <c r="G53" s="135">
        <f>G49/G51</f>
        <v>1.259336205250142E-2</v>
      </c>
      <c r="I53" s="233" t="s">
        <v>178</v>
      </c>
      <c r="J53" s="372"/>
      <c r="K53" s="372"/>
      <c r="L53" s="243">
        <f t="shared" si="6"/>
        <v>660</v>
      </c>
      <c r="M53" s="244">
        <f>'12mos BA'!$H$85</f>
        <v>55</v>
      </c>
      <c r="N53" s="245">
        <f>'12mos BA'!$J$85</f>
        <v>0</v>
      </c>
      <c r="O53" s="246">
        <f>'12mos BA'!$I$85</f>
        <v>13.429364456567351</v>
      </c>
      <c r="P53" s="250">
        <f t="shared" si="7"/>
        <v>13.658728147657483</v>
      </c>
      <c r="Q53" s="250">
        <f t="shared" si="8"/>
        <v>0.22936369109013285</v>
      </c>
      <c r="R53" s="376"/>
    </row>
    <row r="54" spans="2:20" ht="16.5" customHeight="1" x14ac:dyDescent="0.25">
      <c r="B54" s="134"/>
      <c r="C54" s="127"/>
      <c r="D54" s="107"/>
      <c r="E54" s="135"/>
      <c r="F54" s="135"/>
      <c r="G54" s="135"/>
    </row>
    <row r="55" spans="2:20" ht="16.5" customHeight="1" x14ac:dyDescent="0.25">
      <c r="B55" s="126">
        <v>6</v>
      </c>
      <c r="C55" s="127" t="s">
        <v>213</v>
      </c>
      <c r="D55" s="107" t="s">
        <v>218</v>
      </c>
      <c r="E55" s="136"/>
      <c r="F55" s="136">
        <f>Q45</f>
        <v>2.3278896987047335</v>
      </c>
      <c r="G55" s="135"/>
      <c r="I55" s="107" t="s">
        <v>212</v>
      </c>
      <c r="J55" s="107"/>
      <c r="K55" s="107"/>
      <c r="L55" s="107"/>
    </row>
    <row r="56" spans="2:20" ht="16.5" customHeight="1" x14ac:dyDescent="0.25">
      <c r="B56" s="126"/>
      <c r="C56" s="127"/>
      <c r="D56" s="107"/>
      <c r="E56" s="135"/>
      <c r="F56" s="135"/>
      <c r="G56" s="135"/>
      <c r="I56" s="107" t="s">
        <v>184</v>
      </c>
      <c r="J56" s="107"/>
      <c r="K56" s="107"/>
      <c r="L56" s="107"/>
    </row>
    <row r="57" spans="2:20" ht="16.5" customHeight="1" x14ac:dyDescent="0.25">
      <c r="B57" s="129">
        <v>7</v>
      </c>
      <c r="C57" s="127" t="s">
        <v>214</v>
      </c>
      <c r="D57" s="107" t="s">
        <v>83</v>
      </c>
      <c r="E57" s="136"/>
      <c r="F57" s="136">
        <f>F55*12</f>
        <v>27.9346763844568</v>
      </c>
      <c r="G57" s="135"/>
    </row>
    <row r="58" spans="2:20" ht="16.5" customHeight="1" thickBot="1" x14ac:dyDescent="0.3">
      <c r="B58" s="137"/>
      <c r="C58" s="138"/>
      <c r="D58" s="139"/>
      <c r="E58" s="138"/>
      <c r="F58" s="138"/>
      <c r="G58" s="138"/>
    </row>
  </sheetData>
  <mergeCells count="17">
    <mergeCell ref="B42:G42"/>
    <mergeCell ref="I42:R42"/>
    <mergeCell ref="J46:J53"/>
    <mergeCell ref="K46:K53"/>
    <mergeCell ref="R46:R53"/>
    <mergeCell ref="B22:G22"/>
    <mergeCell ref="J26:J33"/>
    <mergeCell ref="K26:K33"/>
    <mergeCell ref="I22:R22"/>
    <mergeCell ref="R26:R33"/>
    <mergeCell ref="A19:B19"/>
    <mergeCell ref="B2:G2"/>
    <mergeCell ref="I2:R2"/>
    <mergeCell ref="A3:B3"/>
    <mergeCell ref="J6:J13"/>
    <mergeCell ref="K6:K13"/>
    <mergeCell ref="R6:R13"/>
  </mergeCells>
  <pageMargins left="0.7" right="0.7" top="0.75" bottom="0.75" header="0.3" footer="0.3"/>
  <pageSetup scale="4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17227-EDDB-4E55-B12D-1D01CBF9C86C}">
  <dimension ref="B1:S19"/>
  <sheetViews>
    <sheetView zoomScale="79" workbookViewId="0">
      <selection activeCell="O5" sqref="O5"/>
    </sheetView>
  </sheetViews>
  <sheetFormatPr defaultColWidth="9.140625" defaultRowHeight="12.75" x14ac:dyDescent="0.2"/>
  <cols>
    <col min="1" max="1" width="3.28515625" style="9" customWidth="1"/>
    <col min="2" max="2" width="9.28515625" style="277" bestFit="1" customWidth="1"/>
    <col min="3" max="3" width="12.140625" style="9" bestFit="1" customWidth="1"/>
    <col min="4" max="4" width="13.42578125" style="9" customWidth="1"/>
    <col min="5" max="5" width="17" style="9" customWidth="1"/>
    <col min="6" max="6" width="9.140625" style="9"/>
    <col min="7" max="7" width="17" style="9" customWidth="1"/>
    <col min="8" max="9" width="12.140625" style="9" bestFit="1" customWidth="1"/>
    <col min="10" max="10" width="9.140625" style="9"/>
    <col min="11" max="11" width="17" style="9" customWidth="1"/>
    <col min="12" max="13" width="12.140625" style="9" bestFit="1" customWidth="1"/>
    <col min="14" max="14" width="9.140625" style="9"/>
    <col min="15" max="15" width="13.5703125" style="9" customWidth="1"/>
    <col min="16" max="16" width="12.5703125" style="9" bestFit="1" customWidth="1"/>
    <col min="17" max="17" width="14.28515625" style="9" bestFit="1" customWidth="1"/>
    <col min="18" max="18" width="15" style="9" customWidth="1"/>
    <col min="19" max="19" width="17" style="9" customWidth="1"/>
    <col min="20" max="16384" width="9.140625" style="9"/>
  </cols>
  <sheetData>
    <row r="1" spans="2:19" ht="13.5" thickBot="1" x14ac:dyDescent="0.25"/>
    <row r="2" spans="2:19" ht="15.75" customHeight="1" thickBot="1" x14ac:dyDescent="0.25">
      <c r="G2" s="397" t="s">
        <v>237</v>
      </c>
      <c r="H2" s="398"/>
      <c r="I2" s="399"/>
      <c r="K2" s="397" t="s">
        <v>238</v>
      </c>
      <c r="L2" s="398"/>
      <c r="M2" s="399"/>
      <c r="O2" s="397" t="s">
        <v>241</v>
      </c>
      <c r="P2" s="398"/>
      <c r="Q2" s="398"/>
      <c r="R2" s="398"/>
      <c r="S2" s="399"/>
    </row>
    <row r="3" spans="2:19" x14ac:dyDescent="0.2">
      <c r="B3" s="290"/>
      <c r="C3" s="153"/>
      <c r="D3" s="153"/>
      <c r="E3" s="155"/>
      <c r="G3" s="187"/>
      <c r="H3" s="279">
        <f>'Retail Impact'!$F$27</f>
        <v>0.4405</v>
      </c>
      <c r="I3" s="300">
        <f>'Retail Impact'!$G$27</f>
        <v>0.5595</v>
      </c>
      <c r="K3" s="187"/>
      <c r="L3" s="279">
        <f>'Retail Impact'!$F$27</f>
        <v>0.4405</v>
      </c>
      <c r="M3" s="300">
        <f>'Retail Impact'!$G$27</f>
        <v>0.5595</v>
      </c>
      <c r="O3" s="187"/>
      <c r="P3" s="279">
        <f>'Retail Impact'!$F$27</f>
        <v>0.4405</v>
      </c>
      <c r="Q3" s="280">
        <f>'Retail Impact'!$F$31</f>
        <v>285128805.54000002</v>
      </c>
      <c r="R3" s="279">
        <f>'Retail Impact'!$G$27</f>
        <v>0.5595</v>
      </c>
      <c r="S3" s="281">
        <f>'Retail Impact'!$G$31</f>
        <v>368361089.58999997</v>
      </c>
    </row>
    <row r="4" spans="2:19" s="36" customFormat="1" ht="34.5" customHeight="1" x14ac:dyDescent="0.2">
      <c r="B4" s="282" t="s">
        <v>7</v>
      </c>
      <c r="C4" s="278" t="s">
        <v>248</v>
      </c>
      <c r="D4" s="278" t="s">
        <v>249</v>
      </c>
      <c r="E4" s="283" t="s">
        <v>242</v>
      </c>
      <c r="G4" s="282" t="s">
        <v>243</v>
      </c>
      <c r="H4" s="278" t="s">
        <v>245</v>
      </c>
      <c r="I4" s="283" t="s">
        <v>246</v>
      </c>
      <c r="K4" s="282" t="s">
        <v>244</v>
      </c>
      <c r="L4" s="278" t="s">
        <v>245</v>
      </c>
      <c r="M4" s="283" t="s">
        <v>246</v>
      </c>
      <c r="O4" s="282" t="s">
        <v>250</v>
      </c>
      <c r="P4" s="278" t="s">
        <v>245</v>
      </c>
      <c r="Q4" s="278" t="s">
        <v>247</v>
      </c>
      <c r="R4" s="278" t="s">
        <v>246</v>
      </c>
      <c r="S4" s="283" t="s">
        <v>251</v>
      </c>
    </row>
    <row r="5" spans="2:19" x14ac:dyDescent="0.2">
      <c r="B5" s="291">
        <v>2026</v>
      </c>
      <c r="C5" s="292" cm="1">
        <f t="array" ref="C5">SUM(IF('Current CCR Est Rev Req'!$D$26:$D$61=Summary!B5,'Current CCR Est Rev Req'!$AB$26:$AB$61))</f>
        <v>5175136.8422992574</v>
      </c>
      <c r="D5" s="292" cm="1">
        <f t="array" ref="D5">SUM(IF('Modified CCR Est Rev Req'!$D$26:$D$205=Summary!B5,'Modified CCR Est Rev Req'!$AB$26:$AB$205))</f>
        <v>2221727.446208423</v>
      </c>
      <c r="E5" s="293" cm="1">
        <f t="array" ref="E5">SUM(IF('ELG Rev Req'!$D$9:$D$188=Summary!B5,'ELG Rev Req'!$AJ$9:$AJ$188))</f>
        <v>11244570.374215554</v>
      </c>
      <c r="G5" s="284">
        <f t="shared" ref="G5:G19" si="0">+E5+C5</f>
        <v>16419707.216514811</v>
      </c>
      <c r="H5" s="285">
        <f>G5*$H$3</f>
        <v>7232881.0288747745</v>
      </c>
      <c r="I5" s="299">
        <f t="shared" ref="I5:I19" si="1">G5*$I$3</f>
        <v>9186826.1876400374</v>
      </c>
      <c r="K5" s="284">
        <f t="shared" ref="K5:K19" si="2">+E5+D5</f>
        <v>13466297.820423977</v>
      </c>
      <c r="L5" s="285">
        <f>$L$3*K5</f>
        <v>5931904.1898967624</v>
      </c>
      <c r="M5" s="293">
        <f t="shared" ref="M5:M19" si="3">+K5*$M$3</f>
        <v>7534393.6305272151</v>
      </c>
      <c r="O5" s="284">
        <f t="shared" ref="O5:O19" si="4">+K5-G5</f>
        <v>-2953409.3960908335</v>
      </c>
      <c r="P5" s="292">
        <f>+O5*$P$3</f>
        <v>-1300976.8389780121</v>
      </c>
      <c r="Q5" s="286">
        <f>+P5/$Q$3</f>
        <v>-4.5627688739274053E-3</v>
      </c>
      <c r="R5" s="292">
        <f>+O5*$R$3</f>
        <v>-1652432.5571128214</v>
      </c>
      <c r="S5" s="297">
        <f>+R5/$S$3</f>
        <v>-4.4859041951256099E-3</v>
      </c>
    </row>
    <row r="6" spans="2:19" x14ac:dyDescent="0.2">
      <c r="B6" s="291">
        <v>2027</v>
      </c>
      <c r="C6" s="292" cm="1">
        <f t="array" ref="C6">SUM(IF('Current CCR Est Rev Req'!$D$26:$D$61=Summary!B6,'Current CCR Est Rev Req'!$AB$26:$AB$61))</f>
        <v>4891782.8515434228</v>
      </c>
      <c r="D6" s="292" cm="1">
        <f t="array" ref="D6">SUM(IF('Modified CCR Est Rev Req'!$D$26:$D$205=Summary!B6,'Modified CCR Est Rev Req'!$AB$26:$AB$205))</f>
        <v>2135650.560000923</v>
      </c>
      <c r="E6" s="293" cm="1">
        <f t="array" ref="E6">SUM(IF('ELG Rev Req'!$D$9:$D$188=Summary!B6,'ELG Rev Req'!$AJ$9:$AJ$188))</f>
        <v>10905683.289667219</v>
      </c>
      <c r="G6" s="284">
        <f t="shared" si="0"/>
        <v>15797466.141210642</v>
      </c>
      <c r="H6" s="285">
        <f t="shared" ref="H6:H19" si="5">G6*$H$3</f>
        <v>6958783.8352032881</v>
      </c>
      <c r="I6" s="299">
        <f t="shared" si="1"/>
        <v>8838682.3060073536</v>
      </c>
      <c r="K6" s="284">
        <f t="shared" si="2"/>
        <v>13041333.849668141</v>
      </c>
      <c r="L6" s="285">
        <f t="shared" ref="L6:L19" si="6">$L$3*K6</f>
        <v>5744707.5607788162</v>
      </c>
      <c r="M6" s="293">
        <f t="shared" si="3"/>
        <v>7296626.2888893252</v>
      </c>
      <c r="O6" s="284">
        <f t="shared" si="4"/>
        <v>-2756132.2915425003</v>
      </c>
      <c r="P6" s="292">
        <f t="shared" ref="P6:P19" si="7">+O6*$P$3</f>
        <v>-1214076.2744244714</v>
      </c>
      <c r="Q6" s="286">
        <f t="shared" ref="Q6:Q19" si="8">+P6/$Q$3</f>
        <v>-4.2579923558588037E-3</v>
      </c>
      <c r="R6" s="292">
        <f t="shared" ref="R6:R19" si="9">+O6*$R$3</f>
        <v>-1542056.0171180288</v>
      </c>
      <c r="S6" s="297">
        <f t="shared" ref="S6:S19" si="10">+R6/$S$3</f>
        <v>-4.1862619606060896E-3</v>
      </c>
    </row>
    <row r="7" spans="2:19" x14ac:dyDescent="0.2">
      <c r="B7" s="291">
        <v>2028</v>
      </c>
      <c r="C7" s="292" cm="1">
        <f t="array" ref="C7">SUM(IF('Current CCR Est Rev Req'!$D$26:$D$61=Summary!B7,'Current CCR Est Rev Req'!$AB$26:$AB$61))</f>
        <v>4610096.4764250889</v>
      </c>
      <c r="D7" s="292" cm="1">
        <f t="array" ref="D7">SUM(IF('Modified CCR Est Rev Req'!$D$26:$D$205=Summary!B7,'Modified CCR Est Rev Req'!$AB$26:$AB$205))</f>
        <v>2051241.2829000894</v>
      </c>
      <c r="E7" s="293" cm="1">
        <f t="array" ref="E7">SUM(IF('ELG Rev Req'!$D$9:$D$188=Summary!B7,'ELG Rev Req'!$AJ$9:$AJ$188))</f>
        <v>10470428.246878052</v>
      </c>
      <c r="G7" s="284">
        <f t="shared" si="0"/>
        <v>15080524.723303141</v>
      </c>
      <c r="H7" s="285">
        <f t="shared" si="5"/>
        <v>6642971.1406150339</v>
      </c>
      <c r="I7" s="299">
        <f t="shared" si="1"/>
        <v>8437553.5826881081</v>
      </c>
      <c r="K7" s="284">
        <f t="shared" si="2"/>
        <v>12521669.529778142</v>
      </c>
      <c r="L7" s="285">
        <f t="shared" si="6"/>
        <v>5515795.427867271</v>
      </c>
      <c r="M7" s="293">
        <f t="shared" si="3"/>
        <v>7005874.1019108705</v>
      </c>
      <c r="O7" s="284">
        <f t="shared" si="4"/>
        <v>-2558855.1935249995</v>
      </c>
      <c r="P7" s="292">
        <f t="shared" si="7"/>
        <v>-1127175.7127477622</v>
      </c>
      <c r="Q7" s="286">
        <f t="shared" si="8"/>
        <v>-3.9532158478797876E-3</v>
      </c>
      <c r="R7" s="292">
        <f t="shared" si="9"/>
        <v>-1431679.4807772373</v>
      </c>
      <c r="S7" s="297">
        <f t="shared" si="10"/>
        <v>-3.8866197360061874E-3</v>
      </c>
    </row>
    <row r="8" spans="2:19" x14ac:dyDescent="0.2">
      <c r="B8" s="291">
        <v>2029</v>
      </c>
      <c r="C8" s="292" cm="1">
        <f t="array" ref="C8">SUM(IF('Current CCR Est Rev Req'!$D$26:$D$61=Summary!B8,'Current CCR Est Rev Req'!$AB$26:$AB$61))</f>
        <v>0</v>
      </c>
      <c r="D8" s="292" cm="1">
        <f t="array" ref="D8">SUM(IF('Modified CCR Est Rev Req'!$D$26:$D$205=Summary!B8,'Modified CCR Est Rev Req'!$AB$26:$AB$205))</f>
        <v>1968374.6931259227</v>
      </c>
      <c r="E8" s="293" cm="1">
        <f t="array" ref="E8">SUM(IF('ELG Rev Req'!$D$9:$D$188=Summary!B8,'ELG Rev Req'!$AJ$9:$AJ$188))</f>
        <v>10076128.091808053</v>
      </c>
      <c r="G8" s="284">
        <f t="shared" si="0"/>
        <v>10076128.091808053</v>
      </c>
      <c r="H8" s="285">
        <f t="shared" si="5"/>
        <v>4438534.4244414475</v>
      </c>
      <c r="I8" s="299">
        <f t="shared" si="1"/>
        <v>5637593.6673666053</v>
      </c>
      <c r="K8" s="284">
        <f t="shared" si="2"/>
        <v>12044502.784933975</v>
      </c>
      <c r="L8" s="285">
        <f t="shared" si="6"/>
        <v>5305603.4767634161</v>
      </c>
      <c r="M8" s="293">
        <f t="shared" si="3"/>
        <v>6738899.3081705589</v>
      </c>
      <c r="O8" s="284">
        <f t="shared" si="4"/>
        <v>1968374.6931259222</v>
      </c>
      <c r="P8" s="292">
        <f t="shared" si="7"/>
        <v>867069.05232196872</v>
      </c>
      <c r="Q8" s="286">
        <f t="shared" si="8"/>
        <v>3.0409731864160239E-3</v>
      </c>
      <c r="R8" s="292">
        <f t="shared" si="9"/>
        <v>1101305.6408039534</v>
      </c>
      <c r="S8" s="297">
        <f t="shared" si="10"/>
        <v>2.9897447692690585E-3</v>
      </c>
    </row>
    <row r="9" spans="2:19" x14ac:dyDescent="0.2">
      <c r="B9" s="291">
        <v>2030</v>
      </c>
      <c r="C9" s="292" cm="1">
        <f t="array" ref="C9">SUM(IF('Current CCR Est Rev Req'!$D$26:$D$61=Summary!B9,'Current CCR Est Rev Req'!$AB$26:$AB$61))</f>
        <v>0</v>
      </c>
      <c r="D9" s="292" cm="1">
        <f t="array" ref="D9">SUM(IF('Modified CCR Est Rev Req'!$D$26:$D$205=Summary!B9,'Modified CCR Est Rev Req'!$AB$26:$AB$205))</f>
        <v>1886935.2341134232</v>
      </c>
      <c r="E9" s="293" cm="1">
        <f t="array" ref="E9">SUM(IF('ELG Rev Req'!$D$9:$D$188=Summary!B9,'ELG Rev Req'!$AJ$9:$AJ$188))</f>
        <v>9746424.6408905499</v>
      </c>
      <c r="G9" s="284">
        <f t="shared" si="0"/>
        <v>9746424.6408905499</v>
      </c>
      <c r="H9" s="285">
        <f t="shared" si="5"/>
        <v>4293300.0543122869</v>
      </c>
      <c r="I9" s="299">
        <f t="shared" si="1"/>
        <v>5453124.586578263</v>
      </c>
      <c r="K9" s="284">
        <f t="shared" si="2"/>
        <v>11633359.875003973</v>
      </c>
      <c r="L9" s="285">
        <f t="shared" si="6"/>
        <v>5124495.0249392502</v>
      </c>
      <c r="M9" s="293">
        <f t="shared" si="3"/>
        <v>6508864.8500647228</v>
      </c>
      <c r="O9" s="284">
        <f t="shared" si="4"/>
        <v>1886935.2341134232</v>
      </c>
      <c r="P9" s="292">
        <f t="shared" si="7"/>
        <v>831194.97062696295</v>
      </c>
      <c r="Q9" s="286">
        <f t="shared" si="8"/>
        <v>2.9151560785055674E-3</v>
      </c>
      <c r="R9" s="292">
        <f t="shared" si="9"/>
        <v>1055740.2634864603</v>
      </c>
      <c r="S9" s="297">
        <f t="shared" si="10"/>
        <v>2.8660471839236324E-3</v>
      </c>
    </row>
    <row r="10" spans="2:19" x14ac:dyDescent="0.2">
      <c r="B10" s="291">
        <v>2031</v>
      </c>
      <c r="C10" s="292" cm="1">
        <f t="array" ref="C10">SUM(IF('Current CCR Est Rev Req'!$D$26:$D$61=Summary!B10,'Current CCR Est Rev Req'!$AB$26:$AB$61))</f>
        <v>0</v>
      </c>
      <c r="D10" s="292" cm="1">
        <f t="array" ref="D10">SUM(IF('Modified CCR Est Rev Req'!$D$26:$D$205=Summary!B10,'Modified CCR Est Rev Req'!$AB$26:$AB$205))</f>
        <v>1806815.336506756</v>
      </c>
      <c r="E10" s="293" cm="1">
        <f t="array" ref="E10">SUM(IF('ELG Rev Req'!$D$9:$D$188=Summary!B10,'ELG Rev Req'!$AJ$9:$AJ$188))</f>
        <v>9324907.7350155525</v>
      </c>
      <c r="G10" s="284">
        <f t="shared" si="0"/>
        <v>9324907.7350155525</v>
      </c>
      <c r="H10" s="285">
        <f t="shared" si="5"/>
        <v>4107621.8572743507</v>
      </c>
      <c r="I10" s="299">
        <f t="shared" si="1"/>
        <v>5217285.8777412018</v>
      </c>
      <c r="K10" s="284">
        <f t="shared" si="2"/>
        <v>11131723.071522309</v>
      </c>
      <c r="L10" s="285">
        <f t="shared" si="6"/>
        <v>4903524.013005577</v>
      </c>
      <c r="M10" s="293">
        <f t="shared" si="3"/>
        <v>6228199.0585167315</v>
      </c>
      <c r="O10" s="284">
        <f t="shared" si="4"/>
        <v>1806815.336506756</v>
      </c>
      <c r="P10" s="292">
        <f t="shared" si="7"/>
        <v>795902.15573122608</v>
      </c>
      <c r="Q10" s="286">
        <f t="shared" si="8"/>
        <v>2.7913775818752587E-3</v>
      </c>
      <c r="R10" s="292">
        <f t="shared" si="9"/>
        <v>1010913.1807755299</v>
      </c>
      <c r="S10" s="297">
        <f t="shared" si="10"/>
        <v>2.7443538672901504E-3</v>
      </c>
    </row>
    <row r="11" spans="2:19" x14ac:dyDescent="0.2">
      <c r="B11" s="291">
        <v>2032</v>
      </c>
      <c r="C11" s="292" cm="1">
        <f t="array" ref="C11">SUM(IF('Current CCR Est Rev Req'!$D$26:$D$61=Summary!B11,'Current CCR Est Rev Req'!$AB$26:$AB$61))</f>
        <v>0</v>
      </c>
      <c r="D11" s="292" cm="1">
        <f t="array" ref="D11">SUM(IF('Modified CCR Est Rev Req'!$D$26:$D$205=Summary!B11,'Modified CCR Est Rev Req'!$AB$26:$AB$205))</f>
        <v>1727390.397936756</v>
      </c>
      <c r="E11" s="293" cm="1">
        <f t="array" ref="E11">SUM(IF('ELG Rev Req'!$D$9:$D$188=Summary!B11,'ELG Rev Req'!$AJ$9:$AJ$188))</f>
        <v>8955323.2332597189</v>
      </c>
      <c r="G11" s="284">
        <f t="shared" si="0"/>
        <v>8955323.2332597189</v>
      </c>
      <c r="H11" s="285">
        <f t="shared" si="5"/>
        <v>3944819.8842509063</v>
      </c>
      <c r="I11" s="299">
        <f t="shared" si="1"/>
        <v>5010503.3490088126</v>
      </c>
      <c r="K11" s="284">
        <f t="shared" si="2"/>
        <v>10682713.631196475</v>
      </c>
      <c r="L11" s="285">
        <f t="shared" si="6"/>
        <v>4705735.3545420468</v>
      </c>
      <c r="M11" s="293">
        <f t="shared" si="3"/>
        <v>5976978.2766544279</v>
      </c>
      <c r="O11" s="284">
        <f t="shared" si="4"/>
        <v>1727390.3979367558</v>
      </c>
      <c r="P11" s="292">
        <f t="shared" si="7"/>
        <v>760915.47029114095</v>
      </c>
      <c r="Q11" s="286">
        <f t="shared" si="8"/>
        <v>2.6686727384490584E-3</v>
      </c>
      <c r="R11" s="292">
        <f t="shared" si="9"/>
        <v>966474.92764561484</v>
      </c>
      <c r="S11" s="297">
        <f t="shared" si="10"/>
        <v>2.6237161170343439E-3</v>
      </c>
    </row>
    <row r="12" spans="2:19" x14ac:dyDescent="0.2">
      <c r="B12" s="291">
        <v>2033</v>
      </c>
      <c r="C12" s="292" cm="1">
        <f t="array" ref="C12">SUM(IF('Current CCR Est Rev Req'!$D$26:$D$61=Summary!B12,'Current CCR Est Rev Req'!$AB$26:$AB$61))</f>
        <v>0</v>
      </c>
      <c r="D12" s="292" cm="1">
        <f t="array" ref="D12">SUM(IF('Modified CCR Est Rev Req'!$D$26:$D$205=Summary!B12,'Modified CCR Est Rev Req'!$AB$26:$AB$205))</f>
        <v>1648062.7949067559</v>
      </c>
      <c r="E12" s="293" cm="1">
        <f t="array" ref="E12">SUM(IF('ELG Rev Req'!$D$9:$D$188=Summary!B12,'ELG Rev Req'!$AJ$9:$AJ$188))</f>
        <v>8589355.3502638862</v>
      </c>
      <c r="G12" s="284">
        <f t="shared" si="0"/>
        <v>8589355.3502638862</v>
      </c>
      <c r="H12" s="285">
        <f t="shared" si="5"/>
        <v>3783611.0317912418</v>
      </c>
      <c r="I12" s="299">
        <f t="shared" si="1"/>
        <v>4805744.3184726443</v>
      </c>
      <c r="K12" s="284">
        <f t="shared" si="2"/>
        <v>10237418.145170642</v>
      </c>
      <c r="L12" s="285">
        <f t="shared" si="6"/>
        <v>4509582.692947668</v>
      </c>
      <c r="M12" s="293">
        <f t="shared" si="3"/>
        <v>5727835.452222974</v>
      </c>
      <c r="O12" s="284">
        <f t="shared" si="4"/>
        <v>1648062.7949067559</v>
      </c>
      <c r="P12" s="292">
        <f t="shared" si="7"/>
        <v>725971.66115642595</v>
      </c>
      <c r="Q12" s="286">
        <f t="shared" si="8"/>
        <v>2.5461182702376283E-3</v>
      </c>
      <c r="R12" s="292">
        <f t="shared" si="9"/>
        <v>922091.13375032996</v>
      </c>
      <c r="S12" s="297">
        <f t="shared" si="10"/>
        <v>2.503226208763398E-3</v>
      </c>
    </row>
    <row r="13" spans="2:19" x14ac:dyDescent="0.2">
      <c r="B13" s="291">
        <v>2034</v>
      </c>
      <c r="C13" s="292" cm="1">
        <f t="array" ref="C13">SUM(IF('Current CCR Est Rev Req'!$D$26:$D$61=Summary!B13,'Current CCR Est Rev Req'!$AB$26:$AB$61))</f>
        <v>0</v>
      </c>
      <c r="D13" s="292" cm="1">
        <f t="array" ref="D13">SUM(IF('Modified CCR Est Rev Req'!$D$26:$D$205=Summary!B13,'Modified CCR Est Rev Req'!$AB$26:$AB$205))</f>
        <v>1568734.8979892563</v>
      </c>
      <c r="E13" s="293" cm="1">
        <f t="array" ref="E13">SUM(IF('ELG Rev Req'!$D$9:$D$188=Summary!B13,'ELG Rev Req'!$AJ$9:$AJ$188))</f>
        <v>8225292.3088955516</v>
      </c>
      <c r="G13" s="284">
        <f t="shared" si="0"/>
        <v>8225292.3088955516</v>
      </c>
      <c r="H13" s="285">
        <f t="shared" si="5"/>
        <v>3623241.2620684905</v>
      </c>
      <c r="I13" s="299">
        <f t="shared" si="1"/>
        <v>4602051.0468270611</v>
      </c>
      <c r="K13" s="284">
        <f t="shared" si="2"/>
        <v>9794027.2068848088</v>
      </c>
      <c r="L13" s="285">
        <f t="shared" si="6"/>
        <v>4314268.9846327584</v>
      </c>
      <c r="M13" s="293">
        <f t="shared" si="3"/>
        <v>5479758.2222520504</v>
      </c>
      <c r="O13" s="284">
        <f t="shared" si="4"/>
        <v>1568734.8979892572</v>
      </c>
      <c r="P13" s="292">
        <f t="shared" si="7"/>
        <v>691027.72256426781</v>
      </c>
      <c r="Q13" s="286">
        <f t="shared" si="8"/>
        <v>2.4235633479947546E-3</v>
      </c>
      <c r="R13" s="292">
        <f t="shared" si="9"/>
        <v>877707.17542498943</v>
      </c>
      <c r="S13" s="297">
        <f t="shared" si="10"/>
        <v>2.3827358541096489E-3</v>
      </c>
    </row>
    <row r="14" spans="2:19" x14ac:dyDescent="0.2">
      <c r="B14" s="291">
        <v>2035</v>
      </c>
      <c r="C14" s="292" cm="1">
        <f t="array" ref="C14">SUM(IF('Current CCR Est Rev Req'!$D$26:$D$61=Summary!B14,'Current CCR Est Rev Req'!$AB$26:$AB$61))</f>
        <v>0</v>
      </c>
      <c r="D14" s="292" cm="1">
        <f t="array" ref="D14">SUM(IF('Modified CCR Est Rev Req'!$D$26:$D$205=Summary!B14,'Modified CCR Est Rev Req'!$AB$26:$AB$205))</f>
        <v>1489407.2884284225</v>
      </c>
      <c r="E14" s="293" cm="1">
        <f t="array" ref="E14">SUM(IF('ELG Rev Req'!$D$9:$D$188=Summary!B14,'ELG Rev Req'!$AJ$9:$AJ$188))</f>
        <v>7861496.0520688845</v>
      </c>
      <c r="G14" s="284">
        <f t="shared" si="0"/>
        <v>7861496.0520688845</v>
      </c>
      <c r="H14" s="285">
        <f t="shared" si="5"/>
        <v>3462989.0109363436</v>
      </c>
      <c r="I14" s="299">
        <f t="shared" si="1"/>
        <v>4398507.0411325404</v>
      </c>
      <c r="K14" s="284">
        <f t="shared" si="2"/>
        <v>9350903.3404973075</v>
      </c>
      <c r="L14" s="285">
        <f t="shared" si="6"/>
        <v>4119072.9214890641</v>
      </c>
      <c r="M14" s="293">
        <f t="shared" si="3"/>
        <v>5231830.4190082438</v>
      </c>
      <c r="O14" s="284">
        <f t="shared" si="4"/>
        <v>1489407.288428423</v>
      </c>
      <c r="P14" s="292">
        <f t="shared" si="7"/>
        <v>656083.91055272031</v>
      </c>
      <c r="Q14" s="286">
        <f t="shared" si="8"/>
        <v>2.3010088696937352E-3</v>
      </c>
      <c r="R14" s="292">
        <f t="shared" si="9"/>
        <v>833323.37787570269</v>
      </c>
      <c r="S14" s="297">
        <f t="shared" si="10"/>
        <v>2.2622459359190831E-3</v>
      </c>
    </row>
    <row r="15" spans="2:19" x14ac:dyDescent="0.2">
      <c r="B15" s="291">
        <v>2036</v>
      </c>
      <c r="C15" s="292" cm="1">
        <f t="array" ref="C15">SUM(IF('Current CCR Est Rev Req'!$D$26:$D$61=Summary!B15,'Current CCR Est Rev Req'!$AB$26:$AB$61))</f>
        <v>0</v>
      </c>
      <c r="D15" s="292" cm="1">
        <f t="array" ref="D15">SUM(IF('Modified CCR Est Rev Req'!$D$26:$D$205=Summary!B15,'Modified CCR Est Rev Req'!$AB$26:$AB$205))</f>
        <v>1410079.3980417561</v>
      </c>
      <c r="E15" s="293" cm="1">
        <f t="array" ref="E15">SUM(IF('ELG Rev Req'!$D$9:$D$188=Summary!B15,'ELG Rev Req'!$AJ$9:$AJ$188))</f>
        <v>7497698.9462338844</v>
      </c>
      <c r="G15" s="284">
        <f t="shared" si="0"/>
        <v>7497698.9462338844</v>
      </c>
      <c r="H15" s="285">
        <f t="shared" si="5"/>
        <v>3302736.385816026</v>
      </c>
      <c r="I15" s="299">
        <f t="shared" si="1"/>
        <v>4194962.560417858</v>
      </c>
      <c r="K15" s="284">
        <f t="shared" si="2"/>
        <v>8907778.3442756403</v>
      </c>
      <c r="L15" s="285">
        <f t="shared" si="6"/>
        <v>3923876.3606534195</v>
      </c>
      <c r="M15" s="293">
        <f t="shared" si="3"/>
        <v>4983901.9836222203</v>
      </c>
      <c r="O15" s="284">
        <f t="shared" si="4"/>
        <v>1410079.3980417559</v>
      </c>
      <c r="P15" s="292">
        <f t="shared" si="7"/>
        <v>621139.9748373935</v>
      </c>
      <c r="Q15" s="286">
        <f t="shared" si="8"/>
        <v>2.1784539575404466E-3</v>
      </c>
      <c r="R15" s="292">
        <f t="shared" si="9"/>
        <v>788939.42320436239</v>
      </c>
      <c r="S15" s="297">
        <f t="shared" si="10"/>
        <v>2.141755591184949E-3</v>
      </c>
    </row>
    <row r="16" spans="2:19" x14ac:dyDescent="0.2">
      <c r="B16" s="291">
        <v>2037</v>
      </c>
      <c r="C16" s="292" cm="1">
        <f t="array" ref="C16">SUM(IF('Current CCR Est Rev Req'!$D$26:$D$61=Summary!B16,'Current CCR Est Rev Req'!$AB$26:$AB$61))</f>
        <v>0</v>
      </c>
      <c r="D16" s="292" cm="1">
        <f t="array" ref="D16">SUM(IF('Modified CCR Est Rev Req'!$D$26:$D$205=Summary!B16,'Modified CCR Est Rev Req'!$AB$26:$AB$205))</f>
        <v>1330751.7950117562</v>
      </c>
      <c r="E16" s="293" cm="1">
        <f t="array" ref="E16">SUM(IF('ELG Rev Req'!$D$9:$D$188=Summary!B16,'ELG Rev Req'!$AJ$9:$AJ$188))</f>
        <v>7133902.669814718</v>
      </c>
      <c r="G16" s="284">
        <f t="shared" si="0"/>
        <v>7133902.669814718</v>
      </c>
      <c r="H16" s="285">
        <f t="shared" si="5"/>
        <v>3142484.1260533831</v>
      </c>
      <c r="I16" s="299">
        <f t="shared" si="1"/>
        <v>3991418.5437613348</v>
      </c>
      <c r="K16" s="284">
        <f t="shared" si="2"/>
        <v>8464654.464826474</v>
      </c>
      <c r="L16" s="285">
        <f t="shared" si="6"/>
        <v>3728680.2917560618</v>
      </c>
      <c r="M16" s="293">
        <f t="shared" si="3"/>
        <v>4735974.1730704121</v>
      </c>
      <c r="O16" s="284">
        <f t="shared" si="4"/>
        <v>1330751.795011756</v>
      </c>
      <c r="P16" s="292">
        <f t="shared" si="7"/>
        <v>586196.1657026785</v>
      </c>
      <c r="Q16" s="286">
        <f t="shared" si="8"/>
        <v>2.0558994893290165E-3</v>
      </c>
      <c r="R16" s="292">
        <f t="shared" si="9"/>
        <v>744555.62930907751</v>
      </c>
      <c r="S16" s="297">
        <f t="shared" si="10"/>
        <v>2.0212656829140031E-3</v>
      </c>
    </row>
    <row r="17" spans="2:19" x14ac:dyDescent="0.2">
      <c r="B17" s="291">
        <v>2038</v>
      </c>
      <c r="C17" s="292" cm="1">
        <f t="array" ref="C17">SUM(IF('Current CCR Est Rev Req'!$D$26:$D$61=Summary!B17,'Current CCR Est Rev Req'!$AB$26:$AB$61))</f>
        <v>0</v>
      </c>
      <c r="D17" s="292" cm="1">
        <f t="array" ref="D17">SUM(IF('Modified CCR Est Rev Req'!$D$26:$D$205=Summary!B17,'Modified CCR Est Rev Req'!$AB$26:$AB$205))</f>
        <v>1251423.9046250891</v>
      </c>
      <c r="E17" s="293" cm="1">
        <f t="array" ref="E17">SUM(IF('ELG Rev Req'!$D$9:$D$188=Summary!B17,'ELG Rev Req'!$AJ$9:$AJ$188))</f>
        <v>6770105.5835722182</v>
      </c>
      <c r="G17" s="284">
        <f t="shared" si="0"/>
        <v>6770105.5835722182</v>
      </c>
      <c r="H17" s="285">
        <f t="shared" si="5"/>
        <v>2982231.509563562</v>
      </c>
      <c r="I17" s="299">
        <f t="shared" si="1"/>
        <v>3787874.0740086562</v>
      </c>
      <c r="K17" s="284">
        <f t="shared" si="2"/>
        <v>8021529.4881973071</v>
      </c>
      <c r="L17" s="285">
        <f t="shared" si="6"/>
        <v>3533483.7395509137</v>
      </c>
      <c r="M17" s="293">
        <f t="shared" si="3"/>
        <v>4488045.7486463934</v>
      </c>
      <c r="O17" s="284">
        <f t="shared" si="4"/>
        <v>1251423.9046250889</v>
      </c>
      <c r="P17" s="292">
        <f t="shared" si="7"/>
        <v>551252.22998735169</v>
      </c>
      <c r="Q17" s="286">
        <f t="shared" si="8"/>
        <v>1.9333445771757278E-3</v>
      </c>
      <c r="R17" s="292">
        <f t="shared" si="9"/>
        <v>700171.67463773722</v>
      </c>
      <c r="S17" s="297">
        <f t="shared" si="10"/>
        <v>1.900775338179869E-3</v>
      </c>
    </row>
    <row r="18" spans="2:19" x14ac:dyDescent="0.2">
      <c r="B18" s="291">
        <v>2039</v>
      </c>
      <c r="C18" s="292" cm="1">
        <f t="array" ref="C18">SUM(IF('Current CCR Est Rev Req'!$D$26:$D$61=Summary!B18,'Current CCR Est Rev Req'!$AB$26:$AB$61))</f>
        <v>0</v>
      </c>
      <c r="D18" s="292" cm="1">
        <f t="array" ref="D18">SUM(IF('Modified CCR Est Rev Req'!$D$26:$D$205=Summary!B18,'Modified CCR Est Rev Req'!$AB$26:$AB$205))</f>
        <v>1172096.3015950895</v>
      </c>
      <c r="E18" s="293" cm="1">
        <f t="array" ref="E18">SUM(IF('ELG Rev Req'!$D$9:$D$188=Summary!B18,'ELG Rev Req'!$AJ$9:$AJ$188))</f>
        <v>6406309.2875605514</v>
      </c>
      <c r="G18" s="284">
        <f t="shared" si="0"/>
        <v>6406309.2875605514</v>
      </c>
      <c r="H18" s="285">
        <f t="shared" si="5"/>
        <v>2821979.2411704231</v>
      </c>
      <c r="I18" s="299">
        <f t="shared" si="1"/>
        <v>3584330.0463901283</v>
      </c>
      <c r="K18" s="284">
        <f t="shared" si="2"/>
        <v>7578405.5891556405</v>
      </c>
      <c r="L18" s="285">
        <f t="shared" si="6"/>
        <v>3338287.6620230596</v>
      </c>
      <c r="M18" s="293">
        <f t="shared" si="3"/>
        <v>4240117.9271325804</v>
      </c>
      <c r="O18" s="284">
        <f t="shared" si="4"/>
        <v>1172096.301595089</v>
      </c>
      <c r="P18" s="292">
        <f t="shared" si="7"/>
        <v>516308.42085263674</v>
      </c>
      <c r="Q18" s="286">
        <f t="shared" si="8"/>
        <v>1.8107901089642979E-3</v>
      </c>
      <c r="R18" s="292">
        <f t="shared" si="9"/>
        <v>655787.88074245234</v>
      </c>
      <c r="S18" s="297">
        <f t="shared" si="10"/>
        <v>1.7802854299089229E-3</v>
      </c>
    </row>
    <row r="19" spans="2:19" ht="13.5" thickBot="1" x14ac:dyDescent="0.25">
      <c r="B19" s="294">
        <v>2040</v>
      </c>
      <c r="C19" s="295" cm="1">
        <f t="array" ref="C19">SUM(IF('Current CCR Est Rev Req'!$D$26:$D$61=Summary!B19,'Current CCR Est Rev Req'!$AB$26:$AB$61))</f>
        <v>0</v>
      </c>
      <c r="D19" s="295" cm="1">
        <f t="array" ref="D19">SUM(IF('Modified CCR Est Rev Req'!$D$26:$D$205=Summary!B19,'Modified CCR Est Rev Req'!$AB$26:$AB$205))</f>
        <v>1092768.4046775894</v>
      </c>
      <c r="E19" s="296" cm="1">
        <f t="array" ref="E19">SUM(IF('ELG Rev Req'!$D$9:$D$188=Summary!B19,'ELG Rev Req'!$AJ$9:$AJ$188))</f>
        <v>6042512.2143797176</v>
      </c>
      <c r="G19" s="287">
        <f t="shared" si="0"/>
        <v>6042512.2143797176</v>
      </c>
      <c r="H19" s="288">
        <f t="shared" si="5"/>
        <v>2661726.6304342658</v>
      </c>
      <c r="I19" s="301">
        <f t="shared" si="1"/>
        <v>3380785.5839454518</v>
      </c>
      <c r="K19" s="287">
        <f t="shared" si="2"/>
        <v>7135280.619057307</v>
      </c>
      <c r="L19" s="288">
        <f t="shared" si="6"/>
        <v>3143091.1126947436</v>
      </c>
      <c r="M19" s="296">
        <f t="shared" si="3"/>
        <v>3992189.5063625635</v>
      </c>
      <c r="O19" s="287">
        <f t="shared" si="4"/>
        <v>1092768.4046775894</v>
      </c>
      <c r="P19" s="295">
        <f t="shared" si="7"/>
        <v>481364.48226047814</v>
      </c>
      <c r="Q19" s="289">
        <f t="shared" si="8"/>
        <v>1.6882351867214226E-3</v>
      </c>
      <c r="R19" s="295">
        <f t="shared" si="9"/>
        <v>611403.92241711123</v>
      </c>
      <c r="S19" s="298">
        <f t="shared" si="10"/>
        <v>1.6597950752551723E-3</v>
      </c>
    </row>
  </sheetData>
  <mergeCells count="3">
    <mergeCell ref="G2:I2"/>
    <mergeCell ref="K2:M2"/>
    <mergeCell ref="O2:S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9FC5E-E56C-4FE1-ACF0-39E675610D72}">
  <sheetPr>
    <pageSetUpPr fitToPage="1"/>
  </sheetPr>
  <dimension ref="B1:AG61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B26" sqref="AB26"/>
    </sheetView>
  </sheetViews>
  <sheetFormatPr defaultColWidth="8.85546875" defaultRowHeight="12.75" x14ac:dyDescent="0.2"/>
  <cols>
    <col min="1" max="1" width="1.7109375" style="3" customWidth="1"/>
    <col min="2" max="2" width="10.140625" style="3" customWidth="1"/>
    <col min="3" max="3" width="2.5703125" style="3" customWidth="1"/>
    <col min="4" max="4" width="8.140625" style="3" customWidth="1"/>
    <col min="5" max="5" width="2.5703125" style="3" customWidth="1"/>
    <col min="6" max="6" width="17.7109375" style="3" customWidth="1"/>
    <col min="7" max="7" width="2.5703125" style="3" customWidth="1"/>
    <col min="8" max="8" width="14" style="3" customWidth="1"/>
    <col min="9" max="9" width="2.5703125" style="3" customWidth="1"/>
    <col min="10" max="10" width="12.42578125" style="3" customWidth="1"/>
    <col min="11" max="11" width="2.5703125" style="3" customWidth="1"/>
    <col min="12" max="12" width="14.5703125" style="3" customWidth="1"/>
    <col min="13" max="13" width="2.5703125" style="3" customWidth="1"/>
    <col min="14" max="14" width="14.5703125" style="3" customWidth="1"/>
    <col min="15" max="15" width="2.5703125" style="3" customWidth="1"/>
    <col min="16" max="16" width="10.7109375" style="3" customWidth="1"/>
    <col min="17" max="17" width="2.5703125" style="3" customWidth="1"/>
    <col min="18" max="18" width="8.5703125" style="3" customWidth="1"/>
    <col min="19" max="19" width="2.5703125" style="3" customWidth="1"/>
    <col min="20" max="20" width="12.140625" style="3" customWidth="1"/>
    <col min="21" max="21" width="2.5703125" style="3" customWidth="1"/>
    <col min="22" max="22" width="12.140625" style="3" customWidth="1"/>
    <col min="23" max="23" width="2.5703125" style="3" customWidth="1"/>
    <col min="24" max="24" width="14.5703125" style="3" customWidth="1"/>
    <col min="25" max="25" width="2.5703125" style="3" customWidth="1"/>
    <col min="26" max="26" width="12.28515625" style="3" customWidth="1"/>
    <col min="27" max="27" width="2.140625" style="3" customWidth="1"/>
    <col min="28" max="28" width="12" style="3" customWidth="1"/>
    <col min="29" max="29" width="8.85546875" style="3"/>
    <col min="30" max="32" width="12.85546875" style="3" bestFit="1" customWidth="1"/>
    <col min="33" max="33" width="14" style="3" customWidth="1"/>
    <col min="34" max="16384" width="8.85546875" style="3"/>
  </cols>
  <sheetData>
    <row r="1" spans="2:33" ht="15" customHeight="1" x14ac:dyDescent="0.2">
      <c r="B1" s="387" t="s">
        <v>239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</row>
    <row r="2" spans="2:33" ht="15" customHeight="1" thickBot="1" x14ac:dyDescent="0.25"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</row>
    <row r="3" spans="2:33" x14ac:dyDescent="0.2">
      <c r="B3" s="13"/>
    </row>
    <row r="4" spans="2:33" ht="12.75" customHeight="1" x14ac:dyDescent="0.2">
      <c r="B4" s="3" t="s">
        <v>0</v>
      </c>
      <c r="F4" s="273"/>
      <c r="G4" s="273"/>
      <c r="H4" s="273"/>
      <c r="I4" s="273"/>
      <c r="J4" s="273"/>
      <c r="T4" s="201"/>
      <c r="X4" s="377" t="s">
        <v>51</v>
      </c>
      <c r="Z4" s="377" t="s">
        <v>215</v>
      </c>
      <c r="AB4" s="377" t="s">
        <v>198</v>
      </c>
    </row>
    <row r="5" spans="2:33" ht="24" customHeight="1" x14ac:dyDescent="0.2">
      <c r="B5" s="377" t="s">
        <v>200</v>
      </c>
      <c r="C5" s="4"/>
      <c r="E5" s="4"/>
      <c r="F5" s="377" t="s">
        <v>202</v>
      </c>
      <c r="G5" s="4"/>
      <c r="H5" s="377" t="s">
        <v>1</v>
      </c>
      <c r="J5" s="377" t="s">
        <v>233</v>
      </c>
      <c r="L5" s="377" t="s">
        <v>3</v>
      </c>
      <c r="N5" s="377" t="s">
        <v>194</v>
      </c>
      <c r="P5" s="377" t="s">
        <v>4</v>
      </c>
      <c r="R5" s="377" t="s">
        <v>5</v>
      </c>
      <c r="T5" s="377" t="s">
        <v>23</v>
      </c>
      <c r="U5" s="5"/>
      <c r="V5" s="377" t="s">
        <v>199</v>
      </c>
      <c r="W5" s="5"/>
      <c r="X5" s="377"/>
      <c r="Z5" s="377"/>
      <c r="AB5" s="377"/>
      <c r="AG5" s="192"/>
    </row>
    <row r="6" spans="2:33" s="7" customFormat="1" ht="14.25" customHeight="1" x14ac:dyDescent="0.2">
      <c r="B6" s="377"/>
      <c r="C6" s="6"/>
      <c r="D6" s="6" t="s">
        <v>7</v>
      </c>
      <c r="E6" s="6"/>
      <c r="F6" s="377"/>
      <c r="G6" s="6"/>
      <c r="H6" s="377"/>
      <c r="J6" s="377"/>
      <c r="L6" s="377"/>
      <c r="N6" s="377"/>
      <c r="P6" s="377"/>
      <c r="R6" s="377"/>
      <c r="T6" s="377"/>
      <c r="U6" s="5"/>
      <c r="V6" s="377"/>
      <c r="W6" s="5"/>
      <c r="X6" s="377"/>
      <c r="Z6" s="377"/>
      <c r="AB6" s="377"/>
      <c r="AG6" s="194"/>
    </row>
    <row r="7" spans="2:33" s="8" customFormat="1" x14ac:dyDescent="0.2">
      <c r="B7" s="191">
        <v>-1</v>
      </c>
      <c r="C7" s="191" t="s">
        <v>0</v>
      </c>
      <c r="D7" s="191">
        <f>B7-1</f>
        <v>-2</v>
      </c>
      <c r="E7" s="191" t="s">
        <v>0</v>
      </c>
      <c r="F7" s="191">
        <f>D7-1</f>
        <v>-3</v>
      </c>
      <c r="G7" s="191" t="s">
        <v>0</v>
      </c>
      <c r="H7" s="191">
        <f>F7-1</f>
        <v>-4</v>
      </c>
      <c r="I7" s="191" t="s">
        <v>0</v>
      </c>
      <c r="J7" s="191">
        <f>H7-1</f>
        <v>-5</v>
      </c>
      <c r="K7" s="191" t="s">
        <v>0</v>
      </c>
      <c r="L7" s="191">
        <f>J7-1</f>
        <v>-6</v>
      </c>
      <c r="M7" s="191" t="s">
        <v>0</v>
      </c>
      <c r="N7" s="191">
        <f>L7-1</f>
        <v>-7</v>
      </c>
      <c r="O7" s="191" t="s">
        <v>0</v>
      </c>
      <c r="P7" s="191">
        <f>N7-1</f>
        <v>-8</v>
      </c>
      <c r="Q7" s="191" t="s">
        <v>0</v>
      </c>
      <c r="R7" s="191">
        <f>P7-1</f>
        <v>-9</v>
      </c>
      <c r="S7" s="191"/>
      <c r="T7" s="191">
        <f>R7-1</f>
        <v>-10</v>
      </c>
      <c r="U7" s="191" t="s">
        <v>0</v>
      </c>
      <c r="V7" s="191">
        <f>T7-1</f>
        <v>-11</v>
      </c>
      <c r="W7" s="191" t="s">
        <v>0</v>
      </c>
      <c r="X7" s="191">
        <f>V7-1</f>
        <v>-12</v>
      </c>
      <c r="Y7" s="191" t="s">
        <v>0</v>
      </c>
      <c r="Z7" s="191">
        <f>X7-1</f>
        <v>-13</v>
      </c>
      <c r="AA7" s="191"/>
      <c r="AB7" s="191">
        <f>Z7-1</f>
        <v>-14</v>
      </c>
    </row>
    <row r="8" spans="2:33" ht="5.25" customHeight="1" x14ac:dyDescent="0.2">
      <c r="B8" s="119"/>
      <c r="C8" s="122"/>
      <c r="D8" s="120"/>
      <c r="E8" s="122"/>
      <c r="F8" s="272"/>
      <c r="G8" s="122"/>
      <c r="H8" s="123"/>
      <c r="I8" s="120"/>
      <c r="J8" s="123"/>
      <c r="K8" s="120"/>
      <c r="L8" s="123"/>
      <c r="M8" s="120"/>
      <c r="N8" s="123"/>
      <c r="O8" s="120"/>
      <c r="P8" s="121"/>
      <c r="Q8" s="120"/>
      <c r="R8" s="124"/>
      <c r="S8" s="120"/>
      <c r="T8" s="121"/>
      <c r="U8" s="120"/>
      <c r="V8" s="121"/>
      <c r="W8" s="120"/>
      <c r="X8" s="125"/>
      <c r="Y8" s="120"/>
      <c r="Z8" s="125"/>
      <c r="AA8" s="125"/>
      <c r="AB8" s="125"/>
    </row>
    <row r="9" spans="2:33" x14ac:dyDescent="0.2">
      <c r="B9" s="23" t="s">
        <v>19</v>
      </c>
      <c r="D9" s="3">
        <v>2024</v>
      </c>
      <c r="F9" s="198">
        <f>'CCR Depr and ADFIT'!$C$2</f>
        <v>21087934.780000001</v>
      </c>
      <c r="H9" s="14">
        <f>'CCR Depr and ADFIT'!C8</f>
        <v>-351466</v>
      </c>
      <c r="J9" s="14">
        <f>'CCR Depr and ADFIT'!J8</f>
        <v>-50743</v>
      </c>
      <c r="L9" s="198">
        <f t="shared" ref="L9:L12" si="0">SUM(F9:K9)</f>
        <v>20685725.780000001</v>
      </c>
      <c r="N9" s="20">
        <f>WACC!$S$16</f>
        <v>8.1600000000000006E-2</v>
      </c>
      <c r="P9" s="16">
        <f t="shared" ref="P9:P12" si="1">L9*N9/12</f>
        <v>140662.93530400001</v>
      </c>
      <c r="R9" s="17">
        <v>0</v>
      </c>
      <c r="T9" s="17">
        <f>(ROUND(F9*'CCR Depr and ADFIT'!$C$5/12,0))</f>
        <v>351466</v>
      </c>
      <c r="V9" s="17">
        <f>F9*'Alloc. Factors and Property Tax'!$E$24*'Alloc. Factors and Property Tax'!$E$25*'Alloc. Factors and Property Tax'!$E$26/12</f>
        <v>1045.7506857402</v>
      </c>
      <c r="X9" s="17">
        <f t="shared" ref="X9:X12" si="2">SUM(P9:W9)</f>
        <v>493174.68598974025</v>
      </c>
      <c r="Z9" s="21">
        <f>'Alloc. Factors and Property Tax'!$C$18</f>
        <v>0.9604166666666667</v>
      </c>
      <c r="AB9" s="19">
        <f t="shared" ref="AB9:AB12" si="3">X9*Z9</f>
        <v>473653.18800264638</v>
      </c>
      <c r="AD9" s="192"/>
      <c r="AE9" s="140"/>
    </row>
    <row r="10" spans="2:33" x14ac:dyDescent="0.2">
      <c r="B10" s="23" t="s">
        <v>8</v>
      </c>
      <c r="D10" s="3">
        <v>2024</v>
      </c>
      <c r="F10" s="198">
        <f>'CCR Depr and ADFIT'!$C$2</f>
        <v>21087934.780000001</v>
      </c>
      <c r="H10" s="14">
        <f>'CCR Depr and ADFIT'!C9</f>
        <v>-702932</v>
      </c>
      <c r="J10" s="14">
        <f>'CCR Depr and ADFIT'!J9</f>
        <v>9226</v>
      </c>
      <c r="L10" s="198">
        <f t="shared" si="0"/>
        <v>20394228.780000001</v>
      </c>
      <c r="N10" s="20">
        <f>WACC!$S$16</f>
        <v>8.1600000000000006E-2</v>
      </c>
      <c r="P10" s="16">
        <f t="shared" si="1"/>
        <v>138680.75570400001</v>
      </c>
      <c r="R10" s="17">
        <v>0</v>
      </c>
      <c r="T10" s="17">
        <f>(ROUND(F10*'CCR Depr and ADFIT'!$C$5/12,0))</f>
        <v>351466</v>
      </c>
      <c r="V10" s="17">
        <f>F10*'Alloc. Factors and Property Tax'!$E$24*'Alloc. Factors and Property Tax'!$E$25*'Alloc. Factors and Property Tax'!$E$26/12</f>
        <v>1045.7506857402</v>
      </c>
      <c r="X10" s="17">
        <f t="shared" si="2"/>
        <v>491192.50638974021</v>
      </c>
      <c r="Z10" s="21">
        <f>'Alloc. Factors and Property Tax'!$C$18</f>
        <v>0.9604166666666667</v>
      </c>
      <c r="AB10" s="19">
        <f t="shared" si="3"/>
        <v>471749.46967847965</v>
      </c>
    </row>
    <row r="11" spans="2:33" x14ac:dyDescent="0.2">
      <c r="B11" s="23" t="s">
        <v>9</v>
      </c>
      <c r="D11" s="3">
        <v>2024</v>
      </c>
      <c r="F11" s="198">
        <f>'CCR Depr and ADFIT'!$C$2</f>
        <v>21087934.780000001</v>
      </c>
      <c r="H11" s="14">
        <f>'CCR Depr and ADFIT'!C10</f>
        <v>-1054398</v>
      </c>
      <c r="J11" s="14">
        <f>'CCR Depr and ADFIT'!J10</f>
        <v>69195</v>
      </c>
      <c r="L11" s="198">
        <f t="shared" si="0"/>
        <v>20102731.780000001</v>
      </c>
      <c r="N11" s="20">
        <f>WACC!$S$16</f>
        <v>8.1600000000000006E-2</v>
      </c>
      <c r="P11" s="16">
        <f t="shared" si="1"/>
        <v>136698.57610400001</v>
      </c>
      <c r="R11" s="17">
        <v>0</v>
      </c>
      <c r="T11" s="17">
        <f>(ROUND(F11*'CCR Depr and ADFIT'!$C$5/12,0))</f>
        <v>351466</v>
      </c>
      <c r="V11" s="17">
        <f>F11*'Alloc. Factors and Property Tax'!$E$24*'Alloc. Factors and Property Tax'!$E$25*'Alloc. Factors and Property Tax'!$E$26/12</f>
        <v>1045.7506857402</v>
      </c>
      <c r="X11" s="17">
        <f t="shared" si="2"/>
        <v>489210.32678974018</v>
      </c>
      <c r="Z11" s="21">
        <f>'Alloc. Factors and Property Tax'!$C$18</f>
        <v>0.9604166666666667</v>
      </c>
      <c r="AB11" s="19">
        <f t="shared" si="3"/>
        <v>469845.75135431299</v>
      </c>
    </row>
    <row r="12" spans="2:33" x14ac:dyDescent="0.2">
      <c r="B12" s="23" t="s">
        <v>10</v>
      </c>
      <c r="D12" s="3">
        <v>2024</v>
      </c>
      <c r="F12" s="198">
        <f>'CCR Depr and ADFIT'!$C$2</f>
        <v>21087934.780000001</v>
      </c>
      <c r="H12" s="14">
        <f>'CCR Depr and ADFIT'!C11</f>
        <v>-1405864</v>
      </c>
      <c r="J12" s="14">
        <f>'CCR Depr and ADFIT'!J11</f>
        <v>129164</v>
      </c>
      <c r="L12" s="198">
        <f t="shared" si="0"/>
        <v>19811234.780000001</v>
      </c>
      <c r="N12" s="20">
        <f>WACC!$S$16</f>
        <v>8.1600000000000006E-2</v>
      </c>
      <c r="P12" s="16">
        <f t="shared" si="1"/>
        <v>134716.39650400003</v>
      </c>
      <c r="R12" s="17">
        <v>0</v>
      </c>
      <c r="T12" s="17">
        <f>(ROUND(F12*'CCR Depr and ADFIT'!$C$5/12,0))</f>
        <v>351466</v>
      </c>
      <c r="V12" s="17">
        <f>F12*'Alloc. Factors and Property Tax'!$E$24*'Alloc. Factors and Property Tax'!$E$25*'Alloc. Factors and Property Tax'!$E$26/12</f>
        <v>1045.7506857402</v>
      </c>
      <c r="X12" s="17">
        <f t="shared" si="2"/>
        <v>487228.14718974027</v>
      </c>
      <c r="Z12" s="21">
        <f>'Alloc. Factors and Property Tax'!$C$18</f>
        <v>0.9604166666666667</v>
      </c>
      <c r="AB12" s="19">
        <f t="shared" si="3"/>
        <v>467942.03303014638</v>
      </c>
    </row>
    <row r="13" spans="2:33" x14ac:dyDescent="0.2">
      <c r="B13" s="23" t="s">
        <v>11</v>
      </c>
      <c r="D13" s="3">
        <v>2025</v>
      </c>
      <c r="F13" s="198">
        <f>'CCR Depr and ADFIT'!$C$2</f>
        <v>21087934.780000001</v>
      </c>
      <c r="H13" s="14">
        <f>'CCR Depr and ADFIT'!C12</f>
        <v>-1757330</v>
      </c>
      <c r="J13" s="14">
        <f>'CCR Depr and ADFIT'!J12</f>
        <v>176331</v>
      </c>
      <c r="L13" s="198">
        <f t="shared" ref="L13:L24" si="4">SUM(F13:K13)</f>
        <v>19506935.780000001</v>
      </c>
      <c r="N13" s="20">
        <f>WACC!$S$16</f>
        <v>8.1600000000000006E-2</v>
      </c>
      <c r="P13" s="16">
        <f t="shared" ref="P13:P24" si="5">L13*N13/12</f>
        <v>132647.16330400002</v>
      </c>
      <c r="R13" s="17">
        <v>0</v>
      </c>
      <c r="T13" s="17">
        <f>(ROUND(F13*'CCR Depr and ADFIT'!$C$5/12,0))</f>
        <v>351466</v>
      </c>
      <c r="V13" s="17">
        <f>F13*'Alloc. Factors and Property Tax'!$E$24*'Alloc. Factors and Property Tax'!$E$25*'Alloc. Factors and Property Tax'!$E$26/12</f>
        <v>1045.7506857402</v>
      </c>
      <c r="X13" s="17">
        <f t="shared" ref="X13:X24" si="6">SUM(P13:W13)</f>
        <v>485158.91398974025</v>
      </c>
      <c r="Z13" s="21">
        <f>'Alloc. Factors and Property Tax'!$C$18</f>
        <v>0.9604166666666667</v>
      </c>
      <c r="AB13" s="19">
        <f t="shared" ref="AB13:AB24" si="7">X13*Z13</f>
        <v>465954.70697764639</v>
      </c>
    </row>
    <row r="14" spans="2:33" x14ac:dyDescent="0.2">
      <c r="B14" s="23" t="s">
        <v>12</v>
      </c>
      <c r="D14" s="3">
        <v>2025</v>
      </c>
      <c r="F14" s="198">
        <f>'CCR Depr and ADFIT'!$C$2</f>
        <v>21087934.780000001</v>
      </c>
      <c r="H14" s="14">
        <f>'CCR Depr and ADFIT'!C13</f>
        <v>-2108796</v>
      </c>
      <c r="J14" s="14">
        <f>'CCR Depr and ADFIT'!J13</f>
        <v>223498</v>
      </c>
      <c r="L14" s="198">
        <f t="shared" si="4"/>
        <v>19202636.780000001</v>
      </c>
      <c r="N14" s="20">
        <f>WACC!$S$16</f>
        <v>8.1600000000000006E-2</v>
      </c>
      <c r="P14" s="16">
        <f t="shared" si="5"/>
        <v>130577.93010400001</v>
      </c>
      <c r="R14" s="17">
        <v>0</v>
      </c>
      <c r="T14" s="17">
        <f>(ROUND(F14*'CCR Depr and ADFIT'!$C$5/12,0))</f>
        <v>351466</v>
      </c>
      <c r="V14" s="17">
        <f>F14*'Alloc. Factors and Property Tax'!$E$24*'Alloc. Factors and Property Tax'!$E$25*'Alloc. Factors and Property Tax'!$E$26/12</f>
        <v>1045.7506857402</v>
      </c>
      <c r="X14" s="17">
        <f t="shared" si="6"/>
        <v>483089.68078974023</v>
      </c>
      <c r="Z14" s="21">
        <f>'Alloc. Factors and Property Tax'!$C$18</f>
        <v>0.9604166666666667</v>
      </c>
      <c r="AB14" s="19">
        <f t="shared" si="7"/>
        <v>463967.38092514634</v>
      </c>
    </row>
    <row r="15" spans="2:33" x14ac:dyDescent="0.2">
      <c r="B15" s="23" t="s">
        <v>13</v>
      </c>
      <c r="D15" s="3">
        <v>2025</v>
      </c>
      <c r="F15" s="198">
        <f>'CCR Depr and ADFIT'!$C$2</f>
        <v>21087934.780000001</v>
      </c>
      <c r="H15" s="14">
        <f>'CCR Depr and ADFIT'!C14</f>
        <v>-2460262</v>
      </c>
      <c r="J15" s="14">
        <f>'CCR Depr and ADFIT'!J14</f>
        <v>270665</v>
      </c>
      <c r="L15" s="198">
        <f t="shared" si="4"/>
        <v>18898337.780000001</v>
      </c>
      <c r="N15" s="20">
        <f>WACC!$S$16</f>
        <v>8.1600000000000006E-2</v>
      </c>
      <c r="P15" s="16">
        <f t="shared" si="5"/>
        <v>128508.69690400001</v>
      </c>
      <c r="R15" s="17">
        <v>0</v>
      </c>
      <c r="T15" s="17">
        <f>(ROUND(F15*'CCR Depr and ADFIT'!$C$5/12,0))</f>
        <v>351466</v>
      </c>
      <c r="V15" s="17">
        <f>F15*'Alloc. Factors and Property Tax'!$E$24*'Alloc. Factors and Property Tax'!$E$25*'Alloc. Factors and Property Tax'!$E$26/12</f>
        <v>1045.7506857402</v>
      </c>
      <c r="X15" s="17">
        <f t="shared" si="6"/>
        <v>481020.44758974022</v>
      </c>
      <c r="Z15" s="21">
        <f>'Alloc. Factors and Property Tax'!$C$18</f>
        <v>0.9604166666666667</v>
      </c>
      <c r="AB15" s="19">
        <f t="shared" si="7"/>
        <v>461980.05487264635</v>
      </c>
      <c r="AF15" s="196"/>
      <c r="AG15" s="196"/>
    </row>
    <row r="16" spans="2:33" x14ac:dyDescent="0.2">
      <c r="B16" s="23" t="s">
        <v>14</v>
      </c>
      <c r="D16" s="3">
        <v>2025</v>
      </c>
      <c r="F16" s="198">
        <f>'CCR Depr and ADFIT'!$C$2</f>
        <v>21087934.780000001</v>
      </c>
      <c r="H16" s="14">
        <f>'CCR Depr and ADFIT'!C15</f>
        <v>-2811728</v>
      </c>
      <c r="J16" s="14">
        <f>'CCR Depr and ADFIT'!J15</f>
        <v>317832</v>
      </c>
      <c r="L16" s="198">
        <f t="shared" si="4"/>
        <v>18594038.780000001</v>
      </c>
      <c r="N16" s="20">
        <f>WACC!$S$16</f>
        <v>8.1600000000000006E-2</v>
      </c>
      <c r="P16" s="16">
        <f t="shared" si="5"/>
        <v>126439.46370400001</v>
      </c>
      <c r="R16" s="17">
        <v>0</v>
      </c>
      <c r="T16" s="17">
        <f>(ROUND(F16*'CCR Depr and ADFIT'!$C$5/12,0))</f>
        <v>351466</v>
      </c>
      <c r="V16" s="17">
        <f>F16*'Alloc. Factors and Property Tax'!$E$24*'Alloc. Factors and Property Tax'!$E$25*'Alloc. Factors and Property Tax'!$E$26/12</f>
        <v>1045.7506857402</v>
      </c>
      <c r="X16" s="17">
        <f t="shared" si="6"/>
        <v>478951.2143897402</v>
      </c>
      <c r="Z16" s="21">
        <f>'Alloc. Factors and Property Tax'!$C$18</f>
        <v>0.9604166666666667</v>
      </c>
      <c r="AB16" s="19">
        <f t="shared" si="7"/>
        <v>459992.72882014635</v>
      </c>
    </row>
    <row r="17" spans="2:31" x14ac:dyDescent="0.2">
      <c r="B17" s="23" t="s">
        <v>15</v>
      </c>
      <c r="D17" s="3">
        <v>2025</v>
      </c>
      <c r="F17" s="198">
        <f>'CCR Depr and ADFIT'!$C$2</f>
        <v>21087934.780000001</v>
      </c>
      <c r="H17" s="14">
        <f>'CCR Depr and ADFIT'!C16</f>
        <v>-3163194</v>
      </c>
      <c r="J17" s="14">
        <f>'CCR Depr and ADFIT'!J16</f>
        <v>364999</v>
      </c>
      <c r="L17" s="198">
        <f t="shared" si="4"/>
        <v>18289739.780000001</v>
      </c>
      <c r="N17" s="20">
        <f>WACC!$S$16</f>
        <v>8.1600000000000006E-2</v>
      </c>
      <c r="P17" s="16">
        <f t="shared" si="5"/>
        <v>124370.23050400002</v>
      </c>
      <c r="R17" s="17">
        <v>0</v>
      </c>
      <c r="T17" s="17">
        <f>(ROUND(F17*'CCR Depr and ADFIT'!$C$5/12,0))</f>
        <v>351466</v>
      </c>
      <c r="V17" s="17">
        <f>F17*'Alloc. Factors and Property Tax'!$E$24*'Alloc. Factors and Property Tax'!$E$25*'Alloc. Factors and Property Tax'!$E$26/12</f>
        <v>1045.7506857402</v>
      </c>
      <c r="X17" s="17">
        <f t="shared" si="6"/>
        <v>476881.98118974024</v>
      </c>
      <c r="Z17" s="21">
        <f>'Alloc. Factors and Property Tax'!$C$18</f>
        <v>0.9604166666666667</v>
      </c>
      <c r="AB17" s="19">
        <f t="shared" si="7"/>
        <v>458005.40276764636</v>
      </c>
    </row>
    <row r="18" spans="2:31" x14ac:dyDescent="0.2">
      <c r="B18" s="23" t="s">
        <v>16</v>
      </c>
      <c r="D18" s="3">
        <v>2025</v>
      </c>
      <c r="F18" s="198">
        <f>'CCR Depr and ADFIT'!$C$2</f>
        <v>21087934.780000001</v>
      </c>
      <c r="H18" s="14">
        <f>'CCR Depr and ADFIT'!C17</f>
        <v>-3514660</v>
      </c>
      <c r="J18" s="14">
        <f>'CCR Depr and ADFIT'!J17</f>
        <v>412166</v>
      </c>
      <c r="L18" s="198">
        <f t="shared" si="4"/>
        <v>17985440.780000001</v>
      </c>
      <c r="N18" s="20">
        <f>WACC!$S$16</f>
        <v>8.1600000000000006E-2</v>
      </c>
      <c r="P18" s="16">
        <f t="shared" si="5"/>
        <v>122300.99730400002</v>
      </c>
      <c r="R18" s="17">
        <v>0</v>
      </c>
      <c r="T18" s="17">
        <f>(ROUND(F18*'CCR Depr and ADFIT'!$C$5/12,0))</f>
        <v>351466</v>
      </c>
      <c r="V18" s="17">
        <f>F18*'Alloc. Factors and Property Tax'!$E$24*'Alloc. Factors and Property Tax'!$E$25*'Alloc. Factors and Property Tax'!$E$26/12</f>
        <v>1045.7506857402</v>
      </c>
      <c r="X18" s="17">
        <f t="shared" si="6"/>
        <v>474812.74798974022</v>
      </c>
      <c r="Z18" s="21">
        <f>'Alloc. Factors and Property Tax'!$C$18</f>
        <v>0.9604166666666667</v>
      </c>
      <c r="AB18" s="19">
        <f t="shared" si="7"/>
        <v>456018.07671514637</v>
      </c>
    </row>
    <row r="19" spans="2:31" x14ac:dyDescent="0.2">
      <c r="B19" s="23" t="s">
        <v>17</v>
      </c>
      <c r="D19" s="3">
        <v>2025</v>
      </c>
      <c r="F19" s="198">
        <f>'CCR Depr and ADFIT'!$C$2</f>
        <v>21087934.780000001</v>
      </c>
      <c r="H19" s="14">
        <f>'CCR Depr and ADFIT'!C18</f>
        <v>-3866126</v>
      </c>
      <c r="J19" s="14">
        <f>'CCR Depr and ADFIT'!J18</f>
        <v>459333</v>
      </c>
      <c r="L19" s="198">
        <f t="shared" si="4"/>
        <v>17681141.780000001</v>
      </c>
      <c r="N19" s="20">
        <f>WACC!$S$16</f>
        <v>8.1600000000000006E-2</v>
      </c>
      <c r="P19" s="16">
        <f t="shared" si="5"/>
        <v>120231.76410400002</v>
      </c>
      <c r="R19" s="17">
        <v>0</v>
      </c>
      <c r="T19" s="17">
        <f>(ROUND(F19*'CCR Depr and ADFIT'!$C$5/12,0))</f>
        <v>351466</v>
      </c>
      <c r="V19" s="17">
        <f>F19*'Alloc. Factors and Property Tax'!$E$24*'Alloc. Factors and Property Tax'!$E$25*'Alloc. Factors and Property Tax'!$E$26/12</f>
        <v>1045.7506857402</v>
      </c>
      <c r="X19" s="17">
        <f t="shared" si="6"/>
        <v>472743.51478974021</v>
      </c>
      <c r="Z19" s="21">
        <f>'Alloc. Factors and Property Tax'!$C$18</f>
        <v>0.9604166666666667</v>
      </c>
      <c r="AB19" s="19">
        <f t="shared" si="7"/>
        <v>454030.75066264631</v>
      </c>
    </row>
    <row r="20" spans="2:31" x14ac:dyDescent="0.2">
      <c r="B20" s="23" t="s">
        <v>18</v>
      </c>
      <c r="D20" s="3">
        <v>2025</v>
      </c>
      <c r="F20" s="198">
        <f>'CCR Depr and ADFIT'!$C$2</f>
        <v>21087934.780000001</v>
      </c>
      <c r="H20" s="14">
        <f>'CCR Depr and ADFIT'!C19</f>
        <v>-4217592</v>
      </c>
      <c r="J20" s="14">
        <f>'CCR Depr and ADFIT'!J19</f>
        <v>506500</v>
      </c>
      <c r="L20" s="198">
        <f t="shared" si="4"/>
        <v>17376842.780000001</v>
      </c>
      <c r="N20" s="20">
        <f>WACC!$S$16</f>
        <v>8.1600000000000006E-2</v>
      </c>
      <c r="P20" s="16">
        <f t="shared" si="5"/>
        <v>118162.53090400003</v>
      </c>
      <c r="R20" s="17">
        <v>0</v>
      </c>
      <c r="T20" s="17">
        <f>(ROUND(F20*'CCR Depr and ADFIT'!$C$5/12,0))</f>
        <v>351466</v>
      </c>
      <c r="V20" s="17">
        <f>F20*'Alloc. Factors and Property Tax'!$E$24*'Alloc. Factors and Property Tax'!$E$25*'Alloc. Factors and Property Tax'!$E$26/12</f>
        <v>1045.7506857402</v>
      </c>
      <c r="X20" s="17">
        <f t="shared" si="6"/>
        <v>470674.28158974025</v>
      </c>
      <c r="Z20" s="21">
        <f>'Alloc. Factors and Property Tax'!$C$18</f>
        <v>0.9604166666666667</v>
      </c>
      <c r="AB20" s="19">
        <f t="shared" si="7"/>
        <v>452043.42461014638</v>
      </c>
    </row>
    <row r="21" spans="2:31" x14ac:dyDescent="0.2">
      <c r="B21" s="23" t="s">
        <v>19</v>
      </c>
      <c r="D21" s="3">
        <v>2025</v>
      </c>
      <c r="F21" s="198">
        <f>'CCR Depr and ADFIT'!$C$2</f>
        <v>21087934.780000001</v>
      </c>
      <c r="H21" s="14">
        <f>'CCR Depr and ADFIT'!C20</f>
        <v>-4569058</v>
      </c>
      <c r="J21" s="14">
        <f>'CCR Depr and ADFIT'!J20</f>
        <v>553666</v>
      </c>
      <c r="L21" s="198">
        <f t="shared" si="4"/>
        <v>17072542.780000001</v>
      </c>
      <c r="N21" s="20">
        <f>WACC!$S$16</f>
        <v>8.1600000000000006E-2</v>
      </c>
      <c r="P21" s="16">
        <f t="shared" si="5"/>
        <v>116093.29090400001</v>
      </c>
      <c r="R21" s="17">
        <v>0</v>
      </c>
      <c r="T21" s="17">
        <f>(ROUND(F21*'CCR Depr and ADFIT'!$C$5/12,0))</f>
        <v>351466</v>
      </c>
      <c r="V21" s="17">
        <f>F21*'Alloc. Factors and Property Tax'!$E$24*'Alloc. Factors and Property Tax'!$E$25*'Alloc. Factors and Property Tax'!$E$26/12</f>
        <v>1045.7506857402</v>
      </c>
      <c r="X21" s="17">
        <f t="shared" si="6"/>
        <v>468605.0415897402</v>
      </c>
      <c r="Z21" s="21">
        <f>'Alloc. Factors and Property Tax'!$C$18</f>
        <v>0.9604166666666667</v>
      </c>
      <c r="AB21" s="19">
        <f t="shared" si="7"/>
        <v>450056.09202681301</v>
      </c>
      <c r="AE21" s="140"/>
    </row>
    <row r="22" spans="2:31" x14ac:dyDescent="0.2">
      <c r="B22" s="23" t="s">
        <v>8</v>
      </c>
      <c r="D22" s="3">
        <v>2025</v>
      </c>
      <c r="F22" s="198">
        <f>'CCR Depr and ADFIT'!$C$2</f>
        <v>21087934.780000001</v>
      </c>
      <c r="H22" s="14">
        <f>'CCR Depr and ADFIT'!C21</f>
        <v>-4920524</v>
      </c>
      <c r="J22" s="14">
        <f>'CCR Depr and ADFIT'!J21</f>
        <v>600833</v>
      </c>
      <c r="L22" s="198">
        <f t="shared" si="4"/>
        <v>16768243.780000001</v>
      </c>
      <c r="N22" s="20">
        <f>WACC!$S$16</f>
        <v>8.1600000000000006E-2</v>
      </c>
      <c r="P22" s="16">
        <f t="shared" si="5"/>
        <v>114024.05770400002</v>
      </c>
      <c r="R22" s="17">
        <v>0</v>
      </c>
      <c r="T22" s="17">
        <f>(ROUND(F22*'CCR Depr and ADFIT'!$C$5/12,0))</f>
        <v>351466</v>
      </c>
      <c r="V22" s="17">
        <f>F22*'Alloc. Factors and Property Tax'!$E$24*'Alloc. Factors and Property Tax'!$E$25*'Alloc. Factors and Property Tax'!$E$26/12</f>
        <v>1045.7506857402</v>
      </c>
      <c r="X22" s="17">
        <f t="shared" si="6"/>
        <v>466535.80838974024</v>
      </c>
      <c r="Z22" s="21">
        <f>'Alloc. Factors and Property Tax'!$C$18</f>
        <v>0.9604166666666667</v>
      </c>
      <c r="AB22" s="19">
        <f t="shared" si="7"/>
        <v>448068.76597431302</v>
      </c>
    </row>
    <row r="23" spans="2:31" x14ac:dyDescent="0.2">
      <c r="B23" s="23" t="s">
        <v>9</v>
      </c>
      <c r="D23" s="3">
        <v>2025</v>
      </c>
      <c r="F23" s="198">
        <f>'CCR Depr and ADFIT'!$C$2</f>
        <v>21087934.780000001</v>
      </c>
      <c r="H23" s="14">
        <f>'CCR Depr and ADFIT'!C22</f>
        <v>-5271990</v>
      </c>
      <c r="J23" s="14">
        <f>'CCR Depr and ADFIT'!J22</f>
        <v>648000</v>
      </c>
      <c r="L23" s="198">
        <f t="shared" si="4"/>
        <v>16463944.780000001</v>
      </c>
      <c r="N23" s="20">
        <f>WACC!$S$16</f>
        <v>8.1600000000000006E-2</v>
      </c>
      <c r="P23" s="16">
        <f t="shared" si="5"/>
        <v>111954.82450400002</v>
      </c>
      <c r="R23" s="17">
        <v>0</v>
      </c>
      <c r="T23" s="17">
        <f>(ROUND(F23*'CCR Depr and ADFIT'!$C$5/12,0))</f>
        <v>351466</v>
      </c>
      <c r="V23" s="17">
        <f>F23*'Alloc. Factors and Property Tax'!$E$24*'Alloc. Factors and Property Tax'!$E$25*'Alloc. Factors and Property Tax'!$E$26/12</f>
        <v>1045.7506857402</v>
      </c>
      <c r="X23" s="17">
        <f t="shared" si="6"/>
        <v>464466.57518974022</v>
      </c>
      <c r="Z23" s="21">
        <f>'Alloc. Factors and Property Tax'!$C$18</f>
        <v>0.9604166666666667</v>
      </c>
      <c r="AB23" s="19">
        <f t="shared" si="7"/>
        <v>446081.43992181303</v>
      </c>
    </row>
    <row r="24" spans="2:31" x14ac:dyDescent="0.2">
      <c r="B24" s="23" t="s">
        <v>10</v>
      </c>
      <c r="D24" s="3">
        <v>2025</v>
      </c>
      <c r="F24" s="198">
        <f>'CCR Depr and ADFIT'!$C$2</f>
        <v>21087934.780000001</v>
      </c>
      <c r="H24" s="14">
        <f>'CCR Depr and ADFIT'!C23</f>
        <v>-5623456</v>
      </c>
      <c r="J24" s="14">
        <f>'CCR Depr and ADFIT'!J23</f>
        <v>695167</v>
      </c>
      <c r="L24" s="198">
        <f t="shared" si="4"/>
        <v>16159645.780000001</v>
      </c>
      <c r="N24" s="20">
        <f>WACC!$S$16</f>
        <v>8.1600000000000006E-2</v>
      </c>
      <c r="P24" s="16">
        <f t="shared" si="5"/>
        <v>109885.59130400002</v>
      </c>
      <c r="R24" s="17">
        <v>0</v>
      </c>
      <c r="T24" s="17">
        <f>(ROUND(F24*'CCR Depr and ADFIT'!$C$5/12,0))</f>
        <v>351466</v>
      </c>
      <c r="V24" s="17">
        <f>F24*'Alloc. Factors and Property Tax'!$E$24*'Alloc. Factors and Property Tax'!$E$25*'Alloc. Factors and Property Tax'!$E$26/12</f>
        <v>1045.7506857402</v>
      </c>
      <c r="X24" s="17">
        <f t="shared" si="6"/>
        <v>462397.34198974021</v>
      </c>
      <c r="Z24" s="21">
        <f>'Alloc. Factors and Property Tax'!$C$18</f>
        <v>0.9604166666666667</v>
      </c>
      <c r="AB24" s="19">
        <f t="shared" si="7"/>
        <v>444094.11386931298</v>
      </c>
    </row>
    <row r="25" spans="2:31" ht="5.25" customHeight="1" x14ac:dyDescent="0.2">
      <c r="B25" s="119"/>
      <c r="C25" s="122"/>
      <c r="D25" s="120"/>
      <c r="E25" s="122"/>
      <c r="F25" s="272"/>
      <c r="G25" s="122"/>
      <c r="H25" s="123"/>
      <c r="I25" s="120"/>
      <c r="J25" s="123"/>
      <c r="K25" s="120"/>
      <c r="L25" s="123"/>
      <c r="M25" s="120"/>
      <c r="N25" s="123"/>
      <c r="O25" s="120"/>
      <c r="P25" s="121"/>
      <c r="Q25" s="120"/>
      <c r="R25" s="124"/>
      <c r="S25" s="120"/>
      <c r="T25" s="121"/>
      <c r="U25" s="120"/>
      <c r="V25" s="121"/>
      <c r="W25" s="120"/>
      <c r="X25" s="125"/>
      <c r="Y25" s="120"/>
      <c r="Z25" s="125"/>
      <c r="AA25" s="125"/>
      <c r="AB25" s="125"/>
    </row>
    <row r="26" spans="2:31" x14ac:dyDescent="0.2">
      <c r="B26" s="23" t="s">
        <v>11</v>
      </c>
      <c r="D26" s="3">
        <v>2026</v>
      </c>
      <c r="F26" s="198">
        <f>'CCR Depr and ADFIT'!$C$2</f>
        <v>21087934.780000001</v>
      </c>
      <c r="H26" s="14">
        <f>'CCR Depr and ADFIT'!C24</f>
        <v>-5974922</v>
      </c>
      <c r="J26" s="14">
        <f>'CCR Depr and ADFIT'!J24</f>
        <v>744334</v>
      </c>
      <c r="L26" s="198">
        <f t="shared" ref="L26:L61" si="8">SUM(F26:K26)</f>
        <v>15857346.780000001</v>
      </c>
      <c r="N26" s="20">
        <f>WACC!$S$16</f>
        <v>8.1600000000000006E-2</v>
      </c>
      <c r="P26" s="16">
        <f t="shared" ref="P26:P61" si="9">L26*N26/12</f>
        <v>107829.95810400002</v>
      </c>
      <c r="R26" s="17">
        <v>0</v>
      </c>
      <c r="T26" s="17">
        <f>(ROUND(F26*'CCR Depr and ADFIT'!$C$5/12,0))</f>
        <v>351466</v>
      </c>
      <c r="V26" s="17">
        <f>F26*'Alloc. Factors and Property Tax'!$E$24*'Alloc. Factors and Property Tax'!$E$25*'Alloc. Factors and Property Tax'!$E$26/12</f>
        <v>1045.7506857402</v>
      </c>
      <c r="X26" s="17">
        <f t="shared" ref="X26:X61" si="10">SUM(P26:W26)</f>
        <v>460341.70878974022</v>
      </c>
      <c r="Z26" s="21">
        <f>'Alloc. Factors and Property Tax'!$C$18</f>
        <v>0.9604166666666667</v>
      </c>
      <c r="AB26" s="19">
        <f t="shared" ref="AB26:AB61" si="11">X26*Z26</f>
        <v>442119.84948347969</v>
      </c>
    </row>
    <row r="27" spans="2:31" x14ac:dyDescent="0.2">
      <c r="B27" s="23" t="s">
        <v>12</v>
      </c>
      <c r="D27" s="3">
        <v>2026</v>
      </c>
      <c r="F27" s="198">
        <f>'CCR Depr and ADFIT'!$C$2</f>
        <v>21087934.780000001</v>
      </c>
      <c r="H27" s="14">
        <f>'CCR Depr and ADFIT'!C25</f>
        <v>-6326388</v>
      </c>
      <c r="J27" s="14">
        <f>'CCR Depr and ADFIT'!J25</f>
        <v>793502</v>
      </c>
      <c r="L27" s="198">
        <f t="shared" si="8"/>
        <v>15555048.780000001</v>
      </c>
      <c r="N27" s="20">
        <f>WACC!$S$16</f>
        <v>8.1600000000000006E-2</v>
      </c>
      <c r="P27" s="16">
        <f t="shared" si="9"/>
        <v>105774.33170400001</v>
      </c>
      <c r="R27" s="17">
        <v>0</v>
      </c>
      <c r="T27" s="17">
        <f>(ROUND(F27*'CCR Depr and ADFIT'!$C$5/12,0))</f>
        <v>351466</v>
      </c>
      <c r="V27" s="17">
        <f>F27*'Alloc. Factors and Property Tax'!$E$24*'Alloc. Factors and Property Tax'!$E$25*'Alloc. Factors and Property Tax'!$E$26/12</f>
        <v>1045.7506857402</v>
      </c>
      <c r="X27" s="17">
        <f t="shared" si="10"/>
        <v>458286.08238974022</v>
      </c>
      <c r="Z27" s="21">
        <f>'Alloc. Factors and Property Tax'!$C$18</f>
        <v>0.9604166666666667</v>
      </c>
      <c r="AB27" s="19">
        <f t="shared" si="11"/>
        <v>440145.59162847965</v>
      </c>
    </row>
    <row r="28" spans="2:31" x14ac:dyDescent="0.2">
      <c r="B28" s="23" t="s">
        <v>13</v>
      </c>
      <c r="D28" s="3">
        <v>2026</v>
      </c>
      <c r="F28" s="198">
        <f>'CCR Depr and ADFIT'!$C$2</f>
        <v>21087934.780000001</v>
      </c>
      <c r="H28" s="14">
        <f>'CCR Depr and ADFIT'!C26</f>
        <v>-6677854</v>
      </c>
      <c r="J28" s="14">
        <f>'CCR Depr and ADFIT'!J26</f>
        <v>842669</v>
      </c>
      <c r="L28" s="198">
        <f t="shared" si="8"/>
        <v>15252749.780000001</v>
      </c>
      <c r="N28" s="20">
        <f>WACC!$S$16</f>
        <v>8.1600000000000006E-2</v>
      </c>
      <c r="P28" s="16">
        <f t="shared" si="9"/>
        <v>103718.69850400001</v>
      </c>
      <c r="R28" s="17">
        <v>0</v>
      </c>
      <c r="T28" s="17">
        <f>(ROUND(F28*'CCR Depr and ADFIT'!$C$5/12,0))</f>
        <v>351466</v>
      </c>
      <c r="V28" s="17">
        <f>F28*'Alloc. Factors and Property Tax'!$E$24*'Alloc. Factors and Property Tax'!$E$25*'Alloc. Factors and Property Tax'!$E$26/12</f>
        <v>1045.7506857402</v>
      </c>
      <c r="X28" s="17">
        <f t="shared" si="10"/>
        <v>456230.44918974023</v>
      </c>
      <c r="Z28" s="21">
        <f>'Alloc. Factors and Property Tax'!$C$18</f>
        <v>0.9604166666666667</v>
      </c>
      <c r="AB28" s="19">
        <f t="shared" si="11"/>
        <v>438171.32724264637</v>
      </c>
    </row>
    <row r="29" spans="2:31" x14ac:dyDescent="0.2">
      <c r="B29" s="23" t="s">
        <v>14</v>
      </c>
      <c r="D29" s="3">
        <v>2026</v>
      </c>
      <c r="F29" s="198">
        <f>'CCR Depr and ADFIT'!$C$2</f>
        <v>21087934.780000001</v>
      </c>
      <c r="H29" s="14">
        <f>'CCR Depr and ADFIT'!C27</f>
        <v>-7029320</v>
      </c>
      <c r="J29" s="14">
        <f>'CCR Depr and ADFIT'!J27</f>
        <v>891836</v>
      </c>
      <c r="L29" s="198">
        <f t="shared" si="8"/>
        <v>14950450.780000001</v>
      </c>
      <c r="N29" s="20">
        <f>WACC!$S$16</f>
        <v>8.1600000000000006E-2</v>
      </c>
      <c r="P29" s="16">
        <f t="shared" si="9"/>
        <v>101663.065304</v>
      </c>
      <c r="R29" s="17">
        <v>0</v>
      </c>
      <c r="T29" s="17">
        <f>(ROUND(F29*'CCR Depr and ADFIT'!$C$5/12,0))</f>
        <v>351466</v>
      </c>
      <c r="V29" s="17">
        <f>F29*'Alloc. Factors and Property Tax'!$E$24*'Alloc. Factors and Property Tax'!$E$25*'Alloc. Factors and Property Tax'!$E$26/12</f>
        <v>1045.7506857402</v>
      </c>
      <c r="X29" s="17">
        <f t="shared" si="10"/>
        <v>454174.81598974019</v>
      </c>
      <c r="Z29" s="21">
        <f>'Alloc. Factors and Property Tax'!$C$18</f>
        <v>0.9604166666666667</v>
      </c>
      <c r="AB29" s="19">
        <f t="shared" si="11"/>
        <v>436197.06285681296</v>
      </c>
    </row>
    <row r="30" spans="2:31" x14ac:dyDescent="0.2">
      <c r="B30" s="23" t="s">
        <v>15</v>
      </c>
      <c r="D30" s="3">
        <v>2026</v>
      </c>
      <c r="F30" s="198">
        <f>'CCR Depr and ADFIT'!$C$2</f>
        <v>21087934.780000001</v>
      </c>
      <c r="H30" s="14">
        <f>'CCR Depr and ADFIT'!C28</f>
        <v>-7380786</v>
      </c>
      <c r="J30" s="14">
        <f>'CCR Depr and ADFIT'!J28</f>
        <v>941003</v>
      </c>
      <c r="L30" s="198">
        <f t="shared" si="8"/>
        <v>14648151.780000001</v>
      </c>
      <c r="N30" s="20">
        <f>WACC!$S$16</f>
        <v>8.1600000000000006E-2</v>
      </c>
      <c r="P30" s="16">
        <f t="shared" si="9"/>
        <v>99607.432104000007</v>
      </c>
      <c r="R30" s="17">
        <v>0</v>
      </c>
      <c r="T30" s="17">
        <f>(ROUND(F30*'CCR Depr and ADFIT'!$C$5/12,0))</f>
        <v>351466</v>
      </c>
      <c r="V30" s="17">
        <f>F30*'Alloc. Factors and Property Tax'!$E$24*'Alloc. Factors and Property Tax'!$E$25*'Alloc. Factors and Property Tax'!$E$26/12</f>
        <v>1045.7506857402</v>
      </c>
      <c r="X30" s="17">
        <f t="shared" si="10"/>
        <v>452119.18278974021</v>
      </c>
      <c r="Z30" s="21">
        <f>'Alloc. Factors and Property Tax'!$C$18</f>
        <v>0.9604166666666667</v>
      </c>
      <c r="AB30" s="19">
        <f t="shared" si="11"/>
        <v>434222.79847097967</v>
      </c>
    </row>
    <row r="31" spans="2:31" x14ac:dyDescent="0.2">
      <c r="B31" s="23" t="s">
        <v>16</v>
      </c>
      <c r="D31" s="3">
        <v>2026</v>
      </c>
      <c r="F31" s="198">
        <f>'CCR Depr and ADFIT'!$C$2</f>
        <v>21087934.780000001</v>
      </c>
      <c r="H31" s="14">
        <f>'CCR Depr and ADFIT'!C29</f>
        <v>-7732252</v>
      </c>
      <c r="J31" s="14">
        <f>'CCR Depr and ADFIT'!J29</f>
        <v>990170</v>
      </c>
      <c r="L31" s="198">
        <f t="shared" si="8"/>
        <v>14345852.780000001</v>
      </c>
      <c r="N31" s="20">
        <f>WACC!$S$16</f>
        <v>8.1600000000000006E-2</v>
      </c>
      <c r="P31" s="16">
        <f t="shared" si="9"/>
        <v>97551.798904000025</v>
      </c>
      <c r="R31" s="17">
        <v>0</v>
      </c>
      <c r="T31" s="17">
        <f>(ROUND(F31*'CCR Depr and ADFIT'!$C$5/12,0))</f>
        <v>351466</v>
      </c>
      <c r="V31" s="17">
        <f>F31*'Alloc. Factors and Property Tax'!$E$24*'Alloc. Factors and Property Tax'!$E$25*'Alloc. Factors and Property Tax'!$E$26/12</f>
        <v>1045.7506857402</v>
      </c>
      <c r="X31" s="17">
        <f t="shared" si="10"/>
        <v>450063.54958974023</v>
      </c>
      <c r="Z31" s="21">
        <f>'Alloc. Factors and Property Tax'!$C$18</f>
        <v>0.9604166666666667</v>
      </c>
      <c r="AB31" s="19">
        <f t="shared" si="11"/>
        <v>432248.53408514638</v>
      </c>
    </row>
    <row r="32" spans="2:31" x14ac:dyDescent="0.2">
      <c r="B32" s="23" t="s">
        <v>17</v>
      </c>
      <c r="D32" s="3">
        <v>2026</v>
      </c>
      <c r="F32" s="198">
        <f>'CCR Depr and ADFIT'!$C$2</f>
        <v>21087934.780000001</v>
      </c>
      <c r="H32" s="14">
        <f>'CCR Depr and ADFIT'!C30</f>
        <v>-8083718</v>
      </c>
      <c r="J32" s="14">
        <f>'CCR Depr and ADFIT'!J30</f>
        <v>1039337</v>
      </c>
      <c r="L32" s="198">
        <f t="shared" si="8"/>
        <v>14043553.780000001</v>
      </c>
      <c r="N32" s="20">
        <f>WACC!$S$16</f>
        <v>8.1600000000000006E-2</v>
      </c>
      <c r="P32" s="16">
        <f t="shared" si="9"/>
        <v>95496.165704000028</v>
      </c>
      <c r="R32" s="17">
        <v>0</v>
      </c>
      <c r="T32" s="17">
        <f>(ROUND(F32*'CCR Depr and ADFIT'!$C$5/12,0))</f>
        <v>351466</v>
      </c>
      <c r="V32" s="17">
        <f>F32*'Alloc. Factors and Property Tax'!$E$24*'Alloc. Factors and Property Tax'!$E$25*'Alloc. Factors and Property Tax'!$E$26/12</f>
        <v>1045.7506857402</v>
      </c>
      <c r="X32" s="17">
        <f t="shared" si="10"/>
        <v>448007.91638974025</v>
      </c>
      <c r="Z32" s="21">
        <f>'Alloc. Factors and Property Tax'!$C$18</f>
        <v>0.9604166666666667</v>
      </c>
      <c r="AB32" s="19">
        <f t="shared" si="11"/>
        <v>430274.26969931304</v>
      </c>
    </row>
    <row r="33" spans="2:31" x14ac:dyDescent="0.2">
      <c r="B33" s="23" t="s">
        <v>18</v>
      </c>
      <c r="D33" s="3">
        <v>2026</v>
      </c>
      <c r="F33" s="198">
        <f>'CCR Depr and ADFIT'!$C$2</f>
        <v>21087934.780000001</v>
      </c>
      <c r="H33" s="14">
        <f>'CCR Depr and ADFIT'!C31</f>
        <v>-8435184</v>
      </c>
      <c r="J33" s="14">
        <f>'CCR Depr and ADFIT'!J31</f>
        <v>1088504</v>
      </c>
      <c r="L33" s="198">
        <f t="shared" si="8"/>
        <v>13741254.780000001</v>
      </c>
      <c r="N33" s="20">
        <f>WACC!$S$16</f>
        <v>8.1600000000000006E-2</v>
      </c>
      <c r="P33" s="16">
        <f t="shared" si="9"/>
        <v>93440.532504000017</v>
      </c>
      <c r="R33" s="17">
        <v>0</v>
      </c>
      <c r="T33" s="17">
        <f>(ROUND(F33*'CCR Depr and ADFIT'!$C$5/12,0))</f>
        <v>351466</v>
      </c>
      <c r="V33" s="17">
        <f>F33*'Alloc. Factors and Property Tax'!$E$24*'Alloc. Factors and Property Tax'!$E$25*'Alloc. Factors and Property Tax'!$E$26/12</f>
        <v>1045.7506857402</v>
      </c>
      <c r="X33" s="17">
        <f t="shared" si="10"/>
        <v>445952.28318974021</v>
      </c>
      <c r="Z33" s="21">
        <f>'Alloc. Factors and Property Tax'!$C$18</f>
        <v>0.9604166666666667</v>
      </c>
      <c r="AB33" s="19">
        <f t="shared" si="11"/>
        <v>428300.00531347969</v>
      </c>
    </row>
    <row r="34" spans="2:31" x14ac:dyDescent="0.2">
      <c r="B34" s="23" t="s">
        <v>19</v>
      </c>
      <c r="D34" s="3">
        <v>2026</v>
      </c>
      <c r="F34" s="198">
        <f>'CCR Depr and ADFIT'!$C$2</f>
        <v>21087934.780000001</v>
      </c>
      <c r="H34" s="14">
        <f>'CCR Depr and ADFIT'!C32</f>
        <v>-8786650</v>
      </c>
      <c r="J34" s="14">
        <f>'CCR Depr and ADFIT'!J32</f>
        <v>1137672</v>
      </c>
      <c r="L34" s="198">
        <f t="shared" si="8"/>
        <v>13438956.780000001</v>
      </c>
      <c r="N34" s="20">
        <f>WACC!$S$16</f>
        <v>8.1600000000000006E-2</v>
      </c>
      <c r="P34" s="16">
        <f t="shared" si="9"/>
        <v>91384.906104000009</v>
      </c>
      <c r="R34" s="17">
        <v>0</v>
      </c>
      <c r="T34" s="17">
        <f>(ROUND(F34*'CCR Depr and ADFIT'!$C$5/12,0))</f>
        <v>351466</v>
      </c>
      <c r="V34" s="17">
        <f>F34*'Alloc. Factors and Property Tax'!$E$24*'Alloc. Factors and Property Tax'!$E$25*'Alloc. Factors and Property Tax'!$E$26/12</f>
        <v>1045.7506857402</v>
      </c>
      <c r="X34" s="17">
        <f t="shared" si="10"/>
        <v>443896.6567897402</v>
      </c>
      <c r="Z34" s="21">
        <f>'Alloc. Factors and Property Tax'!$C$18</f>
        <v>0.9604166666666667</v>
      </c>
      <c r="AB34" s="19">
        <f t="shared" si="11"/>
        <v>426325.74745847966</v>
      </c>
      <c r="AE34" s="140"/>
    </row>
    <row r="35" spans="2:31" x14ac:dyDescent="0.2">
      <c r="B35" s="23" t="s">
        <v>8</v>
      </c>
      <c r="D35" s="3">
        <v>2026</v>
      </c>
      <c r="F35" s="198">
        <f>'CCR Depr and ADFIT'!$C$2</f>
        <v>21087934.780000001</v>
      </c>
      <c r="H35" s="14">
        <f>'CCR Depr and ADFIT'!C33</f>
        <v>-9138116</v>
      </c>
      <c r="J35" s="14">
        <f>'CCR Depr and ADFIT'!J33</f>
        <v>1186839</v>
      </c>
      <c r="L35" s="198">
        <f t="shared" si="8"/>
        <v>13136657.780000001</v>
      </c>
      <c r="N35" s="20">
        <f>WACC!$S$16</f>
        <v>8.1600000000000006E-2</v>
      </c>
      <c r="P35" s="16">
        <f t="shared" si="9"/>
        <v>89329.272904000012</v>
      </c>
      <c r="R35" s="17">
        <v>0</v>
      </c>
      <c r="T35" s="17">
        <f>(ROUND(F35*'CCR Depr and ADFIT'!$C$5/12,0))</f>
        <v>351466</v>
      </c>
      <c r="V35" s="17">
        <f>F35*'Alloc. Factors and Property Tax'!$E$24*'Alloc. Factors and Property Tax'!$E$25*'Alloc. Factors and Property Tax'!$E$26/12</f>
        <v>1045.7506857402</v>
      </c>
      <c r="X35" s="17">
        <f t="shared" si="10"/>
        <v>441841.02358974022</v>
      </c>
      <c r="Z35" s="21">
        <f>'Alloc. Factors and Property Tax'!$C$18</f>
        <v>0.9604166666666667</v>
      </c>
      <c r="AB35" s="19">
        <f t="shared" si="11"/>
        <v>424351.48307264637</v>
      </c>
    </row>
    <row r="36" spans="2:31" x14ac:dyDescent="0.2">
      <c r="B36" s="23" t="s">
        <v>9</v>
      </c>
      <c r="D36" s="3">
        <v>2026</v>
      </c>
      <c r="F36" s="198">
        <f>'CCR Depr and ADFIT'!$C$2</f>
        <v>21087934.780000001</v>
      </c>
      <c r="H36" s="14">
        <f>'CCR Depr and ADFIT'!C34</f>
        <v>-9489582</v>
      </c>
      <c r="J36" s="14">
        <f>'CCR Depr and ADFIT'!J34</f>
        <v>1236006</v>
      </c>
      <c r="L36" s="198">
        <f t="shared" si="8"/>
        <v>12834358.780000001</v>
      </c>
      <c r="N36" s="20">
        <f>WACC!$S$16</f>
        <v>8.1600000000000006E-2</v>
      </c>
      <c r="P36" s="16">
        <f t="shared" si="9"/>
        <v>87273.639704000016</v>
      </c>
      <c r="R36" s="17">
        <v>0</v>
      </c>
      <c r="T36" s="17">
        <f>(ROUND(F36*'CCR Depr and ADFIT'!$C$5/12,0))</f>
        <v>351466</v>
      </c>
      <c r="V36" s="17">
        <f>F36*'Alloc. Factors and Property Tax'!$E$24*'Alloc. Factors and Property Tax'!$E$25*'Alloc. Factors and Property Tax'!$E$26/12</f>
        <v>1045.7506857402</v>
      </c>
      <c r="X36" s="17">
        <f t="shared" si="10"/>
        <v>439785.39038974023</v>
      </c>
      <c r="Z36" s="21">
        <f>'Alloc. Factors and Property Tax'!$C$18</f>
        <v>0.9604166666666667</v>
      </c>
      <c r="AB36" s="19">
        <f t="shared" si="11"/>
        <v>422377.21868681302</v>
      </c>
    </row>
    <row r="37" spans="2:31" x14ac:dyDescent="0.2">
      <c r="B37" s="23" t="s">
        <v>10</v>
      </c>
      <c r="D37" s="3">
        <v>2026</v>
      </c>
      <c r="F37" s="198">
        <f>'CCR Depr and ADFIT'!$C$2</f>
        <v>21087934.780000001</v>
      </c>
      <c r="H37" s="14">
        <f>'CCR Depr and ADFIT'!C35</f>
        <v>-9841048</v>
      </c>
      <c r="J37" s="14">
        <f>'CCR Depr and ADFIT'!J35</f>
        <v>1285173</v>
      </c>
      <c r="L37" s="198">
        <f t="shared" si="8"/>
        <v>12532059.780000001</v>
      </c>
      <c r="N37" s="20">
        <f>WACC!$S$16</f>
        <v>8.1600000000000006E-2</v>
      </c>
      <c r="P37" s="16">
        <f t="shared" si="9"/>
        <v>85218.006504000019</v>
      </c>
      <c r="R37" s="17">
        <v>0</v>
      </c>
      <c r="T37" s="17">
        <f>(ROUND(F37*'CCR Depr and ADFIT'!$C$5/12,0))</f>
        <v>351466</v>
      </c>
      <c r="V37" s="17">
        <f>F37*'Alloc. Factors and Property Tax'!$E$24*'Alloc. Factors and Property Tax'!$E$25*'Alloc. Factors and Property Tax'!$E$26/12</f>
        <v>1045.7506857402</v>
      </c>
      <c r="X37" s="17">
        <f t="shared" si="10"/>
        <v>437729.75718974025</v>
      </c>
      <c r="Z37" s="21">
        <f>'Alloc. Factors and Property Tax'!$C$18</f>
        <v>0.9604166666666667</v>
      </c>
      <c r="AB37" s="19">
        <f t="shared" si="11"/>
        <v>420402.95430097973</v>
      </c>
    </row>
    <row r="38" spans="2:31" x14ac:dyDescent="0.2">
      <c r="B38" s="23" t="s">
        <v>11</v>
      </c>
      <c r="D38" s="3">
        <v>2027</v>
      </c>
      <c r="F38" s="198">
        <f>'CCR Depr and ADFIT'!$C$2</f>
        <v>21087934.780000001</v>
      </c>
      <c r="H38" s="14">
        <f>'CCR Depr and ADFIT'!C36</f>
        <v>-10192514</v>
      </c>
      <c r="J38" s="14">
        <f>'CCR Depr and ADFIT'!J36</f>
        <v>1336185</v>
      </c>
      <c r="L38" s="198">
        <f t="shared" si="8"/>
        <v>12231605.780000001</v>
      </c>
      <c r="N38" s="20">
        <f>WACC!$S$16</f>
        <v>8.1600000000000006E-2</v>
      </c>
      <c r="P38" s="16">
        <f t="shared" si="9"/>
        <v>83174.91930400001</v>
      </c>
      <c r="R38" s="17">
        <v>0</v>
      </c>
      <c r="T38" s="17">
        <f>(ROUND(F38*'CCR Depr and ADFIT'!$C$5/12,0))</f>
        <v>351466</v>
      </c>
      <c r="V38" s="17">
        <f>F38*'Alloc. Factors and Property Tax'!$E$24*'Alloc. Factors and Property Tax'!$E$25*'Alloc. Factors and Property Tax'!$E$26/12</f>
        <v>1045.7506857402</v>
      </c>
      <c r="X38" s="17">
        <f t="shared" si="10"/>
        <v>435686.66998974018</v>
      </c>
      <c r="Z38" s="21">
        <f>'Alloc. Factors and Property Tax'!$C$18</f>
        <v>0.9604166666666667</v>
      </c>
      <c r="AB38" s="19">
        <f t="shared" si="11"/>
        <v>418440.73930264631</v>
      </c>
    </row>
    <row r="39" spans="2:31" x14ac:dyDescent="0.2">
      <c r="B39" s="23" t="s">
        <v>12</v>
      </c>
      <c r="D39" s="3">
        <v>2027</v>
      </c>
      <c r="F39" s="198">
        <f>'CCR Depr and ADFIT'!$C$2</f>
        <v>21087934.780000001</v>
      </c>
      <c r="H39" s="14">
        <f>'CCR Depr and ADFIT'!C37</f>
        <v>-10543980</v>
      </c>
      <c r="J39" s="14">
        <f>'CCR Depr and ADFIT'!J37</f>
        <v>1387198</v>
      </c>
      <c r="L39" s="198">
        <f t="shared" si="8"/>
        <v>11931152.780000001</v>
      </c>
      <c r="N39" s="20">
        <f>WACC!$S$16</f>
        <v>8.1600000000000006E-2</v>
      </c>
      <c r="P39" s="16">
        <f t="shared" si="9"/>
        <v>81131.838904000018</v>
      </c>
      <c r="R39" s="17">
        <v>0</v>
      </c>
      <c r="T39" s="17">
        <f>(ROUND(F39*'CCR Depr and ADFIT'!$C$5/12,0))</f>
        <v>351466</v>
      </c>
      <c r="V39" s="17">
        <f>F39*'Alloc. Factors and Property Tax'!$E$24*'Alloc. Factors and Property Tax'!$E$25*'Alloc. Factors and Property Tax'!$E$26/12</f>
        <v>1045.7506857402</v>
      </c>
      <c r="X39" s="17">
        <f t="shared" si="10"/>
        <v>433643.58958974021</v>
      </c>
      <c r="Z39" s="21">
        <f>'Alloc. Factors and Property Tax'!$C$18</f>
        <v>0.9604166666666667</v>
      </c>
      <c r="AB39" s="19">
        <f t="shared" si="11"/>
        <v>416478.53083514632</v>
      </c>
    </row>
    <row r="40" spans="2:31" x14ac:dyDescent="0.2">
      <c r="B40" s="23" t="s">
        <v>13</v>
      </c>
      <c r="D40" s="3">
        <v>2027</v>
      </c>
      <c r="F40" s="198">
        <f>'CCR Depr and ADFIT'!$C$2</f>
        <v>21087934.780000001</v>
      </c>
      <c r="H40" s="14">
        <f>'CCR Depr and ADFIT'!C38</f>
        <v>-10895446</v>
      </c>
      <c r="J40" s="14">
        <f>'CCR Depr and ADFIT'!J38</f>
        <v>1438210</v>
      </c>
      <c r="L40" s="198">
        <f t="shared" si="8"/>
        <v>11630698.780000001</v>
      </c>
      <c r="N40" s="20">
        <f>WACC!$S$16</f>
        <v>8.1600000000000006E-2</v>
      </c>
      <c r="P40" s="16">
        <f t="shared" si="9"/>
        <v>79088.751704000009</v>
      </c>
      <c r="R40" s="17">
        <v>0</v>
      </c>
      <c r="T40" s="17">
        <f>(ROUND(F40*'CCR Depr and ADFIT'!$C$5/12,0))</f>
        <v>351466</v>
      </c>
      <c r="V40" s="17">
        <f>F40*'Alloc. Factors and Property Tax'!$E$24*'Alloc. Factors and Property Tax'!$E$25*'Alloc. Factors and Property Tax'!$E$26/12</f>
        <v>1045.7506857402</v>
      </c>
      <c r="X40" s="17">
        <f t="shared" si="10"/>
        <v>431600.5023897402</v>
      </c>
      <c r="Z40" s="21">
        <f>'Alloc. Factors and Property Tax'!$C$18</f>
        <v>0.9604166666666667</v>
      </c>
      <c r="AB40" s="19">
        <f t="shared" si="11"/>
        <v>414516.31583681301</v>
      </c>
    </row>
    <row r="41" spans="2:31" x14ac:dyDescent="0.2">
      <c r="B41" s="23" t="s">
        <v>14</v>
      </c>
      <c r="D41" s="3">
        <v>2027</v>
      </c>
      <c r="F41" s="198">
        <f>'CCR Depr and ADFIT'!$C$2</f>
        <v>21087934.780000001</v>
      </c>
      <c r="H41" s="14">
        <f>'CCR Depr and ADFIT'!C39</f>
        <v>-11246912</v>
      </c>
      <c r="J41" s="14">
        <f>'CCR Depr and ADFIT'!J39</f>
        <v>1489222</v>
      </c>
      <c r="L41" s="198">
        <f t="shared" si="8"/>
        <v>11330244.780000001</v>
      </c>
      <c r="N41" s="20">
        <f>WACC!$S$16</f>
        <v>8.1600000000000006E-2</v>
      </c>
      <c r="P41" s="16">
        <f t="shared" si="9"/>
        <v>77045.664504000015</v>
      </c>
      <c r="R41" s="17">
        <v>0</v>
      </c>
      <c r="T41" s="17">
        <f>(ROUND(F41*'CCR Depr and ADFIT'!$C$5/12,0))</f>
        <v>351466</v>
      </c>
      <c r="V41" s="17">
        <f>F41*'Alloc. Factors and Property Tax'!$E$24*'Alloc. Factors and Property Tax'!$E$25*'Alloc. Factors and Property Tax'!$E$26/12</f>
        <v>1045.7506857402</v>
      </c>
      <c r="X41" s="17">
        <f t="shared" si="10"/>
        <v>429557.41518974019</v>
      </c>
      <c r="Z41" s="21">
        <f>'Alloc. Factors and Property Tax'!$C$18</f>
        <v>0.9604166666666667</v>
      </c>
      <c r="AB41" s="19">
        <f t="shared" si="11"/>
        <v>412554.10083847964</v>
      </c>
    </row>
    <row r="42" spans="2:31" x14ac:dyDescent="0.2">
      <c r="B42" s="23" t="s">
        <v>15</v>
      </c>
      <c r="D42" s="3">
        <v>2027</v>
      </c>
      <c r="F42" s="198">
        <f>'CCR Depr and ADFIT'!$C$2</f>
        <v>21087934.780000001</v>
      </c>
      <c r="H42" s="14">
        <f>'CCR Depr and ADFIT'!C40</f>
        <v>-11598378</v>
      </c>
      <c r="J42" s="14">
        <f>'CCR Depr and ADFIT'!J40</f>
        <v>1540235</v>
      </c>
      <c r="L42" s="198">
        <f t="shared" si="8"/>
        <v>11029791.780000001</v>
      </c>
      <c r="N42" s="20">
        <f>WACC!$S$16</f>
        <v>8.1600000000000006E-2</v>
      </c>
      <c r="P42" s="16">
        <f t="shared" si="9"/>
        <v>75002.584104000009</v>
      </c>
      <c r="R42" s="17">
        <v>0</v>
      </c>
      <c r="T42" s="17">
        <f>(ROUND(F42*'CCR Depr and ADFIT'!$C$5/12,0))</f>
        <v>351466</v>
      </c>
      <c r="V42" s="17">
        <f>F42*'Alloc. Factors and Property Tax'!$E$24*'Alloc. Factors and Property Tax'!$E$25*'Alloc. Factors and Property Tax'!$E$26/12</f>
        <v>1045.7506857402</v>
      </c>
      <c r="X42" s="17">
        <f t="shared" si="10"/>
        <v>427514.33478974021</v>
      </c>
      <c r="Z42" s="21">
        <f>'Alloc. Factors and Property Tax'!$C$18</f>
        <v>0.9604166666666667</v>
      </c>
      <c r="AB42" s="19">
        <f t="shared" si="11"/>
        <v>410591.89237097965</v>
      </c>
    </row>
    <row r="43" spans="2:31" x14ac:dyDescent="0.2">
      <c r="B43" s="23" t="s">
        <v>16</v>
      </c>
      <c r="D43" s="3">
        <v>2027</v>
      </c>
      <c r="F43" s="198">
        <f>'CCR Depr and ADFIT'!$C$2</f>
        <v>21087934.780000001</v>
      </c>
      <c r="H43" s="14">
        <f>'CCR Depr and ADFIT'!C41</f>
        <v>-11949844</v>
      </c>
      <c r="J43" s="14">
        <f>'CCR Depr and ADFIT'!J41</f>
        <v>1591247</v>
      </c>
      <c r="L43" s="198">
        <f t="shared" si="8"/>
        <v>10729337.780000001</v>
      </c>
      <c r="N43" s="20">
        <f>WACC!$S$16</f>
        <v>8.1600000000000006E-2</v>
      </c>
      <c r="P43" s="16">
        <f t="shared" si="9"/>
        <v>72959.496904000014</v>
      </c>
      <c r="R43" s="17">
        <v>0</v>
      </c>
      <c r="T43" s="17">
        <f>(ROUND(F43*'CCR Depr and ADFIT'!$C$5/12,0))</f>
        <v>351466</v>
      </c>
      <c r="V43" s="17">
        <f>F43*'Alloc. Factors and Property Tax'!$E$24*'Alloc. Factors and Property Tax'!$E$25*'Alloc. Factors and Property Tax'!$E$26/12</f>
        <v>1045.7506857402</v>
      </c>
      <c r="X43" s="17">
        <f t="shared" si="10"/>
        <v>425471.2475897402</v>
      </c>
      <c r="Z43" s="21">
        <f>'Alloc. Factors and Property Tax'!$C$18</f>
        <v>0.9604166666666667</v>
      </c>
      <c r="AB43" s="19">
        <f t="shared" si="11"/>
        <v>408629.67737264634</v>
      </c>
    </row>
    <row r="44" spans="2:31" x14ac:dyDescent="0.2">
      <c r="B44" s="23" t="s">
        <v>17</v>
      </c>
      <c r="D44" s="3">
        <v>2027</v>
      </c>
      <c r="F44" s="198">
        <f>'CCR Depr and ADFIT'!$C$2</f>
        <v>21087934.780000001</v>
      </c>
      <c r="H44" s="14">
        <f>'CCR Depr and ADFIT'!C42</f>
        <v>-12301310</v>
      </c>
      <c r="J44" s="14">
        <f>'CCR Depr and ADFIT'!J42</f>
        <v>1642259</v>
      </c>
      <c r="L44" s="198">
        <f t="shared" si="8"/>
        <v>10428883.780000001</v>
      </c>
      <c r="N44" s="20">
        <f>WACC!$S$16</f>
        <v>8.1600000000000006E-2</v>
      </c>
      <c r="P44" s="16">
        <f t="shared" si="9"/>
        <v>70916.409704000005</v>
      </c>
      <c r="R44" s="17">
        <v>0</v>
      </c>
      <c r="T44" s="17">
        <f>(ROUND(F44*'CCR Depr and ADFIT'!$C$5/12,0))</f>
        <v>351466</v>
      </c>
      <c r="V44" s="17">
        <f>F44*'Alloc. Factors and Property Tax'!$E$24*'Alloc. Factors and Property Tax'!$E$25*'Alloc. Factors and Property Tax'!$E$26/12</f>
        <v>1045.7506857402</v>
      </c>
      <c r="X44" s="17">
        <f t="shared" si="10"/>
        <v>423428.16038974019</v>
      </c>
      <c r="Z44" s="21">
        <f>'Alloc. Factors and Property Tax'!$C$18</f>
        <v>0.9604166666666667</v>
      </c>
      <c r="AB44" s="19">
        <f t="shared" si="11"/>
        <v>406667.46237431298</v>
      </c>
    </row>
    <row r="45" spans="2:31" x14ac:dyDescent="0.2">
      <c r="B45" s="23" t="s">
        <v>18</v>
      </c>
      <c r="D45" s="3">
        <v>2027</v>
      </c>
      <c r="F45" s="198">
        <f>'CCR Depr and ADFIT'!$C$2</f>
        <v>21087934.780000001</v>
      </c>
      <c r="H45" s="14">
        <f>'CCR Depr and ADFIT'!C43</f>
        <v>-12652776</v>
      </c>
      <c r="J45" s="14">
        <f>'CCR Depr and ADFIT'!J43</f>
        <v>1693272</v>
      </c>
      <c r="L45" s="198">
        <f t="shared" si="8"/>
        <v>10128430.780000001</v>
      </c>
      <c r="N45" s="20">
        <f>WACC!$S$16</f>
        <v>8.1600000000000006E-2</v>
      </c>
      <c r="P45" s="16">
        <f t="shared" si="9"/>
        <v>68873.329304000014</v>
      </c>
      <c r="R45" s="17">
        <v>0</v>
      </c>
      <c r="T45" s="17">
        <f>(ROUND(F45*'CCR Depr and ADFIT'!$C$5/12,0))</f>
        <v>351466</v>
      </c>
      <c r="V45" s="17">
        <f>F45*'Alloc. Factors and Property Tax'!$E$24*'Alloc. Factors and Property Tax'!$E$25*'Alloc. Factors and Property Tax'!$E$26/12</f>
        <v>1045.7506857402</v>
      </c>
      <c r="X45" s="17">
        <f t="shared" si="10"/>
        <v>421385.07998974022</v>
      </c>
      <c r="Z45" s="21">
        <f>'Alloc. Factors and Property Tax'!$C$18</f>
        <v>0.9604166666666667</v>
      </c>
      <c r="AB45" s="19">
        <f t="shared" si="11"/>
        <v>404705.25390681298</v>
      </c>
    </row>
    <row r="46" spans="2:31" x14ac:dyDescent="0.2">
      <c r="B46" s="23" t="s">
        <v>19</v>
      </c>
      <c r="D46" s="3">
        <v>2027</v>
      </c>
      <c r="F46" s="198">
        <f>'CCR Depr and ADFIT'!$C$2</f>
        <v>21087934.780000001</v>
      </c>
      <c r="H46" s="14">
        <f>'CCR Depr and ADFIT'!C44</f>
        <v>-13004242</v>
      </c>
      <c r="J46" s="14">
        <f>'CCR Depr and ADFIT'!J44</f>
        <v>1744284</v>
      </c>
      <c r="L46" s="198">
        <f t="shared" si="8"/>
        <v>9827976.7800000012</v>
      </c>
      <c r="N46" s="20">
        <f>WACC!$S$16</f>
        <v>8.1600000000000006E-2</v>
      </c>
      <c r="P46" s="16">
        <f t="shared" si="9"/>
        <v>66830.242104000019</v>
      </c>
      <c r="R46" s="17">
        <v>0</v>
      </c>
      <c r="T46" s="17">
        <f>(ROUND(F46*'CCR Depr and ADFIT'!$C$5/12,0))</f>
        <v>351466</v>
      </c>
      <c r="V46" s="17">
        <f>F46*'Alloc. Factors and Property Tax'!$E$24*'Alloc. Factors and Property Tax'!$E$25*'Alloc. Factors and Property Tax'!$E$26/12</f>
        <v>1045.7506857402</v>
      </c>
      <c r="X46" s="17">
        <f t="shared" si="10"/>
        <v>419341.99278974021</v>
      </c>
      <c r="Z46" s="21">
        <f>'Alloc. Factors and Property Tax'!$C$18</f>
        <v>0.9604166666666667</v>
      </c>
      <c r="AB46" s="19">
        <f t="shared" si="11"/>
        <v>402743.03890847968</v>
      </c>
    </row>
    <row r="47" spans="2:31" x14ac:dyDescent="0.2">
      <c r="B47" s="23" t="s">
        <v>8</v>
      </c>
      <c r="D47" s="3">
        <v>2027</v>
      </c>
      <c r="F47" s="198">
        <f>'CCR Depr and ADFIT'!$C$2</f>
        <v>21087934.780000001</v>
      </c>
      <c r="H47" s="14">
        <f>'CCR Depr and ADFIT'!C45</f>
        <v>-13355708</v>
      </c>
      <c r="J47" s="14">
        <f>'CCR Depr and ADFIT'!J45</f>
        <v>1795296</v>
      </c>
      <c r="L47" s="198">
        <f t="shared" si="8"/>
        <v>9527522.7800000012</v>
      </c>
      <c r="N47" s="20">
        <f>WACC!$S$16</f>
        <v>8.1600000000000006E-2</v>
      </c>
      <c r="P47" s="16">
        <f t="shared" si="9"/>
        <v>64787.154904000017</v>
      </c>
      <c r="R47" s="17">
        <v>0</v>
      </c>
      <c r="T47" s="17">
        <f>(ROUND(F47*'CCR Depr and ADFIT'!$C$5/12,0))</f>
        <v>351466</v>
      </c>
      <c r="V47" s="17">
        <f>F47*'Alloc. Factors and Property Tax'!$E$24*'Alloc. Factors and Property Tax'!$E$25*'Alloc. Factors and Property Tax'!$E$26/12</f>
        <v>1045.7506857402</v>
      </c>
      <c r="X47" s="17">
        <f t="shared" si="10"/>
        <v>417298.9055897402</v>
      </c>
      <c r="Z47" s="21">
        <f>'Alloc. Factors and Property Tax'!$C$18</f>
        <v>0.9604166666666667</v>
      </c>
      <c r="AB47" s="19">
        <f t="shared" si="11"/>
        <v>400780.82391014631</v>
      </c>
    </row>
    <row r="48" spans="2:31" x14ac:dyDescent="0.2">
      <c r="B48" s="23" t="s">
        <v>9</v>
      </c>
      <c r="D48" s="3">
        <v>2027</v>
      </c>
      <c r="F48" s="198">
        <f>'CCR Depr and ADFIT'!$C$2</f>
        <v>21087934.780000001</v>
      </c>
      <c r="H48" s="14">
        <f>'CCR Depr and ADFIT'!C46</f>
        <v>-13707174</v>
      </c>
      <c r="J48" s="14">
        <f>'CCR Depr and ADFIT'!J46</f>
        <v>1846309</v>
      </c>
      <c r="L48" s="198">
        <f t="shared" si="8"/>
        <v>9227069.7800000012</v>
      </c>
      <c r="N48" s="20">
        <f>WACC!$S$16</f>
        <v>8.1600000000000006E-2</v>
      </c>
      <c r="P48" s="16">
        <f t="shared" si="9"/>
        <v>62744.074504000011</v>
      </c>
      <c r="R48" s="17">
        <v>0</v>
      </c>
      <c r="T48" s="17">
        <f>(ROUND(F48*'CCR Depr and ADFIT'!$C$5/12,0))</f>
        <v>351466</v>
      </c>
      <c r="V48" s="17">
        <f>F48*'Alloc. Factors and Property Tax'!$E$24*'Alloc. Factors and Property Tax'!$E$25*'Alloc. Factors and Property Tax'!$E$26/12</f>
        <v>1045.7506857402</v>
      </c>
      <c r="X48" s="17">
        <f t="shared" si="10"/>
        <v>415255.82518974022</v>
      </c>
      <c r="Z48" s="21">
        <f>'Alloc. Factors and Property Tax'!$C$18</f>
        <v>0.9604166666666667</v>
      </c>
      <c r="AB48" s="19">
        <f t="shared" si="11"/>
        <v>398818.61544264638</v>
      </c>
    </row>
    <row r="49" spans="2:28" x14ac:dyDescent="0.2">
      <c r="B49" s="23" t="s">
        <v>10</v>
      </c>
      <c r="D49" s="3">
        <v>2027</v>
      </c>
      <c r="F49" s="198">
        <f>'CCR Depr and ADFIT'!$C$2</f>
        <v>21087934.780000001</v>
      </c>
      <c r="H49" s="14">
        <f>'CCR Depr and ADFIT'!C47</f>
        <v>-14058640</v>
      </c>
      <c r="J49" s="14">
        <f>'CCR Depr and ADFIT'!J47</f>
        <v>1897321</v>
      </c>
      <c r="L49" s="198">
        <f t="shared" si="8"/>
        <v>8926615.7800000012</v>
      </c>
      <c r="N49" s="20">
        <f>WACC!$S$16</f>
        <v>8.1600000000000006E-2</v>
      </c>
      <c r="P49" s="16">
        <f t="shared" si="9"/>
        <v>60700.987304000009</v>
      </c>
      <c r="Q49" s="17"/>
      <c r="R49" s="17">
        <v>0</v>
      </c>
      <c r="T49" s="17">
        <f>(ROUND(F49*'CCR Depr and ADFIT'!$C$5/12,0))</f>
        <v>351466</v>
      </c>
      <c r="V49" s="17">
        <f>F49*'Alloc. Factors and Property Tax'!$E$24*'Alloc. Factors and Property Tax'!$E$25*'Alloc. Factors and Property Tax'!$E$26/12</f>
        <v>1045.7506857402</v>
      </c>
      <c r="X49" s="17">
        <f t="shared" si="10"/>
        <v>413212.73798974021</v>
      </c>
      <c r="Z49" s="21">
        <f>'Alloc. Factors and Property Tax'!$C$18</f>
        <v>0.9604166666666667</v>
      </c>
      <c r="AB49" s="19">
        <f t="shared" si="11"/>
        <v>396856.40044431301</v>
      </c>
    </row>
    <row r="50" spans="2:28" x14ac:dyDescent="0.2">
      <c r="B50" s="23" t="s">
        <v>11</v>
      </c>
      <c r="D50" s="3">
        <v>2028</v>
      </c>
      <c r="F50" s="198">
        <f>'CCR Depr and ADFIT'!$C$2</f>
        <v>21087934.780000001</v>
      </c>
      <c r="H50" s="14">
        <f>'CCR Depr and ADFIT'!C48</f>
        <v>-14410106</v>
      </c>
      <c r="J50" s="14">
        <f>'CCR Depr and ADFIT'!J48</f>
        <v>1950046</v>
      </c>
      <c r="L50" s="198">
        <f t="shared" si="8"/>
        <v>8627874.7800000012</v>
      </c>
      <c r="N50" s="20">
        <f>WACC!$S$16</f>
        <v>8.1600000000000006E-2</v>
      </c>
      <c r="P50" s="16">
        <f t="shared" si="9"/>
        <v>58669.548504000013</v>
      </c>
      <c r="Q50" s="17"/>
      <c r="R50" s="17">
        <v>0</v>
      </c>
      <c r="T50" s="17">
        <f>(ROUND(F50*'CCR Depr and ADFIT'!$C$5/12,0))</f>
        <v>351466</v>
      </c>
      <c r="V50" s="17">
        <f>F50*'Alloc. Factors and Property Tax'!$E$24*'Alloc. Factors and Property Tax'!$E$25*'Alloc. Factors and Property Tax'!$E$26/12</f>
        <v>1045.7506857402</v>
      </c>
      <c r="X50" s="17">
        <f t="shared" si="10"/>
        <v>411181.29918974021</v>
      </c>
      <c r="Z50" s="21">
        <f>'Alloc. Factors and Property Tax'!$C$18</f>
        <v>0.9604166666666667</v>
      </c>
      <c r="AB50" s="19">
        <f t="shared" si="11"/>
        <v>394905.37276347965</v>
      </c>
    </row>
    <row r="51" spans="2:28" x14ac:dyDescent="0.2">
      <c r="B51" s="23" t="s">
        <v>12</v>
      </c>
      <c r="D51" s="3">
        <v>2028</v>
      </c>
      <c r="F51" s="198">
        <f>'CCR Depr and ADFIT'!$C$2</f>
        <v>21087934.780000001</v>
      </c>
      <c r="H51" s="14">
        <f>'CCR Depr and ADFIT'!C49</f>
        <v>-14761572</v>
      </c>
      <c r="J51" s="14">
        <f>'CCR Depr and ADFIT'!J49</f>
        <v>2002770</v>
      </c>
      <c r="L51" s="198">
        <f t="shared" si="8"/>
        <v>8329132.7800000012</v>
      </c>
      <c r="N51" s="20">
        <f>WACC!$S$16</f>
        <v>8.1600000000000006E-2</v>
      </c>
      <c r="P51" s="16">
        <f t="shared" si="9"/>
        <v>56638.102904000007</v>
      </c>
      <c r="Q51" s="17"/>
      <c r="R51" s="17">
        <v>0</v>
      </c>
      <c r="T51" s="17">
        <f>(ROUND(F51*'CCR Depr and ADFIT'!$C$5/12,0))</f>
        <v>351466</v>
      </c>
      <c r="V51" s="17">
        <f>F51*'Alloc. Factors and Property Tax'!$E$24*'Alloc. Factors and Property Tax'!$E$25*'Alloc. Factors and Property Tax'!$E$26/12</f>
        <v>1045.7506857402</v>
      </c>
      <c r="X51" s="17">
        <f t="shared" si="10"/>
        <v>409149.85358974023</v>
      </c>
      <c r="Z51" s="21">
        <f>'Alloc. Factors and Property Tax'!$C$18</f>
        <v>0.9604166666666667</v>
      </c>
      <c r="AB51" s="19">
        <f t="shared" si="11"/>
        <v>392954.33855181304</v>
      </c>
    </row>
    <row r="52" spans="2:28" x14ac:dyDescent="0.2">
      <c r="B52" s="23" t="s">
        <v>13</v>
      </c>
      <c r="D52" s="3">
        <v>2028</v>
      </c>
      <c r="F52" s="198">
        <f>'CCR Depr and ADFIT'!$C$2</f>
        <v>21087934.780000001</v>
      </c>
      <c r="H52" s="14">
        <f>'CCR Depr and ADFIT'!C50</f>
        <v>-15113038</v>
      </c>
      <c r="J52" s="14">
        <f>'CCR Depr and ADFIT'!J50</f>
        <v>2055495</v>
      </c>
      <c r="L52" s="198">
        <f t="shared" si="8"/>
        <v>8030391.7800000012</v>
      </c>
      <c r="N52" s="20">
        <f>WACC!$S$16</f>
        <v>8.1600000000000006E-2</v>
      </c>
      <c r="P52" s="16">
        <f t="shared" si="9"/>
        <v>54606.664104000018</v>
      </c>
      <c r="Q52" s="17"/>
      <c r="R52" s="17">
        <v>0</v>
      </c>
      <c r="T52" s="17">
        <f>(ROUND(F52*'CCR Depr and ADFIT'!$C$5/12,0))</f>
        <v>351466</v>
      </c>
      <c r="V52" s="17">
        <f>F52*'Alloc. Factors and Property Tax'!$E$24*'Alloc. Factors and Property Tax'!$E$25*'Alloc. Factors and Property Tax'!$E$26/12</f>
        <v>1045.7506857402</v>
      </c>
      <c r="X52" s="17">
        <f t="shared" si="10"/>
        <v>407118.41478974023</v>
      </c>
      <c r="Z52" s="21">
        <f>'Alloc. Factors and Property Tax'!$C$18</f>
        <v>0.9604166666666667</v>
      </c>
      <c r="AB52" s="19">
        <f t="shared" si="11"/>
        <v>391003.31087097968</v>
      </c>
    </row>
    <row r="53" spans="2:28" x14ac:dyDescent="0.2">
      <c r="B53" s="23" t="s">
        <v>14</v>
      </c>
      <c r="D53" s="3">
        <v>2028</v>
      </c>
      <c r="F53" s="198">
        <f>'CCR Depr and ADFIT'!$C$2</f>
        <v>21087934.780000001</v>
      </c>
      <c r="H53" s="14">
        <f>'CCR Depr and ADFIT'!C51</f>
        <v>-15464504</v>
      </c>
      <c r="J53" s="14">
        <f>'CCR Depr and ADFIT'!J51</f>
        <v>2108220</v>
      </c>
      <c r="L53" s="198">
        <f t="shared" si="8"/>
        <v>7731650.7800000012</v>
      </c>
      <c r="N53" s="20">
        <f>WACC!$S$16</f>
        <v>8.1600000000000006E-2</v>
      </c>
      <c r="P53" s="16">
        <f t="shared" si="9"/>
        <v>52575.225304000014</v>
      </c>
      <c r="Q53" s="17"/>
      <c r="R53" s="17">
        <v>0</v>
      </c>
      <c r="T53" s="17">
        <f>(ROUND(F53*'CCR Depr and ADFIT'!$C$5/12,0))</f>
        <v>351466</v>
      </c>
      <c r="V53" s="17">
        <f>F53*'Alloc. Factors and Property Tax'!$E$24*'Alloc. Factors and Property Tax'!$E$25*'Alloc. Factors and Property Tax'!$E$26/12</f>
        <v>1045.7506857402</v>
      </c>
      <c r="X53" s="17">
        <f t="shared" si="10"/>
        <v>405086.97598974023</v>
      </c>
      <c r="Z53" s="21">
        <f>'Alloc. Factors and Property Tax'!$C$18</f>
        <v>0.9604166666666667</v>
      </c>
      <c r="AB53" s="19">
        <f t="shared" si="11"/>
        <v>389052.28319014638</v>
      </c>
    </row>
    <row r="54" spans="2:28" x14ac:dyDescent="0.2">
      <c r="B54" s="23" t="s">
        <v>15</v>
      </c>
      <c r="D54" s="3">
        <v>2028</v>
      </c>
      <c r="F54" s="198">
        <f>'CCR Depr and ADFIT'!$C$2</f>
        <v>21087934.780000001</v>
      </c>
      <c r="H54" s="14">
        <f>'CCR Depr and ADFIT'!C52</f>
        <v>-15815970</v>
      </c>
      <c r="J54" s="14">
        <f>'CCR Depr and ADFIT'!J52</f>
        <v>2160944</v>
      </c>
      <c r="L54" s="198">
        <f t="shared" si="8"/>
        <v>7432908.7800000012</v>
      </c>
      <c r="N54" s="20">
        <f>WACC!$S$16</f>
        <v>8.1600000000000006E-2</v>
      </c>
      <c r="P54" s="16">
        <f t="shared" si="9"/>
        <v>50543.779704000015</v>
      </c>
      <c r="Q54" s="17"/>
      <c r="R54" s="17">
        <v>0</v>
      </c>
      <c r="T54" s="17">
        <f>(ROUND(F54*'CCR Depr and ADFIT'!$C$5/12,0))</f>
        <v>351466</v>
      </c>
      <c r="V54" s="17">
        <f>F54*'Alloc. Factors and Property Tax'!$E$24*'Alloc. Factors and Property Tax'!$E$25*'Alloc. Factors and Property Tax'!$E$26/12</f>
        <v>1045.7506857402</v>
      </c>
      <c r="X54" s="17">
        <f t="shared" si="10"/>
        <v>403055.53038974019</v>
      </c>
      <c r="Z54" s="21">
        <f>'Alloc. Factors and Property Tax'!$C$18</f>
        <v>0.9604166666666667</v>
      </c>
      <c r="AB54" s="19">
        <f t="shared" si="11"/>
        <v>387101.24897847965</v>
      </c>
    </row>
    <row r="55" spans="2:28" x14ac:dyDescent="0.2">
      <c r="B55" s="23" t="s">
        <v>16</v>
      </c>
      <c r="D55" s="3">
        <v>2028</v>
      </c>
      <c r="F55" s="198">
        <f>'CCR Depr and ADFIT'!$C$2</f>
        <v>21087934.780000001</v>
      </c>
      <c r="H55" s="14">
        <f>'CCR Depr and ADFIT'!C53</f>
        <v>-16167436</v>
      </c>
      <c r="J55" s="14">
        <f>'CCR Depr and ADFIT'!J53</f>
        <v>2213669</v>
      </c>
      <c r="L55" s="198">
        <f t="shared" si="8"/>
        <v>7134167.7800000012</v>
      </c>
      <c r="N55" s="20">
        <f>WACC!$S$16</f>
        <v>8.1600000000000006E-2</v>
      </c>
      <c r="P55" s="16">
        <f t="shared" si="9"/>
        <v>48512.340904000012</v>
      </c>
      <c r="Q55" s="17"/>
      <c r="R55" s="17">
        <v>0</v>
      </c>
      <c r="T55" s="17">
        <f>(ROUND(F55*'CCR Depr and ADFIT'!$C$5/12,0))</f>
        <v>351466</v>
      </c>
      <c r="V55" s="17">
        <f>F55*'Alloc. Factors and Property Tax'!$E$24*'Alloc. Factors and Property Tax'!$E$25*'Alloc. Factors and Property Tax'!$E$26/12</f>
        <v>1045.7506857402</v>
      </c>
      <c r="X55" s="17">
        <f t="shared" si="10"/>
        <v>401024.09158974019</v>
      </c>
      <c r="Z55" s="21">
        <f>'Alloc. Factors and Property Tax'!$C$18</f>
        <v>0.9604166666666667</v>
      </c>
      <c r="AB55" s="19">
        <f t="shared" si="11"/>
        <v>385150.22129764629</v>
      </c>
    </row>
    <row r="56" spans="2:28" x14ac:dyDescent="0.2">
      <c r="B56" s="23" t="s">
        <v>17</v>
      </c>
      <c r="D56" s="3">
        <v>2028</v>
      </c>
      <c r="F56" s="198">
        <f>'CCR Depr and ADFIT'!$C$2</f>
        <v>21087934.780000001</v>
      </c>
      <c r="H56" s="14">
        <f>'CCR Depr and ADFIT'!C54</f>
        <v>-16518902</v>
      </c>
      <c r="J56" s="14">
        <f>'CCR Depr and ADFIT'!J54</f>
        <v>2266394</v>
      </c>
      <c r="L56" s="198">
        <f t="shared" si="8"/>
        <v>6835426.7800000012</v>
      </c>
      <c r="N56" s="20">
        <f>WACC!$S$16</f>
        <v>8.1600000000000006E-2</v>
      </c>
      <c r="P56" s="16">
        <f t="shared" si="9"/>
        <v>46480.902104000008</v>
      </c>
      <c r="Q56" s="17"/>
      <c r="R56" s="17">
        <v>0</v>
      </c>
      <c r="T56" s="17">
        <f>(ROUND(F56*'CCR Depr and ADFIT'!$C$5/12,0))</f>
        <v>351466</v>
      </c>
      <c r="V56" s="17">
        <f>F56*'Alloc. Factors and Property Tax'!$E$24*'Alloc. Factors and Property Tax'!$E$25*'Alloc. Factors and Property Tax'!$E$26/12</f>
        <v>1045.7506857402</v>
      </c>
      <c r="X56" s="17">
        <f t="shared" si="10"/>
        <v>398992.65278974018</v>
      </c>
      <c r="Z56" s="21">
        <f>'Alloc. Factors and Property Tax'!$C$18</f>
        <v>0.9604166666666667</v>
      </c>
      <c r="AB56" s="19">
        <f t="shared" si="11"/>
        <v>383199.19361681299</v>
      </c>
    </row>
    <row r="57" spans="2:28" x14ac:dyDescent="0.2">
      <c r="B57" s="23" t="s">
        <v>18</v>
      </c>
      <c r="D57" s="3">
        <v>2028</v>
      </c>
      <c r="F57" s="198">
        <f>'CCR Depr and ADFIT'!$C$2</f>
        <v>21087934.780000001</v>
      </c>
      <c r="H57" s="14">
        <f>'CCR Depr and ADFIT'!C55</f>
        <v>-16870368</v>
      </c>
      <c r="J57" s="14">
        <f>'CCR Depr and ADFIT'!J55</f>
        <v>2319118</v>
      </c>
      <c r="L57" s="198">
        <f t="shared" si="8"/>
        <v>6536684.7800000012</v>
      </c>
      <c r="N57" s="20">
        <f>WACC!$S$16</f>
        <v>8.1600000000000006E-2</v>
      </c>
      <c r="P57" s="16">
        <f t="shared" si="9"/>
        <v>44449.456504000009</v>
      </c>
      <c r="Q57" s="17"/>
      <c r="R57" s="17">
        <v>0</v>
      </c>
      <c r="T57" s="17">
        <f>(ROUND(F57*'CCR Depr and ADFIT'!$C$5/12,0))</f>
        <v>351466</v>
      </c>
      <c r="V57" s="17">
        <f>F57*'Alloc. Factors and Property Tax'!$E$24*'Alloc. Factors and Property Tax'!$E$25*'Alloc. Factors and Property Tax'!$E$26/12</f>
        <v>1045.7506857402</v>
      </c>
      <c r="X57" s="17">
        <f t="shared" si="10"/>
        <v>396961.20718974021</v>
      </c>
      <c r="Z57" s="21">
        <f>'Alloc. Factors and Property Tax'!$C$18</f>
        <v>0.9604166666666667</v>
      </c>
      <c r="AB57" s="19">
        <f t="shared" si="11"/>
        <v>381248.15940514632</v>
      </c>
    </row>
    <row r="58" spans="2:28" x14ac:dyDescent="0.2">
      <c r="B58" s="23" t="s">
        <v>19</v>
      </c>
      <c r="D58" s="3">
        <v>2028</v>
      </c>
      <c r="F58" s="198">
        <f>'CCR Depr and ADFIT'!$C$2</f>
        <v>21087934.780000001</v>
      </c>
      <c r="H58" s="14">
        <f>'CCR Depr and ADFIT'!C56</f>
        <v>-17221834</v>
      </c>
      <c r="J58" s="14">
        <f>'CCR Depr and ADFIT'!J56</f>
        <v>2371843</v>
      </c>
      <c r="L58" s="198">
        <f t="shared" si="8"/>
        <v>6237943.7800000012</v>
      </c>
      <c r="N58" s="20">
        <f>WACC!$S$16</f>
        <v>8.1600000000000006E-2</v>
      </c>
      <c r="P58" s="16">
        <f t="shared" si="9"/>
        <v>42418.017704000013</v>
      </c>
      <c r="Q58" s="17"/>
      <c r="R58" s="17">
        <v>0</v>
      </c>
      <c r="T58" s="17">
        <f>(ROUND(F58*'CCR Depr and ADFIT'!$C$5/12,0))</f>
        <v>351466</v>
      </c>
      <c r="V58" s="17">
        <f>F58*'Alloc. Factors and Property Tax'!$E$24*'Alloc. Factors and Property Tax'!$E$25*'Alloc. Factors and Property Tax'!$E$26/12</f>
        <v>1045.7506857402</v>
      </c>
      <c r="X58" s="17">
        <f t="shared" si="10"/>
        <v>394929.7683897402</v>
      </c>
      <c r="Z58" s="21">
        <f>'Alloc. Factors and Property Tax'!$C$18</f>
        <v>0.9604166666666667</v>
      </c>
      <c r="AB58" s="19">
        <f t="shared" si="11"/>
        <v>379297.13172431302</v>
      </c>
    </row>
    <row r="59" spans="2:28" x14ac:dyDescent="0.2">
      <c r="B59" s="23" t="s">
        <v>8</v>
      </c>
      <c r="D59" s="3">
        <v>2028</v>
      </c>
      <c r="F59" s="198">
        <f>'CCR Depr and ADFIT'!$C$2</f>
        <v>21087934.780000001</v>
      </c>
      <c r="H59" s="14">
        <f>'CCR Depr and ADFIT'!C57</f>
        <v>-17573300</v>
      </c>
      <c r="J59" s="14">
        <f>'CCR Depr and ADFIT'!J57</f>
        <v>2424568</v>
      </c>
      <c r="L59" s="198">
        <f t="shared" si="8"/>
        <v>5939202.7800000012</v>
      </c>
      <c r="N59" s="20">
        <f>WACC!$S$16</f>
        <v>8.1600000000000006E-2</v>
      </c>
      <c r="P59" s="16">
        <f t="shared" si="9"/>
        <v>40386.578904000009</v>
      </c>
      <c r="Q59" s="17"/>
      <c r="R59" s="17">
        <v>0</v>
      </c>
      <c r="T59" s="17">
        <f>(ROUND(F59*'CCR Depr and ADFIT'!$C$5/12,0))</f>
        <v>351466</v>
      </c>
      <c r="V59" s="17">
        <f>F59*'Alloc. Factors and Property Tax'!$E$24*'Alloc. Factors and Property Tax'!$E$25*'Alloc. Factors and Property Tax'!$E$26/12</f>
        <v>1045.7506857402</v>
      </c>
      <c r="X59" s="17">
        <f t="shared" si="10"/>
        <v>392898.3295897402</v>
      </c>
      <c r="Z59" s="21">
        <f>'Alloc. Factors and Property Tax'!$C$18</f>
        <v>0.9604166666666667</v>
      </c>
      <c r="AB59" s="19">
        <f t="shared" si="11"/>
        <v>377346.10404347966</v>
      </c>
    </row>
    <row r="60" spans="2:28" x14ac:dyDescent="0.2">
      <c r="B60" s="23" t="s">
        <v>9</v>
      </c>
      <c r="D60" s="3">
        <v>2028</v>
      </c>
      <c r="F60" s="198">
        <f>'CCR Depr and ADFIT'!$C$2</f>
        <v>21087934.780000001</v>
      </c>
      <c r="H60" s="14">
        <f>'CCR Depr and ADFIT'!C58</f>
        <v>-17924766</v>
      </c>
      <c r="J60" s="14">
        <f>'CCR Depr and ADFIT'!J58</f>
        <v>2477292</v>
      </c>
      <c r="L60" s="198">
        <f t="shared" si="8"/>
        <v>5640460.7800000012</v>
      </c>
      <c r="N60" s="20">
        <f>WACC!$S$16</f>
        <v>8.1600000000000006E-2</v>
      </c>
      <c r="P60" s="16">
        <f t="shared" si="9"/>
        <v>38355.13330400001</v>
      </c>
      <c r="Q60" s="17"/>
      <c r="R60" s="17">
        <v>0</v>
      </c>
      <c r="T60" s="17">
        <f>(ROUND(F60*'CCR Depr and ADFIT'!$C$5/12,0))</f>
        <v>351466</v>
      </c>
      <c r="V60" s="17">
        <f>F60*'Alloc. Factors and Property Tax'!$E$24*'Alloc. Factors and Property Tax'!$E$25*'Alloc. Factors and Property Tax'!$E$26/12</f>
        <v>1045.7506857402</v>
      </c>
      <c r="X60" s="17">
        <f t="shared" si="10"/>
        <v>390866.88398974022</v>
      </c>
      <c r="Z60" s="21">
        <f>'Alloc. Factors and Property Tax'!$C$18</f>
        <v>0.9604166666666667</v>
      </c>
      <c r="AB60" s="19">
        <f t="shared" si="11"/>
        <v>375395.06983181299</v>
      </c>
    </row>
    <row r="61" spans="2:28" x14ac:dyDescent="0.2">
      <c r="B61" s="23" t="s">
        <v>10</v>
      </c>
      <c r="D61" s="3">
        <v>2028</v>
      </c>
      <c r="F61" s="198">
        <f>'CCR Depr and ADFIT'!$C$2</f>
        <v>21087934.780000001</v>
      </c>
      <c r="H61" s="14">
        <f>'CCR Depr and ADFIT'!C59</f>
        <v>-18276232</v>
      </c>
      <c r="J61" s="14">
        <f>'CCR Depr and ADFIT'!J59</f>
        <v>2530017</v>
      </c>
      <c r="L61" s="198">
        <f t="shared" si="8"/>
        <v>5341719.7800000012</v>
      </c>
      <c r="N61" s="20">
        <f>WACC!$S$16</f>
        <v>8.1600000000000006E-2</v>
      </c>
      <c r="P61" s="16">
        <f t="shared" si="9"/>
        <v>36323.694504000006</v>
      </c>
      <c r="R61" s="17">
        <v>0</v>
      </c>
      <c r="T61" s="17">
        <f>(ROUND(F61*'CCR Depr and ADFIT'!$C$5/12,0))</f>
        <v>351466</v>
      </c>
      <c r="V61" s="17">
        <f>F61*'Alloc. Factors and Property Tax'!$E$24*'Alloc. Factors and Property Tax'!$E$25*'Alloc. Factors and Property Tax'!$E$26/12</f>
        <v>1045.7506857402</v>
      </c>
      <c r="X61" s="17">
        <f t="shared" si="10"/>
        <v>388835.44518974022</v>
      </c>
      <c r="Z61" s="21">
        <f>'Alloc. Factors and Property Tax'!$C$18</f>
        <v>0.9604166666666667</v>
      </c>
      <c r="AB61" s="19">
        <f t="shared" si="11"/>
        <v>373444.04215097969</v>
      </c>
    </row>
  </sheetData>
  <mergeCells count="14">
    <mergeCell ref="B1:AB2"/>
    <mergeCell ref="X4:X6"/>
    <mergeCell ref="Z4:Z6"/>
    <mergeCell ref="AB4:AB6"/>
    <mergeCell ref="B5:B6"/>
    <mergeCell ref="F5:F6"/>
    <mergeCell ref="H5:H6"/>
    <mergeCell ref="P5:P6"/>
    <mergeCell ref="R5:R6"/>
    <mergeCell ref="T5:T6"/>
    <mergeCell ref="V5:V6"/>
    <mergeCell ref="J5:J6"/>
    <mergeCell ref="L5:L6"/>
    <mergeCell ref="N5:N6"/>
  </mergeCells>
  <phoneticPr fontId="12" type="noConversion"/>
  <pageMargins left="0.7" right="0.7" top="0.75" bottom="0.75" header="0.3" footer="0.3"/>
  <pageSetup scale="4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7726E-415C-46A4-9548-DA7B5F7A9C31}">
  <sheetPr>
    <pageSetUpPr fitToPage="1"/>
  </sheetPr>
  <dimension ref="B1:AG205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R17" sqref="R17"/>
    </sheetView>
  </sheetViews>
  <sheetFormatPr defaultColWidth="8.85546875" defaultRowHeight="12.75" x14ac:dyDescent="0.2"/>
  <cols>
    <col min="1" max="1" width="1.7109375" style="3" customWidth="1"/>
    <col min="2" max="2" width="10.140625" style="3" customWidth="1"/>
    <col min="3" max="3" width="2.5703125" style="3" customWidth="1"/>
    <col min="4" max="4" width="8.140625" style="3" customWidth="1"/>
    <col min="5" max="5" width="2.5703125" style="3" customWidth="1"/>
    <col min="6" max="6" width="17.7109375" style="3" customWidth="1"/>
    <col min="7" max="7" width="2.5703125" style="3" customWidth="1"/>
    <col min="8" max="8" width="14" style="3" customWidth="1"/>
    <col min="9" max="9" width="2.5703125" style="3" customWidth="1"/>
    <col min="10" max="10" width="12.42578125" style="3" customWidth="1"/>
    <col min="11" max="11" width="2.5703125" style="3" customWidth="1"/>
    <col min="12" max="12" width="14.5703125" style="3" customWidth="1"/>
    <col min="13" max="13" width="2.5703125" style="3" customWidth="1"/>
    <col min="14" max="14" width="14.5703125" style="3" customWidth="1"/>
    <col min="15" max="15" width="2.5703125" style="3" customWidth="1"/>
    <col min="16" max="16" width="10.7109375" style="3" customWidth="1"/>
    <col min="17" max="17" width="2.5703125" style="3" customWidth="1"/>
    <col min="18" max="18" width="8.5703125" style="3" customWidth="1"/>
    <col min="19" max="19" width="2.5703125" style="3" customWidth="1"/>
    <col min="20" max="20" width="12.140625" style="3" customWidth="1"/>
    <col min="21" max="21" width="2.5703125" style="3" customWidth="1"/>
    <col min="22" max="22" width="12.140625" style="3" customWidth="1"/>
    <col min="23" max="23" width="2.5703125" style="3" customWidth="1"/>
    <col min="24" max="24" width="14.5703125" style="3" customWidth="1"/>
    <col min="25" max="25" width="2.5703125" style="3" customWidth="1"/>
    <col min="26" max="26" width="12.28515625" style="3" customWidth="1"/>
    <col min="27" max="27" width="2.140625" style="3" customWidth="1"/>
    <col min="28" max="28" width="12" style="3" customWidth="1"/>
    <col min="29" max="29" width="8.85546875" style="3"/>
    <col min="30" max="31" width="12.85546875" style="3" bestFit="1" customWidth="1"/>
    <col min="32" max="32" width="9.85546875" style="3" bestFit="1" customWidth="1"/>
    <col min="33" max="16384" width="8.85546875" style="3"/>
  </cols>
  <sheetData>
    <row r="1" spans="2:33" ht="15" customHeight="1" x14ac:dyDescent="0.2">
      <c r="B1" s="387" t="s">
        <v>240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</row>
    <row r="2" spans="2:33" ht="15" customHeight="1" thickBot="1" x14ac:dyDescent="0.25"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</row>
    <row r="3" spans="2:33" x14ac:dyDescent="0.2">
      <c r="B3" s="13"/>
    </row>
    <row r="4" spans="2:33" ht="12.75" customHeight="1" x14ac:dyDescent="0.2">
      <c r="B4" s="3" t="s">
        <v>0</v>
      </c>
      <c r="F4" s="273"/>
      <c r="G4" s="273"/>
      <c r="H4" s="273"/>
      <c r="I4" s="273"/>
      <c r="J4" s="273"/>
      <c r="T4" s="201"/>
      <c r="X4" s="377" t="s">
        <v>51</v>
      </c>
      <c r="Z4" s="377" t="s">
        <v>215</v>
      </c>
      <c r="AB4" s="377" t="s">
        <v>198</v>
      </c>
    </row>
    <row r="5" spans="2:33" ht="24" customHeight="1" x14ac:dyDescent="0.2">
      <c r="B5" s="377" t="s">
        <v>200</v>
      </c>
      <c r="C5" s="4"/>
      <c r="E5" s="4"/>
      <c r="F5" s="377" t="s">
        <v>202</v>
      </c>
      <c r="G5" s="4"/>
      <c r="H5" s="377" t="s">
        <v>1</v>
      </c>
      <c r="J5" s="377" t="s">
        <v>233</v>
      </c>
      <c r="L5" s="377" t="s">
        <v>3</v>
      </c>
      <c r="N5" s="377" t="s">
        <v>194</v>
      </c>
      <c r="P5" s="377" t="s">
        <v>4</v>
      </c>
      <c r="R5" s="377" t="s">
        <v>5</v>
      </c>
      <c r="T5" s="377" t="s">
        <v>23</v>
      </c>
      <c r="U5" s="5"/>
      <c r="V5" s="377" t="s">
        <v>199</v>
      </c>
      <c r="W5" s="5"/>
      <c r="X5" s="377"/>
      <c r="Z5" s="377"/>
      <c r="AB5" s="377"/>
      <c r="AG5" s="192"/>
    </row>
    <row r="6" spans="2:33" s="7" customFormat="1" ht="14.25" customHeight="1" x14ac:dyDescent="0.2">
      <c r="B6" s="377"/>
      <c r="C6" s="6"/>
      <c r="D6" s="6" t="s">
        <v>7</v>
      </c>
      <c r="E6" s="6"/>
      <c r="F6" s="377"/>
      <c r="G6" s="6"/>
      <c r="H6" s="377"/>
      <c r="J6" s="377"/>
      <c r="L6" s="377"/>
      <c r="N6" s="377"/>
      <c r="P6" s="377"/>
      <c r="R6" s="377"/>
      <c r="T6" s="377"/>
      <c r="U6" s="5"/>
      <c r="V6" s="377"/>
      <c r="W6" s="5"/>
      <c r="X6" s="377"/>
      <c r="Z6" s="377"/>
      <c r="AB6" s="377"/>
      <c r="AG6" s="194"/>
    </row>
    <row r="7" spans="2:33" s="8" customFormat="1" x14ac:dyDescent="0.2">
      <c r="B7" s="191">
        <v>-1</v>
      </c>
      <c r="C7" s="191" t="s">
        <v>0</v>
      </c>
      <c r="D7" s="191">
        <f>B7-1</f>
        <v>-2</v>
      </c>
      <c r="E7" s="191" t="s">
        <v>0</v>
      </c>
      <c r="F7" s="191">
        <f>D7-1</f>
        <v>-3</v>
      </c>
      <c r="G7" s="191" t="s">
        <v>0</v>
      </c>
      <c r="H7" s="191">
        <f>F7-1</f>
        <v>-4</v>
      </c>
      <c r="I7" s="191" t="s">
        <v>0</v>
      </c>
      <c r="J7" s="191">
        <f>H7-1</f>
        <v>-5</v>
      </c>
      <c r="K7" s="191" t="s">
        <v>0</v>
      </c>
      <c r="L7" s="191">
        <f>J7-1</f>
        <v>-6</v>
      </c>
      <c r="M7" s="191" t="s">
        <v>0</v>
      </c>
      <c r="N7" s="191">
        <f>L7-1</f>
        <v>-7</v>
      </c>
      <c r="O7" s="191" t="s">
        <v>0</v>
      </c>
      <c r="P7" s="191">
        <f>N7-1</f>
        <v>-8</v>
      </c>
      <c r="Q7" s="191" t="s">
        <v>0</v>
      </c>
      <c r="R7" s="191">
        <f>P7-1</f>
        <v>-9</v>
      </c>
      <c r="S7" s="191"/>
      <c r="T7" s="191">
        <f>R7-1</f>
        <v>-10</v>
      </c>
      <c r="U7" s="191" t="s">
        <v>0</v>
      </c>
      <c r="V7" s="191">
        <f>T7-1</f>
        <v>-11</v>
      </c>
      <c r="W7" s="191" t="s">
        <v>0</v>
      </c>
      <c r="X7" s="191">
        <f>V7-1</f>
        <v>-12</v>
      </c>
      <c r="Y7" s="191" t="s">
        <v>0</v>
      </c>
      <c r="Z7" s="191">
        <f>X7-1</f>
        <v>-13</v>
      </c>
      <c r="AA7" s="191"/>
      <c r="AB7" s="191">
        <f>Z7-1</f>
        <v>-14</v>
      </c>
    </row>
    <row r="8" spans="2:33" ht="5.25" customHeight="1" x14ac:dyDescent="0.2">
      <c r="B8" s="119"/>
      <c r="C8" s="122"/>
      <c r="D8" s="120"/>
      <c r="E8" s="122"/>
      <c r="F8" s="272"/>
      <c r="G8" s="122"/>
      <c r="H8" s="123"/>
      <c r="I8" s="120"/>
      <c r="J8" s="123"/>
      <c r="K8" s="120"/>
      <c r="L8" s="123"/>
      <c r="M8" s="120"/>
      <c r="N8" s="123"/>
      <c r="O8" s="120"/>
      <c r="P8" s="121"/>
      <c r="Q8" s="120"/>
      <c r="R8" s="124"/>
      <c r="S8" s="120"/>
      <c r="T8" s="121"/>
      <c r="U8" s="120"/>
      <c r="V8" s="121"/>
      <c r="W8" s="120"/>
      <c r="X8" s="125"/>
      <c r="Y8" s="120"/>
      <c r="Z8" s="125"/>
      <c r="AA8" s="125"/>
      <c r="AB8" s="125"/>
    </row>
    <row r="9" spans="2:33" x14ac:dyDescent="0.2">
      <c r="B9" s="23" t="s">
        <v>19</v>
      </c>
      <c r="D9" s="3">
        <v>2024</v>
      </c>
      <c r="F9" s="198">
        <f>'CCR Depr and ADFIT'!$C$2</f>
        <v>21087934.780000001</v>
      </c>
      <c r="H9" s="14">
        <f>'CCR Depr and ADFIT'!N8</f>
        <v>-351466</v>
      </c>
      <c r="J9" s="14">
        <f>'CCR Depr and ADFIT'!U8</f>
        <v>-50743</v>
      </c>
      <c r="L9" s="198">
        <f t="shared" ref="L9:L12" si="0">SUM(F9:K9)</f>
        <v>20685725.780000001</v>
      </c>
      <c r="N9" s="20">
        <f>WACC!$S$16</f>
        <v>8.1600000000000006E-2</v>
      </c>
      <c r="P9" s="16">
        <f t="shared" ref="P9:P12" si="1">L9*N9/12</f>
        <v>140662.93530400001</v>
      </c>
      <c r="R9" s="17">
        <v>0</v>
      </c>
      <c r="T9" s="17">
        <f>(ROUND(F9*'CCR Depr and ADFIT'!$N$5/12,0))</f>
        <v>351466</v>
      </c>
      <c r="V9" s="17">
        <f>F9*'Alloc. Factors and Property Tax'!$E$24*'Alloc. Factors and Property Tax'!$E$25*'Alloc. Factors and Property Tax'!$E$26/12</f>
        <v>1045.7506857402</v>
      </c>
      <c r="X9" s="17">
        <f t="shared" ref="X9:X12" si="2">SUM(P9:W9)</f>
        <v>493174.68598974025</v>
      </c>
      <c r="Z9" s="21">
        <f>'Alloc. Factors and Property Tax'!$C$18</f>
        <v>0.9604166666666667</v>
      </c>
      <c r="AB9" s="19">
        <f t="shared" ref="AB9:AB12" si="3">X9*Z9</f>
        <v>473653.18800264638</v>
      </c>
    </row>
    <row r="10" spans="2:33" x14ac:dyDescent="0.2">
      <c r="B10" s="23" t="s">
        <v>8</v>
      </c>
      <c r="D10" s="3">
        <v>2024</v>
      </c>
      <c r="F10" s="198">
        <f>'CCR Depr and ADFIT'!$C$2</f>
        <v>21087934.780000001</v>
      </c>
      <c r="H10" s="14">
        <f>'CCR Depr and ADFIT'!N9</f>
        <v>-702932</v>
      </c>
      <c r="J10" s="14">
        <f>'CCR Depr and ADFIT'!U9</f>
        <v>9226</v>
      </c>
      <c r="L10" s="198">
        <f t="shared" si="0"/>
        <v>20394228.780000001</v>
      </c>
      <c r="N10" s="20">
        <f>WACC!$S$16</f>
        <v>8.1600000000000006E-2</v>
      </c>
      <c r="P10" s="16">
        <f t="shared" si="1"/>
        <v>138680.75570400001</v>
      </c>
      <c r="R10" s="17">
        <v>0</v>
      </c>
      <c r="T10" s="17">
        <f>(ROUND(F10*'CCR Depr and ADFIT'!$N$5/12,0))</f>
        <v>351466</v>
      </c>
      <c r="V10" s="17">
        <f>F10*'Alloc. Factors and Property Tax'!$E$24*'Alloc. Factors and Property Tax'!$E$25*'Alloc. Factors and Property Tax'!$E$26/12</f>
        <v>1045.7506857402</v>
      </c>
      <c r="X10" s="17">
        <f t="shared" si="2"/>
        <v>491192.50638974021</v>
      </c>
      <c r="Z10" s="21">
        <f>'Alloc. Factors and Property Tax'!$C$18</f>
        <v>0.9604166666666667</v>
      </c>
      <c r="AB10" s="19">
        <f t="shared" si="3"/>
        <v>471749.46967847965</v>
      </c>
    </row>
    <row r="11" spans="2:33" x14ac:dyDescent="0.2">
      <c r="B11" s="23" t="s">
        <v>9</v>
      </c>
      <c r="D11" s="3">
        <v>2024</v>
      </c>
      <c r="F11" s="198">
        <f>'CCR Depr and ADFIT'!$C$2</f>
        <v>21087934.780000001</v>
      </c>
      <c r="H11" s="14">
        <f>'CCR Depr and ADFIT'!N10</f>
        <v>-1054398</v>
      </c>
      <c r="J11" s="14">
        <f>'CCR Depr and ADFIT'!U10</f>
        <v>69195</v>
      </c>
      <c r="L11" s="198">
        <f t="shared" si="0"/>
        <v>20102731.780000001</v>
      </c>
      <c r="N11" s="20">
        <f>WACC!$S$16</f>
        <v>8.1600000000000006E-2</v>
      </c>
      <c r="P11" s="16">
        <f t="shared" si="1"/>
        <v>136698.57610400001</v>
      </c>
      <c r="R11" s="17">
        <v>0</v>
      </c>
      <c r="T11" s="17">
        <f>(ROUND(F11*'CCR Depr and ADFIT'!$N$5/12,0))</f>
        <v>351466</v>
      </c>
      <c r="V11" s="17">
        <f>F11*'Alloc. Factors and Property Tax'!$E$24*'Alloc. Factors and Property Tax'!$E$25*'Alloc. Factors and Property Tax'!$E$26/12</f>
        <v>1045.7506857402</v>
      </c>
      <c r="X11" s="17">
        <f t="shared" si="2"/>
        <v>489210.32678974018</v>
      </c>
      <c r="Z11" s="21">
        <f>'Alloc. Factors and Property Tax'!$C$18</f>
        <v>0.9604166666666667</v>
      </c>
      <c r="AB11" s="19">
        <f t="shared" si="3"/>
        <v>469845.75135431299</v>
      </c>
    </row>
    <row r="12" spans="2:33" x14ac:dyDescent="0.2">
      <c r="B12" s="23" t="s">
        <v>10</v>
      </c>
      <c r="D12" s="3">
        <v>2024</v>
      </c>
      <c r="F12" s="198">
        <f>'CCR Depr and ADFIT'!$C$2</f>
        <v>21087934.780000001</v>
      </c>
      <c r="H12" s="14">
        <f>'CCR Depr and ADFIT'!N11</f>
        <v>-1405864</v>
      </c>
      <c r="J12" s="14">
        <f>'CCR Depr and ADFIT'!U11</f>
        <v>129164</v>
      </c>
      <c r="L12" s="198">
        <f t="shared" si="0"/>
        <v>19811234.780000001</v>
      </c>
      <c r="N12" s="20">
        <f>WACC!$S$16</f>
        <v>8.1600000000000006E-2</v>
      </c>
      <c r="P12" s="16">
        <f t="shared" si="1"/>
        <v>134716.39650400003</v>
      </c>
      <c r="R12" s="17">
        <v>0</v>
      </c>
      <c r="T12" s="17">
        <f>(ROUND(F12*'CCR Depr and ADFIT'!$N$5/12,0))</f>
        <v>351466</v>
      </c>
      <c r="V12" s="17">
        <f>F12*'Alloc. Factors and Property Tax'!$E$24*'Alloc. Factors and Property Tax'!$E$25*'Alloc. Factors and Property Tax'!$E$26/12</f>
        <v>1045.7506857402</v>
      </c>
      <c r="X12" s="17">
        <f t="shared" si="2"/>
        <v>487228.14718974027</v>
      </c>
      <c r="Z12" s="21">
        <f>'Alloc. Factors and Property Tax'!$C$18</f>
        <v>0.9604166666666667</v>
      </c>
      <c r="AB12" s="19">
        <f t="shared" si="3"/>
        <v>467942.03303014638</v>
      </c>
    </row>
    <row r="13" spans="2:33" x14ac:dyDescent="0.2">
      <c r="B13" s="23" t="s">
        <v>11</v>
      </c>
      <c r="D13" s="3">
        <v>2025</v>
      </c>
      <c r="F13" s="198">
        <f>'CCR Depr and ADFIT'!$C$2</f>
        <v>21087934.780000001</v>
      </c>
      <c r="H13" s="14">
        <f>'CCR Depr and ADFIT'!N12</f>
        <v>-1757330</v>
      </c>
      <c r="J13" s="14">
        <f>'CCR Depr and ADFIT'!U12</f>
        <v>176331</v>
      </c>
      <c r="L13" s="198">
        <f t="shared" ref="L13:L23" si="4">SUM(F13:K13)</f>
        <v>19506935.780000001</v>
      </c>
      <c r="N13" s="20">
        <f>WACC!$S$16</f>
        <v>8.1600000000000006E-2</v>
      </c>
      <c r="P13" s="16">
        <f t="shared" ref="P13:P24" si="5">L13*N13/12</f>
        <v>132647.16330400002</v>
      </c>
      <c r="R13" s="17">
        <v>0</v>
      </c>
      <c r="T13" s="17">
        <f>(ROUND(F13*'CCR Depr and ADFIT'!$N$5/12,0))</f>
        <v>351466</v>
      </c>
      <c r="V13" s="17">
        <f>F13*'Alloc. Factors and Property Tax'!$E$24*'Alloc. Factors and Property Tax'!$E$25*'Alloc. Factors and Property Tax'!$E$26/12</f>
        <v>1045.7506857402</v>
      </c>
      <c r="X13" s="17">
        <f t="shared" ref="X13:X24" si="6">SUM(P13:W13)</f>
        <v>485158.91398974025</v>
      </c>
      <c r="Z13" s="21">
        <f>'Alloc. Factors and Property Tax'!$C$18</f>
        <v>0.9604166666666667</v>
      </c>
      <c r="AB13" s="19">
        <f t="shared" ref="AB13:AB24" si="7">X13*Z13</f>
        <v>465954.70697764639</v>
      </c>
    </row>
    <row r="14" spans="2:33" x14ac:dyDescent="0.2">
      <c r="B14" s="23" t="s">
        <v>12</v>
      </c>
      <c r="D14" s="3">
        <v>2025</v>
      </c>
      <c r="F14" s="198">
        <f>'CCR Depr and ADFIT'!$C$2</f>
        <v>21087934.780000001</v>
      </c>
      <c r="H14" s="14">
        <f>'CCR Depr and ADFIT'!N13</f>
        <v>-2108796</v>
      </c>
      <c r="J14" s="14">
        <f>'CCR Depr and ADFIT'!U13</f>
        <v>223498</v>
      </c>
      <c r="L14" s="198">
        <f t="shared" si="4"/>
        <v>19202636.780000001</v>
      </c>
      <c r="N14" s="20">
        <f>WACC!$S$16</f>
        <v>8.1600000000000006E-2</v>
      </c>
      <c r="P14" s="16">
        <f t="shared" si="5"/>
        <v>130577.93010400001</v>
      </c>
      <c r="R14" s="17">
        <v>0</v>
      </c>
      <c r="T14" s="17">
        <f>(ROUND(F14*'CCR Depr and ADFIT'!$N$5/12,0))</f>
        <v>351466</v>
      </c>
      <c r="V14" s="17">
        <f>F14*'Alloc. Factors and Property Tax'!$E$24*'Alloc. Factors and Property Tax'!$E$25*'Alloc. Factors and Property Tax'!$E$26/12</f>
        <v>1045.7506857402</v>
      </c>
      <c r="X14" s="17">
        <f t="shared" si="6"/>
        <v>483089.68078974023</v>
      </c>
      <c r="Z14" s="21">
        <f>'Alloc. Factors and Property Tax'!$C$18</f>
        <v>0.9604166666666667</v>
      </c>
      <c r="AB14" s="19">
        <f t="shared" si="7"/>
        <v>463967.38092514634</v>
      </c>
    </row>
    <row r="15" spans="2:33" x14ac:dyDescent="0.2">
      <c r="B15" s="23" t="s">
        <v>13</v>
      </c>
      <c r="D15" s="3">
        <v>2025</v>
      </c>
      <c r="F15" s="198">
        <f>'CCR Depr and ADFIT'!$C$2</f>
        <v>21087934.780000001</v>
      </c>
      <c r="H15" s="14">
        <f>'CCR Depr and ADFIT'!N14</f>
        <v>-2460262</v>
      </c>
      <c r="J15" s="14">
        <f>'CCR Depr and ADFIT'!U14</f>
        <v>270665</v>
      </c>
      <c r="L15" s="198">
        <f t="shared" si="4"/>
        <v>18898337.780000001</v>
      </c>
      <c r="N15" s="20">
        <f>WACC!$S$16</f>
        <v>8.1600000000000006E-2</v>
      </c>
      <c r="P15" s="16">
        <f t="shared" si="5"/>
        <v>128508.69690400001</v>
      </c>
      <c r="R15" s="17">
        <v>0</v>
      </c>
      <c r="T15" s="17">
        <f>(ROUND(F15*'CCR Depr and ADFIT'!$N$5/12,0))</f>
        <v>351466</v>
      </c>
      <c r="V15" s="17">
        <f>F15*'Alloc. Factors and Property Tax'!$E$24*'Alloc. Factors and Property Tax'!$E$25*'Alloc. Factors and Property Tax'!$E$26/12</f>
        <v>1045.7506857402</v>
      </c>
      <c r="X15" s="17">
        <f t="shared" si="6"/>
        <v>481020.44758974022</v>
      </c>
      <c r="Z15" s="21">
        <f>'Alloc. Factors and Property Tax'!$C$18</f>
        <v>0.9604166666666667</v>
      </c>
      <c r="AB15" s="19">
        <f t="shared" si="7"/>
        <v>461980.05487264635</v>
      </c>
    </row>
    <row r="16" spans="2:33" x14ac:dyDescent="0.2">
      <c r="B16" s="23" t="s">
        <v>14</v>
      </c>
      <c r="D16" s="3">
        <v>2025</v>
      </c>
      <c r="F16" s="198">
        <f>'CCR Depr and ADFIT'!$C$2</f>
        <v>21087934.780000001</v>
      </c>
      <c r="H16" s="14">
        <f>'CCR Depr and ADFIT'!N15</f>
        <v>-2811728</v>
      </c>
      <c r="J16" s="14">
        <f>'CCR Depr and ADFIT'!U15</f>
        <v>317832</v>
      </c>
      <c r="L16" s="198">
        <f t="shared" si="4"/>
        <v>18594038.780000001</v>
      </c>
      <c r="N16" s="20">
        <f>WACC!$S$16</f>
        <v>8.1600000000000006E-2</v>
      </c>
      <c r="P16" s="16">
        <f t="shared" si="5"/>
        <v>126439.46370400001</v>
      </c>
      <c r="R16" s="17">
        <v>0</v>
      </c>
      <c r="T16" s="17">
        <f>(ROUND(F16*'CCR Depr and ADFIT'!$N$5/12,0))</f>
        <v>351466</v>
      </c>
      <c r="V16" s="17">
        <f>F16*'Alloc. Factors and Property Tax'!$E$24*'Alloc. Factors and Property Tax'!$E$25*'Alloc. Factors and Property Tax'!$E$26/12</f>
        <v>1045.7506857402</v>
      </c>
      <c r="X16" s="17">
        <f t="shared" si="6"/>
        <v>478951.2143897402</v>
      </c>
      <c r="Z16" s="21">
        <f>'Alloc. Factors and Property Tax'!$C$18</f>
        <v>0.9604166666666667</v>
      </c>
      <c r="AB16" s="19">
        <f t="shared" si="7"/>
        <v>459992.72882014635</v>
      </c>
    </row>
    <row r="17" spans="2:28" x14ac:dyDescent="0.2">
      <c r="B17" s="23" t="s">
        <v>15</v>
      </c>
      <c r="D17" s="3">
        <v>2025</v>
      </c>
      <c r="F17" s="198">
        <f>'CCR Depr and ADFIT'!$C$2</f>
        <v>21087934.780000001</v>
      </c>
      <c r="H17" s="14">
        <f>'CCR Depr and ADFIT'!N16</f>
        <v>-3163194</v>
      </c>
      <c r="J17" s="14">
        <f>'CCR Depr and ADFIT'!U16</f>
        <v>364999</v>
      </c>
      <c r="L17" s="198">
        <f t="shared" si="4"/>
        <v>18289739.780000001</v>
      </c>
      <c r="N17" s="20">
        <f>WACC!$S$16</f>
        <v>8.1600000000000006E-2</v>
      </c>
      <c r="P17" s="16">
        <f t="shared" si="5"/>
        <v>124370.23050400002</v>
      </c>
      <c r="R17" s="17">
        <v>0</v>
      </c>
      <c r="T17" s="17">
        <f>(ROUND(F17*'CCR Depr and ADFIT'!$N$5/12,0))</f>
        <v>351466</v>
      </c>
      <c r="V17" s="17">
        <f>F17*'Alloc. Factors and Property Tax'!$E$24*'Alloc. Factors and Property Tax'!$E$25*'Alloc. Factors and Property Tax'!$E$26/12</f>
        <v>1045.7506857402</v>
      </c>
      <c r="X17" s="17">
        <f t="shared" si="6"/>
        <v>476881.98118974024</v>
      </c>
      <c r="Z17" s="21">
        <f>'Alloc. Factors and Property Tax'!$C$18</f>
        <v>0.9604166666666667</v>
      </c>
      <c r="AB17" s="19">
        <f t="shared" si="7"/>
        <v>458005.40276764636</v>
      </c>
    </row>
    <row r="18" spans="2:28" x14ac:dyDescent="0.2">
      <c r="B18" s="23" t="s">
        <v>16</v>
      </c>
      <c r="D18" s="3">
        <v>2025</v>
      </c>
      <c r="F18" s="198">
        <f>'CCR Depr and ADFIT'!$C$2</f>
        <v>21087934.780000001</v>
      </c>
      <c r="H18" s="14">
        <f>'CCR Depr and ADFIT'!N17</f>
        <v>-3514660</v>
      </c>
      <c r="J18" s="14">
        <f>'CCR Depr and ADFIT'!U17</f>
        <v>412166</v>
      </c>
      <c r="L18" s="198">
        <f t="shared" si="4"/>
        <v>17985440.780000001</v>
      </c>
      <c r="N18" s="20">
        <f>WACC!$S$16</f>
        <v>8.1600000000000006E-2</v>
      </c>
      <c r="P18" s="16">
        <f t="shared" si="5"/>
        <v>122300.99730400002</v>
      </c>
      <c r="R18" s="17">
        <v>0</v>
      </c>
      <c r="T18" s="17">
        <f>(ROUND(F18*'CCR Depr and ADFIT'!$N$5/12,0))</f>
        <v>351466</v>
      </c>
      <c r="V18" s="17">
        <f>F18*'Alloc. Factors and Property Tax'!$E$24*'Alloc. Factors and Property Tax'!$E$25*'Alloc. Factors and Property Tax'!$E$26/12</f>
        <v>1045.7506857402</v>
      </c>
      <c r="X18" s="17">
        <f t="shared" si="6"/>
        <v>474812.74798974022</v>
      </c>
      <c r="Z18" s="21">
        <f>'Alloc. Factors and Property Tax'!$C$18</f>
        <v>0.9604166666666667</v>
      </c>
      <c r="AB18" s="19">
        <f t="shared" si="7"/>
        <v>456018.07671514637</v>
      </c>
    </row>
    <row r="19" spans="2:28" x14ac:dyDescent="0.2">
      <c r="B19" s="23" t="s">
        <v>17</v>
      </c>
      <c r="D19" s="3">
        <v>2025</v>
      </c>
      <c r="F19" s="198">
        <f>'CCR Depr and ADFIT'!$C$2</f>
        <v>21087934.780000001</v>
      </c>
      <c r="H19" s="14">
        <f>'CCR Depr and ADFIT'!N18</f>
        <v>-3866126</v>
      </c>
      <c r="J19" s="14">
        <f>'CCR Depr and ADFIT'!U18</f>
        <v>459333</v>
      </c>
      <c r="L19" s="198">
        <f t="shared" si="4"/>
        <v>17681141.780000001</v>
      </c>
      <c r="N19" s="20">
        <f>WACC!$S$16</f>
        <v>8.1600000000000006E-2</v>
      </c>
      <c r="P19" s="16">
        <f t="shared" si="5"/>
        <v>120231.76410400002</v>
      </c>
      <c r="R19" s="17">
        <v>0</v>
      </c>
      <c r="T19" s="17">
        <f>(ROUND(F19*'CCR Depr and ADFIT'!$N$5/12,0))</f>
        <v>351466</v>
      </c>
      <c r="V19" s="17">
        <f>F19*'Alloc. Factors and Property Tax'!$E$24*'Alloc. Factors and Property Tax'!$E$25*'Alloc. Factors and Property Tax'!$E$26/12</f>
        <v>1045.7506857402</v>
      </c>
      <c r="X19" s="17">
        <f t="shared" si="6"/>
        <v>472743.51478974021</v>
      </c>
      <c r="Z19" s="21">
        <f>'Alloc. Factors and Property Tax'!$C$18</f>
        <v>0.9604166666666667</v>
      </c>
      <c r="AB19" s="19">
        <f t="shared" si="7"/>
        <v>454030.75066264631</v>
      </c>
    </row>
    <row r="20" spans="2:28" x14ac:dyDescent="0.2">
      <c r="B20" s="23" t="s">
        <v>18</v>
      </c>
      <c r="D20" s="3">
        <v>2025</v>
      </c>
      <c r="F20" s="198">
        <f>'CCR Depr and ADFIT'!$C$2</f>
        <v>21087934.780000001</v>
      </c>
      <c r="H20" s="14">
        <f>'CCR Depr and ADFIT'!N19</f>
        <v>-4217592</v>
      </c>
      <c r="J20" s="14">
        <f>'CCR Depr and ADFIT'!U19</f>
        <v>506500</v>
      </c>
      <c r="L20" s="198">
        <f t="shared" si="4"/>
        <v>17376842.780000001</v>
      </c>
      <c r="N20" s="20">
        <f>WACC!$S$16</f>
        <v>8.1600000000000006E-2</v>
      </c>
      <c r="P20" s="16">
        <f t="shared" si="5"/>
        <v>118162.53090400003</v>
      </c>
      <c r="R20" s="17">
        <v>0</v>
      </c>
      <c r="T20" s="17">
        <f>(ROUND(F20*'CCR Depr and ADFIT'!$N$5/12,0))</f>
        <v>351466</v>
      </c>
      <c r="V20" s="17">
        <f>F20*'Alloc. Factors and Property Tax'!$E$24*'Alloc. Factors and Property Tax'!$E$25*'Alloc. Factors and Property Tax'!$E$26/12</f>
        <v>1045.7506857402</v>
      </c>
      <c r="X20" s="17">
        <f t="shared" si="6"/>
        <v>470674.28158974025</v>
      </c>
      <c r="Z20" s="21">
        <f>'Alloc. Factors and Property Tax'!$C$18</f>
        <v>0.9604166666666667</v>
      </c>
      <c r="AB20" s="19">
        <f t="shared" si="7"/>
        <v>452043.42461014638</v>
      </c>
    </row>
    <row r="21" spans="2:28" x14ac:dyDescent="0.2">
      <c r="B21" s="23" t="s">
        <v>19</v>
      </c>
      <c r="D21" s="3">
        <v>2025</v>
      </c>
      <c r="F21" s="198">
        <f>'CCR Depr and ADFIT'!$C$2</f>
        <v>21087934.780000001</v>
      </c>
      <c r="H21" s="14">
        <f>'CCR Depr and ADFIT'!N20</f>
        <v>-4569058</v>
      </c>
      <c r="J21" s="14">
        <f>'CCR Depr and ADFIT'!U20</f>
        <v>553666</v>
      </c>
      <c r="L21" s="198">
        <f t="shared" si="4"/>
        <v>17072542.780000001</v>
      </c>
      <c r="N21" s="20">
        <f>WACC!$S$16</f>
        <v>8.1600000000000006E-2</v>
      </c>
      <c r="P21" s="16">
        <f t="shared" si="5"/>
        <v>116093.29090400001</v>
      </c>
      <c r="R21" s="17">
        <v>0</v>
      </c>
      <c r="T21" s="17">
        <f>(ROUND(F21*'CCR Depr and ADFIT'!$N$5/12,0))</f>
        <v>351466</v>
      </c>
      <c r="V21" s="17">
        <f>F21*'Alloc. Factors and Property Tax'!$E$24*'Alloc. Factors and Property Tax'!$E$25*'Alloc. Factors and Property Tax'!$E$26/12</f>
        <v>1045.7506857402</v>
      </c>
      <c r="X21" s="17">
        <f t="shared" si="6"/>
        <v>468605.0415897402</v>
      </c>
      <c r="Z21" s="21">
        <f>'Alloc. Factors and Property Tax'!$C$18</f>
        <v>0.9604166666666667</v>
      </c>
      <c r="AB21" s="19">
        <f t="shared" si="7"/>
        <v>450056.09202681301</v>
      </c>
    </row>
    <row r="22" spans="2:28" x14ac:dyDescent="0.2">
      <c r="B22" s="23" t="s">
        <v>8</v>
      </c>
      <c r="D22" s="3">
        <v>2025</v>
      </c>
      <c r="F22" s="198">
        <f>'CCR Depr and ADFIT'!$C$2</f>
        <v>21087934.780000001</v>
      </c>
      <c r="H22" s="14">
        <f>'CCR Depr and ADFIT'!N21</f>
        <v>-4920524</v>
      </c>
      <c r="J22" s="14">
        <f>'CCR Depr and ADFIT'!U21</f>
        <v>600833</v>
      </c>
      <c r="L22" s="198">
        <f t="shared" si="4"/>
        <v>16768243.780000001</v>
      </c>
      <c r="N22" s="20">
        <f>WACC!$S$16</f>
        <v>8.1600000000000006E-2</v>
      </c>
      <c r="P22" s="16">
        <f t="shared" si="5"/>
        <v>114024.05770400002</v>
      </c>
      <c r="R22" s="17">
        <v>0</v>
      </c>
      <c r="T22" s="17">
        <f>(ROUND(F22*'CCR Depr and ADFIT'!$N$5/12,0))</f>
        <v>351466</v>
      </c>
      <c r="V22" s="17">
        <f>F22*'Alloc. Factors and Property Tax'!$E$24*'Alloc. Factors and Property Tax'!$E$25*'Alloc. Factors and Property Tax'!$E$26/12</f>
        <v>1045.7506857402</v>
      </c>
      <c r="X22" s="17">
        <f t="shared" si="6"/>
        <v>466535.80838974024</v>
      </c>
      <c r="Z22" s="21">
        <f>'Alloc. Factors and Property Tax'!$C$18</f>
        <v>0.9604166666666667</v>
      </c>
      <c r="AB22" s="19">
        <f t="shared" si="7"/>
        <v>448068.76597431302</v>
      </c>
    </row>
    <row r="23" spans="2:28" x14ac:dyDescent="0.2">
      <c r="B23" s="23" t="s">
        <v>9</v>
      </c>
      <c r="D23" s="3">
        <v>2025</v>
      </c>
      <c r="F23" s="198">
        <f>'CCR Depr and ADFIT'!$C$2</f>
        <v>21087934.780000001</v>
      </c>
      <c r="H23" s="14">
        <f>'CCR Depr and ADFIT'!N22</f>
        <v>-5271990</v>
      </c>
      <c r="J23" s="14">
        <f>'CCR Depr and ADFIT'!U22</f>
        <v>648000</v>
      </c>
      <c r="L23" s="198">
        <f t="shared" si="4"/>
        <v>16463944.780000001</v>
      </c>
      <c r="N23" s="20">
        <f>WACC!$S$16</f>
        <v>8.1600000000000006E-2</v>
      </c>
      <c r="P23" s="16">
        <f t="shared" si="5"/>
        <v>111954.82450400002</v>
      </c>
      <c r="R23" s="17">
        <v>0</v>
      </c>
      <c r="T23" s="17">
        <f>(ROUND(F23*'CCR Depr and ADFIT'!$N$5/12,0))</f>
        <v>351466</v>
      </c>
      <c r="V23" s="17">
        <f>F23*'Alloc. Factors and Property Tax'!$E$24*'Alloc. Factors and Property Tax'!$E$25*'Alloc. Factors and Property Tax'!$E$26/12</f>
        <v>1045.7506857402</v>
      </c>
      <c r="X23" s="17">
        <f t="shared" si="6"/>
        <v>464466.57518974022</v>
      </c>
      <c r="Z23" s="21">
        <f>'Alloc. Factors and Property Tax'!$C$18</f>
        <v>0.9604166666666667</v>
      </c>
      <c r="AB23" s="19">
        <f t="shared" si="7"/>
        <v>446081.43992181303</v>
      </c>
    </row>
    <row r="24" spans="2:28" x14ac:dyDescent="0.2">
      <c r="B24" s="23" t="s">
        <v>10</v>
      </c>
      <c r="D24" s="3">
        <v>2025</v>
      </c>
      <c r="F24" s="198">
        <f>'CCR Depr and ADFIT'!$C$2</f>
        <v>21087934.780000001</v>
      </c>
      <c r="H24" s="14">
        <f>'CCR Depr and ADFIT'!N23</f>
        <v>-5623456</v>
      </c>
      <c r="J24" s="14">
        <f>'CCR Depr and ADFIT'!U23</f>
        <v>695167</v>
      </c>
      <c r="L24" s="198">
        <f>SUM(F24:K24)</f>
        <v>16159645.780000001</v>
      </c>
      <c r="N24" s="20">
        <f>WACC!$S$16</f>
        <v>8.1600000000000006E-2</v>
      </c>
      <c r="P24" s="16">
        <f t="shared" si="5"/>
        <v>109885.59130400002</v>
      </c>
      <c r="R24" s="17">
        <v>0</v>
      </c>
      <c r="T24" s="17">
        <f>(ROUND(F24*'CCR Depr and ADFIT'!$N$5/12,0))</f>
        <v>351466</v>
      </c>
      <c r="V24" s="17">
        <f>F24*'Alloc. Factors and Property Tax'!$E$24*'Alloc. Factors and Property Tax'!$E$25*'Alloc. Factors and Property Tax'!$E$26/12</f>
        <v>1045.7506857402</v>
      </c>
      <c r="X24" s="17">
        <f t="shared" si="6"/>
        <v>462397.34198974021</v>
      </c>
      <c r="Z24" s="21">
        <f>'Alloc. Factors and Property Tax'!$C$18</f>
        <v>0.9604166666666667</v>
      </c>
      <c r="AB24" s="19">
        <f t="shared" si="7"/>
        <v>444094.11386931298</v>
      </c>
    </row>
    <row r="25" spans="2:28" ht="5.25" customHeight="1" x14ac:dyDescent="0.2">
      <c r="B25" s="119"/>
      <c r="C25" s="122"/>
      <c r="D25" s="120"/>
      <c r="E25" s="122"/>
      <c r="F25" s="272"/>
      <c r="G25" s="122"/>
      <c r="H25" s="123"/>
      <c r="I25" s="120"/>
      <c r="J25" s="123"/>
      <c r="K25" s="120"/>
      <c r="L25" s="123"/>
      <c r="M25" s="120"/>
      <c r="N25" s="123"/>
      <c r="O25" s="120"/>
      <c r="P25" s="121"/>
      <c r="Q25" s="120"/>
      <c r="R25" s="124"/>
      <c r="S25" s="120"/>
      <c r="T25" s="121"/>
      <c r="U25" s="120"/>
      <c r="V25" s="121"/>
      <c r="W25" s="120"/>
      <c r="X25" s="125"/>
      <c r="Y25" s="120"/>
      <c r="Z25" s="125"/>
      <c r="AA25" s="125"/>
      <c r="AB25" s="125"/>
    </row>
    <row r="26" spans="2:28" x14ac:dyDescent="0.2">
      <c r="B26" s="23" t="s">
        <v>11</v>
      </c>
      <c r="D26" s="3">
        <v>2026</v>
      </c>
      <c r="F26" s="198">
        <f>'CCR Depr and ADFIT'!$C$2</f>
        <v>21087934.780000001</v>
      </c>
      <c r="H26" s="14">
        <f>'CCR Depr and ADFIT'!N24</f>
        <v>-5709389</v>
      </c>
      <c r="J26" s="14">
        <f>'CCR Depr and ADFIT'!U24</f>
        <v>688572</v>
      </c>
      <c r="L26" s="198">
        <f t="shared" ref="L26:L57" si="8">SUM(F26:K26)</f>
        <v>16067117.780000001</v>
      </c>
      <c r="N26" s="20">
        <f>WACC!$S$16</f>
        <v>8.1600000000000006E-2</v>
      </c>
      <c r="P26" s="16">
        <f t="shared" ref="P26:P89" si="9">L26*N26/12</f>
        <v>109256.40090400002</v>
      </c>
      <c r="R26" s="17">
        <v>0</v>
      </c>
      <c r="T26" s="17">
        <f>(ROUND(F26*'CCR Depr and ADFIT'!$N$6/12,0))</f>
        <v>85933</v>
      </c>
      <c r="V26" s="17">
        <f>F26*'Alloc. Factors and Property Tax'!$E$24*'Alloc. Factors and Property Tax'!$E$25*'Alloc. Factors and Property Tax'!$E$26/12</f>
        <v>1045.7506857402</v>
      </c>
      <c r="X26" s="17">
        <f t="shared" ref="X26:X57" si="10">SUM(P26:W26)</f>
        <v>196235.15158974024</v>
      </c>
      <c r="Z26" s="21">
        <f>'Alloc. Factors and Property Tax'!$C$18</f>
        <v>0.9604166666666667</v>
      </c>
      <c r="AB26" s="19">
        <f t="shared" ref="AB26:AB89" si="11">X26*Z26</f>
        <v>188467.51017264638</v>
      </c>
    </row>
    <row r="27" spans="2:28" x14ac:dyDescent="0.2">
      <c r="B27" s="23" t="s">
        <v>12</v>
      </c>
      <c r="D27" s="3">
        <v>2026</v>
      </c>
      <c r="F27" s="198">
        <f>'CCR Depr and ADFIT'!$C$2</f>
        <v>21087934.780000001</v>
      </c>
      <c r="H27" s="14">
        <f>'CCR Depr and ADFIT'!N25</f>
        <v>-5795322</v>
      </c>
      <c r="J27" s="14">
        <f>'CCR Depr and ADFIT'!U25</f>
        <v>681978</v>
      </c>
      <c r="L27" s="198">
        <f t="shared" si="8"/>
        <v>15974590.780000001</v>
      </c>
      <c r="N27" s="20">
        <f>WACC!$S$16</f>
        <v>8.1600000000000006E-2</v>
      </c>
      <c r="P27" s="16">
        <f t="shared" si="9"/>
        <v>108627.21730400001</v>
      </c>
      <c r="R27" s="17">
        <v>0</v>
      </c>
      <c r="T27" s="17">
        <f>(ROUND(F27*'CCR Depr and ADFIT'!$N$6/12,0))</f>
        <v>85933</v>
      </c>
      <c r="V27" s="17">
        <f>F27*'Alloc. Factors and Property Tax'!$E$24*'Alloc. Factors and Property Tax'!$E$25*'Alloc. Factors and Property Tax'!$E$26/12</f>
        <v>1045.7506857402</v>
      </c>
      <c r="X27" s="17">
        <f t="shared" si="10"/>
        <v>195605.96798974019</v>
      </c>
      <c r="Z27" s="21">
        <f>'Alloc. Factors and Property Tax'!$C$18</f>
        <v>0.9604166666666667</v>
      </c>
      <c r="AB27" s="19">
        <f t="shared" si="11"/>
        <v>187863.23175681298</v>
      </c>
    </row>
    <row r="28" spans="2:28" x14ac:dyDescent="0.2">
      <c r="B28" s="23" t="s">
        <v>13</v>
      </c>
      <c r="D28" s="3">
        <v>2026</v>
      </c>
      <c r="F28" s="198">
        <f>'CCR Depr and ADFIT'!$C$2</f>
        <v>21087934.780000001</v>
      </c>
      <c r="H28" s="14">
        <f>'CCR Depr and ADFIT'!N26</f>
        <v>-5881255</v>
      </c>
      <c r="J28" s="14">
        <f>'CCR Depr and ADFIT'!U26</f>
        <v>675383</v>
      </c>
      <c r="L28" s="198">
        <f t="shared" si="8"/>
        <v>15882062.780000001</v>
      </c>
      <c r="N28" s="20">
        <f>WACC!$S$16</f>
        <v>8.1600000000000006E-2</v>
      </c>
      <c r="P28" s="16">
        <f t="shared" si="9"/>
        <v>107998.02690400001</v>
      </c>
      <c r="R28" s="17">
        <v>0</v>
      </c>
      <c r="T28" s="17">
        <f>(ROUND(F28*'CCR Depr and ADFIT'!$N$6/12,0))</f>
        <v>85933</v>
      </c>
      <c r="V28" s="17">
        <f>F28*'Alloc. Factors and Property Tax'!$E$24*'Alloc. Factors and Property Tax'!$E$25*'Alloc. Factors and Property Tax'!$E$26/12</f>
        <v>1045.7506857402</v>
      </c>
      <c r="X28" s="17">
        <f t="shared" si="10"/>
        <v>194976.77758974023</v>
      </c>
      <c r="Z28" s="21">
        <f>'Alloc. Factors and Property Tax'!$C$18</f>
        <v>0.9604166666666667</v>
      </c>
      <c r="AB28" s="19">
        <f t="shared" si="11"/>
        <v>187258.94681014636</v>
      </c>
    </row>
    <row r="29" spans="2:28" x14ac:dyDescent="0.2">
      <c r="B29" s="23" t="s">
        <v>14</v>
      </c>
      <c r="D29" s="3">
        <v>2026</v>
      </c>
      <c r="F29" s="198">
        <f>'CCR Depr and ADFIT'!$C$2</f>
        <v>21087934.780000001</v>
      </c>
      <c r="H29" s="14">
        <f>'CCR Depr and ADFIT'!N27</f>
        <v>-5967188</v>
      </c>
      <c r="J29" s="14">
        <f>'CCR Depr and ADFIT'!U27</f>
        <v>668788</v>
      </c>
      <c r="L29" s="198">
        <f t="shared" si="8"/>
        <v>15789534.780000001</v>
      </c>
      <c r="N29" s="20">
        <f>WACC!$S$16</f>
        <v>8.1600000000000006E-2</v>
      </c>
      <c r="P29" s="16">
        <f t="shared" si="9"/>
        <v>107368.83650400001</v>
      </c>
      <c r="R29" s="17">
        <v>0</v>
      </c>
      <c r="T29" s="17">
        <f>(ROUND(F29*'CCR Depr and ADFIT'!$N$6/12,0))</f>
        <v>85933</v>
      </c>
      <c r="V29" s="17">
        <f>F29*'Alloc. Factors and Property Tax'!$E$24*'Alloc. Factors and Property Tax'!$E$25*'Alloc. Factors and Property Tax'!$E$26/12</f>
        <v>1045.7506857402</v>
      </c>
      <c r="X29" s="17">
        <f t="shared" si="10"/>
        <v>194347.58718974021</v>
      </c>
      <c r="Z29" s="21">
        <f>'Alloc. Factors and Property Tax'!$C$18</f>
        <v>0.9604166666666667</v>
      </c>
      <c r="AB29" s="19">
        <f t="shared" si="11"/>
        <v>186654.66186347968</v>
      </c>
    </row>
    <row r="30" spans="2:28" x14ac:dyDescent="0.2">
      <c r="B30" s="23" t="s">
        <v>15</v>
      </c>
      <c r="D30" s="3">
        <v>2026</v>
      </c>
      <c r="F30" s="198">
        <f>'CCR Depr and ADFIT'!$C$2</f>
        <v>21087934.780000001</v>
      </c>
      <c r="H30" s="14">
        <f>'CCR Depr and ADFIT'!N28</f>
        <v>-6053121</v>
      </c>
      <c r="J30" s="14">
        <f>'CCR Depr and ADFIT'!U28</f>
        <v>662193</v>
      </c>
      <c r="L30" s="198">
        <f t="shared" si="8"/>
        <v>15697006.780000001</v>
      </c>
      <c r="N30" s="20">
        <f>WACC!$S$16</f>
        <v>8.1600000000000006E-2</v>
      </c>
      <c r="P30" s="16">
        <f t="shared" si="9"/>
        <v>106739.64610400003</v>
      </c>
      <c r="R30" s="17">
        <v>0</v>
      </c>
      <c r="T30" s="17">
        <f>(ROUND(F30*'CCR Depr and ADFIT'!$N$6/12,0))</f>
        <v>85933</v>
      </c>
      <c r="V30" s="17">
        <f>F30*'Alloc. Factors and Property Tax'!$E$24*'Alloc. Factors and Property Tax'!$E$25*'Alloc. Factors and Property Tax'!$E$26/12</f>
        <v>1045.7506857402</v>
      </c>
      <c r="X30" s="17">
        <f t="shared" si="10"/>
        <v>193718.39678974025</v>
      </c>
      <c r="Z30" s="21">
        <f>'Alloc. Factors and Property Tax'!$C$18</f>
        <v>0.9604166666666667</v>
      </c>
      <c r="AB30" s="19">
        <f t="shared" si="11"/>
        <v>186050.37691681302</v>
      </c>
    </row>
    <row r="31" spans="2:28" x14ac:dyDescent="0.2">
      <c r="B31" s="23" t="s">
        <v>16</v>
      </c>
      <c r="D31" s="3">
        <v>2026</v>
      </c>
      <c r="F31" s="198">
        <f>'CCR Depr and ADFIT'!$C$2</f>
        <v>21087934.780000001</v>
      </c>
      <c r="H31" s="14">
        <f>'CCR Depr and ADFIT'!N29</f>
        <v>-6139054</v>
      </c>
      <c r="J31" s="14">
        <f>'CCR Depr and ADFIT'!U29</f>
        <v>655599</v>
      </c>
      <c r="L31" s="198">
        <f t="shared" si="8"/>
        <v>15604479.780000001</v>
      </c>
      <c r="N31" s="20">
        <f>WACC!$S$16</f>
        <v>8.1600000000000006E-2</v>
      </c>
      <c r="P31" s="16">
        <f t="shared" si="9"/>
        <v>106110.46250400001</v>
      </c>
      <c r="R31" s="17">
        <v>0</v>
      </c>
      <c r="T31" s="17">
        <f>(ROUND(F31*'CCR Depr and ADFIT'!$N$6/12,0))</f>
        <v>85933</v>
      </c>
      <c r="V31" s="17">
        <f>F31*'Alloc. Factors and Property Tax'!$E$24*'Alloc. Factors and Property Tax'!$E$25*'Alloc. Factors and Property Tax'!$E$26/12</f>
        <v>1045.7506857402</v>
      </c>
      <c r="X31" s="17">
        <f t="shared" si="10"/>
        <v>193089.2131897402</v>
      </c>
      <c r="Z31" s="21">
        <f>'Alloc. Factors and Property Tax'!$C$18</f>
        <v>0.9604166666666667</v>
      </c>
      <c r="AB31" s="19">
        <f t="shared" si="11"/>
        <v>185446.09850097966</v>
      </c>
    </row>
    <row r="32" spans="2:28" x14ac:dyDescent="0.2">
      <c r="B32" s="23" t="s">
        <v>17</v>
      </c>
      <c r="D32" s="3">
        <v>2026</v>
      </c>
      <c r="F32" s="198">
        <f>'CCR Depr and ADFIT'!$C$2</f>
        <v>21087934.780000001</v>
      </c>
      <c r="H32" s="14">
        <f>'CCR Depr and ADFIT'!N30</f>
        <v>-6224987</v>
      </c>
      <c r="J32" s="14">
        <f>'CCR Depr and ADFIT'!U30</f>
        <v>649004</v>
      </c>
      <c r="L32" s="198">
        <f t="shared" si="8"/>
        <v>15511951.780000001</v>
      </c>
      <c r="N32" s="20">
        <f>WACC!$S$16</f>
        <v>8.1600000000000006E-2</v>
      </c>
      <c r="P32" s="16">
        <f t="shared" si="9"/>
        <v>105481.27210400002</v>
      </c>
      <c r="R32" s="17">
        <v>0</v>
      </c>
      <c r="T32" s="17">
        <f>(ROUND(F32*'CCR Depr and ADFIT'!$N$6/12,0))</f>
        <v>85933</v>
      </c>
      <c r="V32" s="17">
        <f>F32*'Alloc. Factors and Property Tax'!$E$24*'Alloc. Factors and Property Tax'!$E$25*'Alloc. Factors and Property Tax'!$E$26/12</f>
        <v>1045.7506857402</v>
      </c>
      <c r="X32" s="17">
        <f t="shared" si="10"/>
        <v>192460.02278974024</v>
      </c>
      <c r="Z32" s="21">
        <f>'Alloc. Factors and Property Tax'!$C$18</f>
        <v>0.9604166666666667</v>
      </c>
      <c r="AB32" s="19">
        <f t="shared" si="11"/>
        <v>184841.81355431303</v>
      </c>
    </row>
    <row r="33" spans="2:28" x14ac:dyDescent="0.2">
      <c r="B33" s="23" t="s">
        <v>18</v>
      </c>
      <c r="D33" s="3">
        <v>2026</v>
      </c>
      <c r="F33" s="198">
        <f>'CCR Depr and ADFIT'!$C$2</f>
        <v>21087934.780000001</v>
      </c>
      <c r="H33" s="14">
        <f>'CCR Depr and ADFIT'!N31</f>
        <v>-6310920</v>
      </c>
      <c r="J33" s="14">
        <f>'CCR Depr and ADFIT'!U31</f>
        <v>642409</v>
      </c>
      <c r="L33" s="198">
        <f t="shared" si="8"/>
        <v>15419423.780000001</v>
      </c>
      <c r="N33" s="20">
        <f>WACC!$S$16</f>
        <v>8.1600000000000006E-2</v>
      </c>
      <c r="P33" s="16">
        <f t="shared" si="9"/>
        <v>104852.08170400001</v>
      </c>
      <c r="R33" s="17">
        <v>0</v>
      </c>
      <c r="T33" s="17">
        <f>(ROUND(F33*'CCR Depr and ADFIT'!$N$6/12,0))</f>
        <v>85933</v>
      </c>
      <c r="V33" s="17">
        <f>F33*'Alloc. Factors and Property Tax'!$E$24*'Alloc. Factors and Property Tax'!$E$25*'Alloc. Factors and Property Tax'!$E$26/12</f>
        <v>1045.7506857402</v>
      </c>
      <c r="X33" s="17">
        <f t="shared" si="10"/>
        <v>191830.83238974022</v>
      </c>
      <c r="Z33" s="21">
        <f>'Alloc. Factors and Property Tax'!$C$18</f>
        <v>0.9604166666666667</v>
      </c>
      <c r="AB33" s="19">
        <f t="shared" si="11"/>
        <v>184237.52860764632</v>
      </c>
    </row>
    <row r="34" spans="2:28" x14ac:dyDescent="0.2">
      <c r="B34" s="23" t="s">
        <v>19</v>
      </c>
      <c r="D34" s="3">
        <v>2026</v>
      </c>
      <c r="F34" s="198">
        <f>'CCR Depr and ADFIT'!$C$2</f>
        <v>21087934.780000001</v>
      </c>
      <c r="H34" s="14">
        <f>'CCR Depr and ADFIT'!N32</f>
        <v>-6396853</v>
      </c>
      <c r="J34" s="14">
        <f>'CCR Depr and ADFIT'!U32</f>
        <v>635814</v>
      </c>
      <c r="L34" s="198">
        <f t="shared" si="8"/>
        <v>15326895.780000001</v>
      </c>
      <c r="N34" s="20">
        <f>WACC!$S$16</f>
        <v>8.1600000000000006E-2</v>
      </c>
      <c r="P34" s="16">
        <f t="shared" si="9"/>
        <v>104222.891304</v>
      </c>
      <c r="R34" s="17">
        <v>0</v>
      </c>
      <c r="T34" s="17">
        <f>(ROUND(F34*'CCR Depr and ADFIT'!$N$6/12,0))</f>
        <v>85933</v>
      </c>
      <c r="V34" s="17">
        <f>F34*'Alloc. Factors and Property Tax'!$E$24*'Alloc. Factors and Property Tax'!$E$25*'Alloc. Factors and Property Tax'!$E$26/12</f>
        <v>1045.7506857402</v>
      </c>
      <c r="X34" s="17">
        <f t="shared" si="10"/>
        <v>191201.64198974019</v>
      </c>
      <c r="Z34" s="21">
        <f>'Alloc. Factors and Property Tax'!$C$18</f>
        <v>0.9604166666666667</v>
      </c>
      <c r="AB34" s="19">
        <f t="shared" si="11"/>
        <v>183633.24366097964</v>
      </c>
    </row>
    <row r="35" spans="2:28" x14ac:dyDescent="0.2">
      <c r="B35" s="23" t="s">
        <v>8</v>
      </c>
      <c r="D35" s="3">
        <v>2026</v>
      </c>
      <c r="F35" s="198">
        <f>'CCR Depr and ADFIT'!$C$2</f>
        <v>21087934.780000001</v>
      </c>
      <c r="H35" s="14">
        <f>'CCR Depr and ADFIT'!N33</f>
        <v>-6482786</v>
      </c>
      <c r="J35" s="14">
        <f>'CCR Depr and ADFIT'!U33</f>
        <v>629219</v>
      </c>
      <c r="L35" s="198">
        <f t="shared" si="8"/>
        <v>15234367.780000001</v>
      </c>
      <c r="N35" s="20">
        <f>WACC!$S$16</f>
        <v>8.1600000000000006E-2</v>
      </c>
      <c r="P35" s="16">
        <f t="shared" si="9"/>
        <v>103593.70090400001</v>
      </c>
      <c r="R35" s="17">
        <v>0</v>
      </c>
      <c r="T35" s="17">
        <f>(ROUND(F35*'CCR Depr and ADFIT'!$N$6/12,0))</f>
        <v>85933</v>
      </c>
      <c r="V35" s="17">
        <f>F35*'Alloc. Factors and Property Tax'!$E$24*'Alloc. Factors and Property Tax'!$E$25*'Alloc. Factors and Property Tax'!$E$26/12</f>
        <v>1045.7506857402</v>
      </c>
      <c r="X35" s="17">
        <f t="shared" si="10"/>
        <v>190572.45158974023</v>
      </c>
      <c r="Z35" s="21">
        <f>'Alloc. Factors and Property Tax'!$C$18</f>
        <v>0.9604166666666667</v>
      </c>
      <c r="AB35" s="19">
        <f t="shared" si="11"/>
        <v>183028.95871431302</v>
      </c>
    </row>
    <row r="36" spans="2:28" x14ac:dyDescent="0.2">
      <c r="B36" s="23" t="s">
        <v>9</v>
      </c>
      <c r="D36" s="3">
        <v>2026</v>
      </c>
      <c r="F36" s="198">
        <f>'CCR Depr and ADFIT'!$C$2</f>
        <v>21087934.780000001</v>
      </c>
      <c r="H36" s="14">
        <f>'CCR Depr and ADFIT'!N34</f>
        <v>-6568719</v>
      </c>
      <c r="J36" s="14">
        <f>'CCR Depr and ADFIT'!U34</f>
        <v>622625</v>
      </c>
      <c r="L36" s="198">
        <f t="shared" si="8"/>
        <v>15141840.780000001</v>
      </c>
      <c r="N36" s="20">
        <f>WACC!$S$16</f>
        <v>8.1600000000000006E-2</v>
      </c>
      <c r="P36" s="16">
        <f t="shared" si="9"/>
        <v>102964.51730400002</v>
      </c>
      <c r="R36" s="17">
        <v>0</v>
      </c>
      <c r="T36" s="17">
        <f>(ROUND(F36*'CCR Depr and ADFIT'!$N$6/12,0))</f>
        <v>85933</v>
      </c>
      <c r="V36" s="17">
        <f>F36*'Alloc. Factors and Property Tax'!$E$24*'Alloc. Factors and Property Tax'!$E$25*'Alloc. Factors and Property Tax'!$E$26/12</f>
        <v>1045.7506857402</v>
      </c>
      <c r="X36" s="17">
        <f t="shared" si="10"/>
        <v>189943.26798974024</v>
      </c>
      <c r="Z36" s="21">
        <f>'Alloc. Factors and Property Tax'!$C$18</f>
        <v>0.9604166666666667</v>
      </c>
      <c r="AB36" s="19">
        <f t="shared" si="11"/>
        <v>182424.68029847968</v>
      </c>
    </row>
    <row r="37" spans="2:28" x14ac:dyDescent="0.2">
      <c r="B37" s="23" t="s">
        <v>10</v>
      </c>
      <c r="D37" s="3">
        <v>2026</v>
      </c>
      <c r="F37" s="198">
        <f>'CCR Depr and ADFIT'!$C$2</f>
        <v>21087934.780000001</v>
      </c>
      <c r="H37" s="14">
        <f>'CCR Depr and ADFIT'!N35</f>
        <v>-6654652</v>
      </c>
      <c r="J37" s="14">
        <f>'CCR Depr and ADFIT'!U35</f>
        <v>616030</v>
      </c>
      <c r="L37" s="198">
        <f t="shared" si="8"/>
        <v>15049312.780000001</v>
      </c>
      <c r="N37" s="20">
        <f>WACC!$S$16</f>
        <v>8.1600000000000006E-2</v>
      </c>
      <c r="P37" s="16">
        <f t="shared" si="9"/>
        <v>102335.32690400002</v>
      </c>
      <c r="R37" s="17">
        <v>0</v>
      </c>
      <c r="T37" s="17">
        <f>(ROUND(F37*'CCR Depr and ADFIT'!$N$6/12,0))</f>
        <v>85933</v>
      </c>
      <c r="V37" s="17">
        <f>F37*'Alloc. Factors and Property Tax'!$E$24*'Alloc. Factors and Property Tax'!$E$25*'Alloc. Factors and Property Tax'!$E$26/12</f>
        <v>1045.7506857402</v>
      </c>
      <c r="X37" s="17">
        <f t="shared" si="10"/>
        <v>189314.07758974022</v>
      </c>
      <c r="Z37" s="21">
        <f>'Alloc. Factors and Property Tax'!$C$18</f>
        <v>0.9604166666666667</v>
      </c>
      <c r="AB37" s="19">
        <f t="shared" si="11"/>
        <v>181820.395351813</v>
      </c>
    </row>
    <row r="38" spans="2:28" x14ac:dyDescent="0.2">
      <c r="B38" s="23" t="s">
        <v>11</v>
      </c>
      <c r="D38" s="3">
        <v>2027</v>
      </c>
      <c r="F38" s="198">
        <f>'CCR Depr and ADFIT'!$C$2</f>
        <v>21087934.780000001</v>
      </c>
      <c r="H38" s="14">
        <f>'CCR Depr and ADFIT'!N36</f>
        <v>-6740585</v>
      </c>
      <c r="J38" s="14">
        <f>'CCR Depr and ADFIT'!U36</f>
        <v>611280</v>
      </c>
      <c r="L38" s="198">
        <f t="shared" si="8"/>
        <v>14958629.780000001</v>
      </c>
      <c r="N38" s="20">
        <f>WACC!$S$16</f>
        <v>8.1600000000000006E-2</v>
      </c>
      <c r="P38" s="16">
        <f t="shared" si="9"/>
        <v>101718.68250400001</v>
      </c>
      <c r="R38" s="17">
        <v>0</v>
      </c>
      <c r="T38" s="17">
        <f>(ROUND(F38*'CCR Depr and ADFIT'!$N$6/12,0))</f>
        <v>85933</v>
      </c>
      <c r="V38" s="17">
        <f>F38*'Alloc. Factors and Property Tax'!$E$24*'Alloc. Factors and Property Tax'!$E$25*'Alloc. Factors and Property Tax'!$E$26/12</f>
        <v>1045.7506857402</v>
      </c>
      <c r="X38" s="17">
        <f t="shared" si="10"/>
        <v>188697.43318974023</v>
      </c>
      <c r="Z38" s="21">
        <f>'Alloc. Factors and Property Tax'!$C$18</f>
        <v>0.9604166666666667</v>
      </c>
      <c r="AB38" s="19">
        <f t="shared" si="11"/>
        <v>181228.15979264636</v>
      </c>
    </row>
    <row r="39" spans="2:28" x14ac:dyDescent="0.2">
      <c r="B39" s="23" t="s">
        <v>12</v>
      </c>
      <c r="D39" s="3">
        <v>2027</v>
      </c>
      <c r="F39" s="198">
        <f>'CCR Depr and ADFIT'!$C$2</f>
        <v>21087934.780000001</v>
      </c>
      <c r="H39" s="14">
        <f>'CCR Depr and ADFIT'!N37</f>
        <v>-6826518</v>
      </c>
      <c r="J39" s="14">
        <f>'CCR Depr and ADFIT'!U37</f>
        <v>606531</v>
      </c>
      <c r="L39" s="198">
        <f t="shared" si="8"/>
        <v>14867947.780000001</v>
      </c>
      <c r="N39" s="20">
        <f>WACC!$S$16</f>
        <v>8.1600000000000006E-2</v>
      </c>
      <c r="P39" s="16">
        <f t="shared" si="9"/>
        <v>101102.04490400001</v>
      </c>
      <c r="R39" s="17">
        <v>0</v>
      </c>
      <c r="T39" s="17">
        <f>(ROUND(F39*'CCR Depr and ADFIT'!$N$6/12,0))</f>
        <v>85933</v>
      </c>
      <c r="V39" s="17">
        <f>F39*'Alloc. Factors and Property Tax'!$E$24*'Alloc. Factors and Property Tax'!$E$25*'Alloc. Factors and Property Tax'!$E$26/12</f>
        <v>1045.7506857402</v>
      </c>
      <c r="X39" s="17">
        <f t="shared" si="10"/>
        <v>188080.79558974021</v>
      </c>
      <c r="Z39" s="21">
        <f>'Alloc. Factors and Property Tax'!$C$18</f>
        <v>0.9604166666666667</v>
      </c>
      <c r="AB39" s="19">
        <f t="shared" si="11"/>
        <v>180635.930764313</v>
      </c>
    </row>
    <row r="40" spans="2:28" x14ac:dyDescent="0.2">
      <c r="B40" s="23" t="s">
        <v>13</v>
      </c>
      <c r="D40" s="3">
        <v>2027</v>
      </c>
      <c r="F40" s="198">
        <f>'CCR Depr and ADFIT'!$C$2</f>
        <v>21087934.780000001</v>
      </c>
      <c r="H40" s="14">
        <f>'CCR Depr and ADFIT'!N38</f>
        <v>-6912451</v>
      </c>
      <c r="J40" s="14">
        <f>'CCR Depr and ADFIT'!U38</f>
        <v>601781</v>
      </c>
      <c r="L40" s="198">
        <f t="shared" si="8"/>
        <v>14777264.780000001</v>
      </c>
      <c r="N40" s="20">
        <f>WACC!$S$16</f>
        <v>8.1600000000000006E-2</v>
      </c>
      <c r="P40" s="16">
        <f t="shared" si="9"/>
        <v>100485.40050400002</v>
      </c>
      <c r="R40" s="17">
        <v>0</v>
      </c>
      <c r="T40" s="17">
        <f>(ROUND(F40*'CCR Depr and ADFIT'!$N$6/12,0))</f>
        <v>85933</v>
      </c>
      <c r="V40" s="17">
        <f>F40*'Alloc. Factors and Property Tax'!$E$24*'Alloc. Factors and Property Tax'!$E$25*'Alloc. Factors and Property Tax'!$E$26/12</f>
        <v>1045.7506857402</v>
      </c>
      <c r="X40" s="17">
        <f t="shared" si="10"/>
        <v>187464.15118974022</v>
      </c>
      <c r="Z40" s="21">
        <f>'Alloc. Factors and Property Tax'!$C$18</f>
        <v>0.9604166666666667</v>
      </c>
      <c r="AB40" s="19">
        <f t="shared" si="11"/>
        <v>180043.69520514636</v>
      </c>
    </row>
    <row r="41" spans="2:28" x14ac:dyDescent="0.2">
      <c r="B41" s="23" t="s">
        <v>14</v>
      </c>
      <c r="D41" s="3">
        <v>2027</v>
      </c>
      <c r="F41" s="198">
        <f>'CCR Depr and ADFIT'!$C$2</f>
        <v>21087934.780000001</v>
      </c>
      <c r="H41" s="14">
        <f>'CCR Depr and ADFIT'!N39</f>
        <v>-6998384</v>
      </c>
      <c r="J41" s="14">
        <f>'CCR Depr and ADFIT'!U39</f>
        <v>597031</v>
      </c>
      <c r="L41" s="198">
        <f t="shared" si="8"/>
        <v>14686581.780000001</v>
      </c>
      <c r="N41" s="20">
        <f>WACC!$S$16</f>
        <v>8.1600000000000006E-2</v>
      </c>
      <c r="P41" s="16">
        <f t="shared" si="9"/>
        <v>99868.756104000015</v>
      </c>
      <c r="R41" s="17">
        <v>0</v>
      </c>
      <c r="T41" s="17">
        <f>(ROUND(F41*'CCR Depr and ADFIT'!$N$6/12,0))</f>
        <v>85933</v>
      </c>
      <c r="V41" s="17">
        <f>F41*'Alloc. Factors and Property Tax'!$E$24*'Alloc. Factors and Property Tax'!$E$25*'Alloc. Factors and Property Tax'!$E$26/12</f>
        <v>1045.7506857402</v>
      </c>
      <c r="X41" s="17">
        <f t="shared" si="10"/>
        <v>186847.50678974023</v>
      </c>
      <c r="Z41" s="21">
        <f>'Alloc. Factors and Property Tax'!$C$18</f>
        <v>0.9604166666666667</v>
      </c>
      <c r="AB41" s="19">
        <f t="shared" si="11"/>
        <v>179451.45964597969</v>
      </c>
    </row>
    <row r="42" spans="2:28" x14ac:dyDescent="0.2">
      <c r="B42" s="23" t="s">
        <v>15</v>
      </c>
      <c r="D42" s="3">
        <v>2027</v>
      </c>
      <c r="F42" s="198">
        <f>'CCR Depr and ADFIT'!$C$2</f>
        <v>21087934.780000001</v>
      </c>
      <c r="H42" s="14">
        <f>'CCR Depr and ADFIT'!N40</f>
        <v>-7084317</v>
      </c>
      <c r="J42" s="14">
        <f>'CCR Depr and ADFIT'!U40</f>
        <v>592282</v>
      </c>
      <c r="L42" s="198">
        <f t="shared" si="8"/>
        <v>14595899.780000001</v>
      </c>
      <c r="N42" s="20">
        <f>WACC!$S$16</f>
        <v>8.1600000000000006E-2</v>
      </c>
      <c r="P42" s="16">
        <f t="shared" si="9"/>
        <v>99252.118504000013</v>
      </c>
      <c r="R42" s="17">
        <v>0</v>
      </c>
      <c r="T42" s="17">
        <f>(ROUND(F42*'CCR Depr and ADFIT'!$N$6/12,0))</f>
        <v>85933</v>
      </c>
      <c r="V42" s="17">
        <f>F42*'Alloc. Factors and Property Tax'!$E$24*'Alloc. Factors and Property Tax'!$E$25*'Alloc. Factors and Property Tax'!$E$26/12</f>
        <v>1045.7506857402</v>
      </c>
      <c r="X42" s="17">
        <f t="shared" si="10"/>
        <v>186230.86918974022</v>
      </c>
      <c r="Z42" s="21">
        <f>'Alloc. Factors and Property Tax'!$C$18</f>
        <v>0.9604166666666667</v>
      </c>
      <c r="AB42" s="19">
        <f t="shared" si="11"/>
        <v>178859.23061764633</v>
      </c>
    </row>
    <row r="43" spans="2:28" x14ac:dyDescent="0.2">
      <c r="B43" s="23" t="s">
        <v>16</v>
      </c>
      <c r="D43" s="3">
        <v>2027</v>
      </c>
      <c r="F43" s="198">
        <f>'CCR Depr and ADFIT'!$C$2</f>
        <v>21087934.780000001</v>
      </c>
      <c r="H43" s="14">
        <f>'CCR Depr and ADFIT'!N41</f>
        <v>-7170250</v>
      </c>
      <c r="J43" s="14">
        <f>'CCR Depr and ADFIT'!U41</f>
        <v>587532</v>
      </c>
      <c r="L43" s="198">
        <f t="shared" si="8"/>
        <v>14505216.780000001</v>
      </c>
      <c r="N43" s="20">
        <f>WACC!$S$16</f>
        <v>8.1600000000000006E-2</v>
      </c>
      <c r="P43" s="16">
        <f t="shared" si="9"/>
        <v>98635.474104000023</v>
      </c>
      <c r="R43" s="17">
        <v>0</v>
      </c>
      <c r="T43" s="17">
        <f>(ROUND(F43*'CCR Depr and ADFIT'!$N$6/12,0))</f>
        <v>85933</v>
      </c>
      <c r="V43" s="17">
        <f>F43*'Alloc. Factors and Property Tax'!$E$24*'Alloc. Factors and Property Tax'!$E$25*'Alloc. Factors and Property Tax'!$E$26/12</f>
        <v>1045.7506857402</v>
      </c>
      <c r="X43" s="17">
        <f t="shared" si="10"/>
        <v>185614.22478974023</v>
      </c>
      <c r="Z43" s="21">
        <f>'Alloc. Factors and Property Tax'!$C$18</f>
        <v>0.9604166666666667</v>
      </c>
      <c r="AB43" s="19">
        <f t="shared" si="11"/>
        <v>178266.99505847969</v>
      </c>
    </row>
    <row r="44" spans="2:28" x14ac:dyDescent="0.2">
      <c r="B44" s="23" t="s">
        <v>17</v>
      </c>
      <c r="D44" s="3">
        <v>2027</v>
      </c>
      <c r="F44" s="198">
        <f>'CCR Depr and ADFIT'!$C$2</f>
        <v>21087934.780000001</v>
      </c>
      <c r="H44" s="14">
        <f>'CCR Depr and ADFIT'!N42</f>
        <v>-7256183</v>
      </c>
      <c r="J44" s="14">
        <f>'CCR Depr and ADFIT'!U42</f>
        <v>582783</v>
      </c>
      <c r="L44" s="198">
        <f t="shared" si="8"/>
        <v>14414534.780000001</v>
      </c>
      <c r="N44" s="20">
        <f>WACC!$S$16</f>
        <v>8.1600000000000006E-2</v>
      </c>
      <c r="P44" s="16">
        <f t="shared" si="9"/>
        <v>98018.836504000006</v>
      </c>
      <c r="R44" s="17">
        <v>0</v>
      </c>
      <c r="T44" s="17">
        <f>(ROUND(F44*'CCR Depr and ADFIT'!$N$6/12,0))</f>
        <v>85933</v>
      </c>
      <c r="V44" s="17">
        <f>F44*'Alloc. Factors and Property Tax'!$E$24*'Alloc. Factors and Property Tax'!$E$25*'Alloc. Factors and Property Tax'!$E$26/12</f>
        <v>1045.7506857402</v>
      </c>
      <c r="X44" s="17">
        <f t="shared" si="10"/>
        <v>184997.58718974021</v>
      </c>
      <c r="Z44" s="21">
        <f>'Alloc. Factors and Property Tax'!$C$18</f>
        <v>0.9604166666666667</v>
      </c>
      <c r="AB44" s="19">
        <f t="shared" si="11"/>
        <v>177674.76603014633</v>
      </c>
    </row>
    <row r="45" spans="2:28" x14ac:dyDescent="0.2">
      <c r="B45" s="23" t="s">
        <v>18</v>
      </c>
      <c r="D45" s="3">
        <v>2027</v>
      </c>
      <c r="F45" s="198">
        <f>'CCR Depr and ADFIT'!$C$2</f>
        <v>21087934.780000001</v>
      </c>
      <c r="H45" s="14">
        <f>'CCR Depr and ADFIT'!N43</f>
        <v>-7342116</v>
      </c>
      <c r="J45" s="14">
        <f>'CCR Depr and ADFIT'!U43</f>
        <v>578033</v>
      </c>
      <c r="L45" s="198">
        <f t="shared" si="8"/>
        <v>14323851.780000001</v>
      </c>
      <c r="N45" s="20">
        <f>WACC!$S$16</f>
        <v>8.1600000000000006E-2</v>
      </c>
      <c r="P45" s="16">
        <f t="shared" si="9"/>
        <v>97402.192104000016</v>
      </c>
      <c r="R45" s="17">
        <v>0</v>
      </c>
      <c r="T45" s="17">
        <f>(ROUND(F45*'CCR Depr and ADFIT'!$N$6/12,0))</f>
        <v>85933</v>
      </c>
      <c r="V45" s="17">
        <f>F45*'Alloc. Factors and Property Tax'!$E$24*'Alloc. Factors and Property Tax'!$E$25*'Alloc. Factors and Property Tax'!$E$26/12</f>
        <v>1045.7506857402</v>
      </c>
      <c r="X45" s="17">
        <f t="shared" si="10"/>
        <v>184380.94278974022</v>
      </c>
      <c r="Z45" s="21">
        <f>'Alloc. Factors and Property Tax'!$C$18</f>
        <v>0.9604166666666667</v>
      </c>
      <c r="AB45" s="19">
        <f t="shared" si="11"/>
        <v>177082.53047097966</v>
      </c>
    </row>
    <row r="46" spans="2:28" x14ac:dyDescent="0.2">
      <c r="B46" s="23" t="s">
        <v>19</v>
      </c>
      <c r="D46" s="3">
        <v>2027</v>
      </c>
      <c r="F46" s="198">
        <f>'CCR Depr and ADFIT'!$C$2</f>
        <v>21087934.780000001</v>
      </c>
      <c r="H46" s="14">
        <f>'CCR Depr and ADFIT'!N44</f>
        <v>-7428049</v>
      </c>
      <c r="J46" s="14">
        <f>'CCR Depr and ADFIT'!U44</f>
        <v>573283</v>
      </c>
      <c r="L46" s="198">
        <f t="shared" si="8"/>
        <v>14233168.780000001</v>
      </c>
      <c r="N46" s="20">
        <f>WACC!$S$16</f>
        <v>8.1600000000000006E-2</v>
      </c>
      <c r="P46" s="16">
        <f t="shared" si="9"/>
        <v>96785.547704000011</v>
      </c>
      <c r="R46" s="17">
        <v>0</v>
      </c>
      <c r="T46" s="17">
        <f>(ROUND(F46*'CCR Depr and ADFIT'!$N$6/12,0))</f>
        <v>85933</v>
      </c>
      <c r="V46" s="17">
        <f>F46*'Alloc. Factors and Property Tax'!$E$24*'Alloc. Factors and Property Tax'!$E$25*'Alloc. Factors and Property Tax'!$E$26/12</f>
        <v>1045.7506857402</v>
      </c>
      <c r="X46" s="17">
        <f t="shared" si="10"/>
        <v>183764.29838974023</v>
      </c>
      <c r="Z46" s="21">
        <f>'Alloc. Factors and Property Tax'!$C$18</f>
        <v>0.9604166666666667</v>
      </c>
      <c r="AB46" s="19">
        <f t="shared" si="11"/>
        <v>176490.29491181302</v>
      </c>
    </row>
    <row r="47" spans="2:28" x14ac:dyDescent="0.2">
      <c r="B47" s="23" t="s">
        <v>8</v>
      </c>
      <c r="D47" s="3">
        <v>2027</v>
      </c>
      <c r="F47" s="198">
        <f>'CCR Depr and ADFIT'!$C$2</f>
        <v>21087934.780000001</v>
      </c>
      <c r="H47" s="14">
        <f>'CCR Depr and ADFIT'!N45</f>
        <v>-7513982</v>
      </c>
      <c r="J47" s="14">
        <f>'CCR Depr and ADFIT'!U45</f>
        <v>568534</v>
      </c>
      <c r="L47" s="198">
        <f t="shared" si="8"/>
        <v>14142486.780000001</v>
      </c>
      <c r="N47" s="20">
        <f>WACC!$S$16</f>
        <v>8.1600000000000006E-2</v>
      </c>
      <c r="P47" s="16">
        <f t="shared" si="9"/>
        <v>96168.91010400001</v>
      </c>
      <c r="R47" s="17">
        <v>0</v>
      </c>
      <c r="T47" s="17">
        <f>(ROUND(F47*'CCR Depr and ADFIT'!$N$6/12,0))</f>
        <v>85933</v>
      </c>
      <c r="V47" s="17">
        <f>F47*'Alloc. Factors and Property Tax'!$E$24*'Alloc. Factors and Property Tax'!$E$25*'Alloc. Factors and Property Tax'!$E$26/12</f>
        <v>1045.7506857402</v>
      </c>
      <c r="X47" s="17">
        <f t="shared" si="10"/>
        <v>183147.66078974021</v>
      </c>
      <c r="Z47" s="21">
        <f>'Alloc. Factors and Property Tax'!$C$18</f>
        <v>0.9604166666666667</v>
      </c>
      <c r="AB47" s="19">
        <f t="shared" si="11"/>
        <v>175898.06588347966</v>
      </c>
    </row>
    <row r="48" spans="2:28" x14ac:dyDescent="0.2">
      <c r="B48" s="23" t="s">
        <v>9</v>
      </c>
      <c r="D48" s="3">
        <v>2027</v>
      </c>
      <c r="F48" s="198">
        <f>'CCR Depr and ADFIT'!$C$2</f>
        <v>21087934.780000001</v>
      </c>
      <c r="H48" s="14">
        <f>'CCR Depr and ADFIT'!N46</f>
        <v>-7599915</v>
      </c>
      <c r="J48" s="14">
        <f>'CCR Depr and ADFIT'!U46</f>
        <v>563784</v>
      </c>
      <c r="L48" s="198">
        <f t="shared" si="8"/>
        <v>14051803.780000001</v>
      </c>
      <c r="N48" s="20">
        <f>WACC!$S$16</f>
        <v>8.1600000000000006E-2</v>
      </c>
      <c r="P48" s="16">
        <f t="shared" si="9"/>
        <v>95552.265704000019</v>
      </c>
      <c r="R48" s="17">
        <v>0</v>
      </c>
      <c r="T48" s="17">
        <f>(ROUND(F48*'CCR Depr and ADFIT'!$N$6/12,0))</f>
        <v>85933</v>
      </c>
      <c r="V48" s="17">
        <f>F48*'Alloc. Factors and Property Tax'!$E$24*'Alloc. Factors and Property Tax'!$E$25*'Alloc. Factors and Property Tax'!$E$26/12</f>
        <v>1045.7506857402</v>
      </c>
      <c r="X48" s="17">
        <f t="shared" si="10"/>
        <v>182531.01638974022</v>
      </c>
      <c r="Z48" s="21">
        <f>'Alloc. Factors and Property Tax'!$C$18</f>
        <v>0.9604166666666667</v>
      </c>
      <c r="AB48" s="19">
        <f t="shared" si="11"/>
        <v>175305.83032431302</v>
      </c>
    </row>
    <row r="49" spans="2:28" x14ac:dyDescent="0.2">
      <c r="B49" s="23" t="s">
        <v>10</v>
      </c>
      <c r="D49" s="3">
        <v>2027</v>
      </c>
      <c r="F49" s="198">
        <f>'CCR Depr and ADFIT'!$C$2</f>
        <v>21087934.780000001</v>
      </c>
      <c r="H49" s="14">
        <f>'CCR Depr and ADFIT'!N47</f>
        <v>-7685848</v>
      </c>
      <c r="J49" s="14">
        <f>'CCR Depr and ADFIT'!U47</f>
        <v>559035</v>
      </c>
      <c r="L49" s="198">
        <f t="shared" si="8"/>
        <v>13961121.780000001</v>
      </c>
      <c r="N49" s="20">
        <f>WACC!$S$16</f>
        <v>8.1600000000000006E-2</v>
      </c>
      <c r="P49" s="16">
        <f t="shared" si="9"/>
        <v>94935.628104000018</v>
      </c>
      <c r="Q49" s="17"/>
      <c r="R49" s="17">
        <v>0</v>
      </c>
      <c r="T49" s="17">
        <f>(ROUND(F49*'CCR Depr and ADFIT'!$N$6/12,0))</f>
        <v>85933</v>
      </c>
      <c r="V49" s="17">
        <f>F49*'Alloc. Factors and Property Tax'!$E$24*'Alloc. Factors and Property Tax'!$E$25*'Alloc. Factors and Property Tax'!$E$26/12</f>
        <v>1045.7506857402</v>
      </c>
      <c r="X49" s="17">
        <f t="shared" si="10"/>
        <v>181914.37878974021</v>
      </c>
      <c r="Z49" s="21">
        <f>'Alloc. Factors and Property Tax'!$C$18</f>
        <v>0.9604166666666667</v>
      </c>
      <c r="AB49" s="19">
        <f t="shared" si="11"/>
        <v>174713.60129597966</v>
      </c>
    </row>
    <row r="50" spans="2:28" x14ac:dyDescent="0.2">
      <c r="B50" s="23" t="s">
        <v>11</v>
      </c>
      <c r="D50" s="3">
        <v>2028</v>
      </c>
      <c r="F50" s="198">
        <f>'CCR Depr and ADFIT'!$C$2</f>
        <v>21087934.780000001</v>
      </c>
      <c r="H50" s="14">
        <f>'CCR Depr and ADFIT'!N48</f>
        <v>-7771781</v>
      </c>
      <c r="J50" s="14">
        <f>'CCR Depr and ADFIT'!U48</f>
        <v>555997</v>
      </c>
      <c r="L50" s="198">
        <f t="shared" si="8"/>
        <v>13872150.780000001</v>
      </c>
      <c r="N50" s="20">
        <f>WACC!$S$16</f>
        <v>8.1600000000000006E-2</v>
      </c>
      <c r="P50" s="16">
        <f t="shared" si="9"/>
        <v>94330.625304000001</v>
      </c>
      <c r="Q50" s="17"/>
      <c r="R50" s="17">
        <v>0</v>
      </c>
      <c r="T50" s="17">
        <f>(ROUND(F50*'CCR Depr and ADFIT'!$N$6/12,0))</f>
        <v>85933</v>
      </c>
      <c r="V50" s="17">
        <f>F50*'Alloc. Factors and Property Tax'!$E$24*'Alloc. Factors and Property Tax'!$E$25*'Alloc. Factors and Property Tax'!$E$26/12</f>
        <v>1045.7506857402</v>
      </c>
      <c r="X50" s="17">
        <f t="shared" si="10"/>
        <v>181309.37598974019</v>
      </c>
      <c r="Z50" s="21">
        <f>'Alloc. Factors and Property Tax'!$C$18</f>
        <v>0.9604166666666667</v>
      </c>
      <c r="AB50" s="19">
        <f t="shared" si="11"/>
        <v>174132.54652347966</v>
      </c>
    </row>
    <row r="51" spans="2:28" x14ac:dyDescent="0.2">
      <c r="B51" s="23" t="s">
        <v>12</v>
      </c>
      <c r="D51" s="3">
        <v>2028</v>
      </c>
      <c r="F51" s="198">
        <f>'CCR Depr and ADFIT'!$C$2</f>
        <v>21087934.780000001</v>
      </c>
      <c r="H51" s="14">
        <f>'CCR Depr and ADFIT'!N49</f>
        <v>-7857714</v>
      </c>
      <c r="J51" s="14">
        <f>'CCR Depr and ADFIT'!U49</f>
        <v>552960</v>
      </c>
      <c r="L51" s="198">
        <f t="shared" si="8"/>
        <v>13783180.780000001</v>
      </c>
      <c r="N51" s="20">
        <f>WACC!$S$16</f>
        <v>8.1600000000000006E-2</v>
      </c>
      <c r="P51" s="16">
        <f t="shared" si="9"/>
        <v>93725.629304000016</v>
      </c>
      <c r="Q51" s="17"/>
      <c r="R51" s="17">
        <v>0</v>
      </c>
      <c r="T51" s="17">
        <f>(ROUND(F51*'CCR Depr and ADFIT'!$N$6/12,0))</f>
        <v>85933</v>
      </c>
      <c r="V51" s="17">
        <f>F51*'Alloc. Factors and Property Tax'!$E$24*'Alloc. Factors and Property Tax'!$E$25*'Alloc. Factors and Property Tax'!$E$26/12</f>
        <v>1045.7506857402</v>
      </c>
      <c r="X51" s="17">
        <f t="shared" si="10"/>
        <v>180704.37998974021</v>
      </c>
      <c r="Z51" s="21">
        <f>'Alloc. Factors and Property Tax'!$C$18</f>
        <v>0.9604166666666667</v>
      </c>
      <c r="AB51" s="19">
        <f t="shared" si="11"/>
        <v>173551.49828181299</v>
      </c>
    </row>
    <row r="52" spans="2:28" x14ac:dyDescent="0.2">
      <c r="B52" s="23" t="s">
        <v>13</v>
      </c>
      <c r="D52" s="3">
        <v>2028</v>
      </c>
      <c r="F52" s="198">
        <f>'CCR Depr and ADFIT'!$C$2</f>
        <v>21087934.780000001</v>
      </c>
      <c r="H52" s="14">
        <f>'CCR Depr and ADFIT'!N50</f>
        <v>-7943647</v>
      </c>
      <c r="J52" s="14">
        <f>'CCR Depr and ADFIT'!U50</f>
        <v>549923</v>
      </c>
      <c r="L52" s="198">
        <f t="shared" si="8"/>
        <v>13694210.780000001</v>
      </c>
      <c r="N52" s="20">
        <f>WACC!$S$16</f>
        <v>8.1600000000000006E-2</v>
      </c>
      <c r="P52" s="16">
        <f t="shared" si="9"/>
        <v>93120.633304000017</v>
      </c>
      <c r="Q52" s="17"/>
      <c r="R52" s="17">
        <v>0</v>
      </c>
      <c r="T52" s="17">
        <f>(ROUND(F52*'CCR Depr and ADFIT'!$N$6/12,0))</f>
        <v>85933</v>
      </c>
      <c r="V52" s="17">
        <f>F52*'Alloc. Factors and Property Tax'!$E$24*'Alloc. Factors and Property Tax'!$E$25*'Alloc. Factors and Property Tax'!$E$26/12</f>
        <v>1045.7506857402</v>
      </c>
      <c r="X52" s="17">
        <f t="shared" si="10"/>
        <v>180099.38398974022</v>
      </c>
      <c r="Z52" s="21">
        <f>'Alloc. Factors and Property Tax'!$C$18</f>
        <v>0.9604166666666667</v>
      </c>
      <c r="AB52" s="19">
        <f t="shared" si="11"/>
        <v>172970.45004014633</v>
      </c>
    </row>
    <row r="53" spans="2:28" x14ac:dyDescent="0.2">
      <c r="B53" s="23" t="s">
        <v>14</v>
      </c>
      <c r="D53" s="3">
        <v>2028</v>
      </c>
      <c r="F53" s="198">
        <f>'CCR Depr and ADFIT'!$C$2</f>
        <v>21087934.780000001</v>
      </c>
      <c r="H53" s="14">
        <f>'CCR Depr and ADFIT'!N51</f>
        <v>-8029580</v>
      </c>
      <c r="J53" s="14">
        <f>'CCR Depr and ADFIT'!U51</f>
        <v>546886</v>
      </c>
      <c r="L53" s="198">
        <f t="shared" si="8"/>
        <v>13605240.780000001</v>
      </c>
      <c r="N53" s="20">
        <f>WACC!$S$16</f>
        <v>8.1600000000000006E-2</v>
      </c>
      <c r="P53" s="16">
        <f t="shared" si="9"/>
        <v>92515.637304000018</v>
      </c>
      <c r="Q53" s="17"/>
      <c r="R53" s="17">
        <v>0</v>
      </c>
      <c r="T53" s="17">
        <f>(ROUND(F53*'CCR Depr and ADFIT'!$N$6/12,0))</f>
        <v>85933</v>
      </c>
      <c r="V53" s="17">
        <f>F53*'Alloc. Factors and Property Tax'!$E$24*'Alloc. Factors and Property Tax'!$E$25*'Alloc. Factors and Property Tax'!$E$26/12</f>
        <v>1045.7506857402</v>
      </c>
      <c r="X53" s="17">
        <f t="shared" si="10"/>
        <v>179494.38798974024</v>
      </c>
      <c r="Z53" s="21">
        <f>'Alloc. Factors and Property Tax'!$C$18</f>
        <v>0.9604166666666667</v>
      </c>
      <c r="AB53" s="19">
        <f t="shared" si="11"/>
        <v>172389.4017984797</v>
      </c>
    </row>
    <row r="54" spans="2:28" x14ac:dyDescent="0.2">
      <c r="B54" s="23" t="s">
        <v>15</v>
      </c>
      <c r="D54" s="3">
        <v>2028</v>
      </c>
      <c r="F54" s="198">
        <f>'CCR Depr and ADFIT'!$C$2</f>
        <v>21087934.780000001</v>
      </c>
      <c r="H54" s="14">
        <f>'CCR Depr and ADFIT'!N52</f>
        <v>-8115513</v>
      </c>
      <c r="J54" s="14">
        <f>'CCR Depr and ADFIT'!U52</f>
        <v>543848</v>
      </c>
      <c r="L54" s="198">
        <f t="shared" si="8"/>
        <v>13516269.780000001</v>
      </c>
      <c r="N54" s="20">
        <f>WACC!$S$16</f>
        <v>8.1600000000000006E-2</v>
      </c>
      <c r="P54" s="16">
        <f t="shared" si="9"/>
        <v>91910.634504000016</v>
      </c>
      <c r="Q54" s="17"/>
      <c r="R54" s="17">
        <v>0</v>
      </c>
      <c r="T54" s="17">
        <f>(ROUND(F54*'CCR Depr and ADFIT'!$N$6/12,0))</f>
        <v>85933</v>
      </c>
      <c r="V54" s="17">
        <f>F54*'Alloc. Factors and Property Tax'!$E$24*'Alloc. Factors and Property Tax'!$E$25*'Alloc. Factors and Property Tax'!$E$26/12</f>
        <v>1045.7506857402</v>
      </c>
      <c r="X54" s="17">
        <f t="shared" si="10"/>
        <v>178889.38518974022</v>
      </c>
      <c r="Z54" s="21">
        <f>'Alloc. Factors and Property Tax'!$C$18</f>
        <v>0.9604166666666667</v>
      </c>
      <c r="AB54" s="19">
        <f t="shared" si="11"/>
        <v>171808.34702597969</v>
      </c>
    </row>
    <row r="55" spans="2:28" x14ac:dyDescent="0.2">
      <c r="B55" s="23" t="s">
        <v>16</v>
      </c>
      <c r="D55" s="3">
        <v>2028</v>
      </c>
      <c r="F55" s="198">
        <f>'CCR Depr and ADFIT'!$C$2</f>
        <v>21087934.780000001</v>
      </c>
      <c r="H55" s="14">
        <f>'CCR Depr and ADFIT'!N53</f>
        <v>-8201446</v>
      </c>
      <c r="J55" s="14">
        <f>'CCR Depr and ADFIT'!U53</f>
        <v>540811</v>
      </c>
      <c r="L55" s="198">
        <f t="shared" si="8"/>
        <v>13427299.780000001</v>
      </c>
      <c r="N55" s="20">
        <f>WACC!$S$16</f>
        <v>8.1600000000000006E-2</v>
      </c>
      <c r="P55" s="16">
        <f t="shared" si="9"/>
        <v>91305.638504000017</v>
      </c>
      <c r="Q55" s="17"/>
      <c r="R55" s="17">
        <v>0</v>
      </c>
      <c r="T55" s="17">
        <f>(ROUND(F55*'CCR Depr and ADFIT'!$N$6/12,0))</f>
        <v>85933</v>
      </c>
      <c r="V55" s="17">
        <f>F55*'Alloc. Factors and Property Tax'!$E$24*'Alloc. Factors and Property Tax'!$E$25*'Alloc. Factors and Property Tax'!$E$26/12</f>
        <v>1045.7506857402</v>
      </c>
      <c r="X55" s="17">
        <f t="shared" si="10"/>
        <v>178284.38918974024</v>
      </c>
      <c r="Z55" s="21">
        <f>'Alloc. Factors and Property Tax'!$C$18</f>
        <v>0.9604166666666667</v>
      </c>
      <c r="AB55" s="19">
        <f t="shared" si="11"/>
        <v>171227.29878431302</v>
      </c>
    </row>
    <row r="56" spans="2:28" x14ac:dyDescent="0.2">
      <c r="B56" s="23" t="s">
        <v>17</v>
      </c>
      <c r="D56" s="3">
        <v>2028</v>
      </c>
      <c r="F56" s="198">
        <f>'CCR Depr and ADFIT'!$C$2</f>
        <v>21087934.780000001</v>
      </c>
      <c r="H56" s="14">
        <f>'CCR Depr and ADFIT'!N54</f>
        <v>-8287379</v>
      </c>
      <c r="J56" s="14">
        <f>'CCR Depr and ADFIT'!U54</f>
        <v>537774</v>
      </c>
      <c r="L56" s="198">
        <f t="shared" si="8"/>
        <v>13338329.780000001</v>
      </c>
      <c r="N56" s="20">
        <f>WACC!$S$16</f>
        <v>8.1600000000000006E-2</v>
      </c>
      <c r="P56" s="16">
        <f t="shared" si="9"/>
        <v>90700.642504000003</v>
      </c>
      <c r="Q56" s="17"/>
      <c r="R56" s="17">
        <v>0</v>
      </c>
      <c r="T56" s="17">
        <f>(ROUND(F56*'CCR Depr and ADFIT'!$N$6/12,0))</f>
        <v>85933</v>
      </c>
      <c r="V56" s="17">
        <f>F56*'Alloc. Factors and Property Tax'!$E$24*'Alloc. Factors and Property Tax'!$E$25*'Alloc. Factors and Property Tax'!$E$26/12</f>
        <v>1045.7506857402</v>
      </c>
      <c r="X56" s="17">
        <f t="shared" si="10"/>
        <v>177679.39318974019</v>
      </c>
      <c r="Z56" s="21">
        <f>'Alloc. Factors and Property Tax'!$C$18</f>
        <v>0.9604166666666667</v>
      </c>
      <c r="AB56" s="19">
        <f t="shared" si="11"/>
        <v>170646.2505426463</v>
      </c>
    </row>
    <row r="57" spans="2:28" x14ac:dyDescent="0.2">
      <c r="B57" s="23" t="s">
        <v>18</v>
      </c>
      <c r="D57" s="3">
        <v>2028</v>
      </c>
      <c r="F57" s="198">
        <f>'CCR Depr and ADFIT'!$C$2</f>
        <v>21087934.780000001</v>
      </c>
      <c r="H57" s="14">
        <f>'CCR Depr and ADFIT'!N55</f>
        <v>-8373312</v>
      </c>
      <c r="J57" s="14">
        <f>'CCR Depr and ADFIT'!U55</f>
        <v>534736</v>
      </c>
      <c r="L57" s="198">
        <f t="shared" si="8"/>
        <v>13249358.780000001</v>
      </c>
      <c r="N57" s="20">
        <f>WACC!$S$16</f>
        <v>8.1600000000000006E-2</v>
      </c>
      <c r="P57" s="16">
        <f t="shared" si="9"/>
        <v>90095.639704000016</v>
      </c>
      <c r="Q57" s="17"/>
      <c r="R57" s="17">
        <v>0</v>
      </c>
      <c r="T57" s="17">
        <f>(ROUND(F57*'CCR Depr and ADFIT'!$N$6/12,0))</f>
        <v>85933</v>
      </c>
      <c r="V57" s="17">
        <f>F57*'Alloc. Factors and Property Tax'!$E$24*'Alloc. Factors and Property Tax'!$E$25*'Alloc. Factors and Property Tax'!$E$26/12</f>
        <v>1045.7506857402</v>
      </c>
      <c r="X57" s="17">
        <f t="shared" si="10"/>
        <v>177074.39038974023</v>
      </c>
      <c r="Z57" s="21">
        <f>'Alloc. Factors and Property Tax'!$C$18</f>
        <v>0.9604166666666667</v>
      </c>
      <c r="AB57" s="19">
        <f t="shared" si="11"/>
        <v>170065.19577014635</v>
      </c>
    </row>
    <row r="58" spans="2:28" x14ac:dyDescent="0.2">
      <c r="B58" s="23" t="s">
        <v>19</v>
      </c>
      <c r="D58" s="3">
        <v>2028</v>
      </c>
      <c r="F58" s="198">
        <f>'CCR Depr and ADFIT'!$C$2</f>
        <v>21087934.780000001</v>
      </c>
      <c r="H58" s="14">
        <f>'CCR Depr and ADFIT'!N56</f>
        <v>-8459245</v>
      </c>
      <c r="J58" s="14">
        <f>'CCR Depr and ADFIT'!U56</f>
        <v>531699</v>
      </c>
      <c r="L58" s="198">
        <f t="shared" ref="L58:L89" si="12">SUM(F58:K58)</f>
        <v>13160388.780000001</v>
      </c>
      <c r="N58" s="20">
        <f>WACC!$S$16</f>
        <v>8.1600000000000006E-2</v>
      </c>
      <c r="P58" s="16">
        <f t="shared" si="9"/>
        <v>89490.643704000002</v>
      </c>
      <c r="Q58" s="17"/>
      <c r="R58" s="17">
        <v>0</v>
      </c>
      <c r="T58" s="17">
        <f>(ROUND(F58*'CCR Depr and ADFIT'!$N$6/12,0))</f>
        <v>85933</v>
      </c>
      <c r="V58" s="17">
        <f>F58*'Alloc. Factors and Property Tax'!$E$24*'Alloc. Factors and Property Tax'!$E$25*'Alloc. Factors and Property Tax'!$E$26/12</f>
        <v>1045.7506857402</v>
      </c>
      <c r="X58" s="17">
        <f t="shared" ref="X58:X89" si="13">SUM(P58:W58)</f>
        <v>176469.39438974019</v>
      </c>
      <c r="Z58" s="21">
        <f>'Alloc. Factors and Property Tax'!$C$18</f>
        <v>0.9604166666666667</v>
      </c>
      <c r="AB58" s="19">
        <f t="shared" si="11"/>
        <v>169484.14752847966</v>
      </c>
    </row>
    <row r="59" spans="2:28" x14ac:dyDescent="0.2">
      <c r="B59" s="23" t="s">
        <v>8</v>
      </c>
      <c r="D59" s="3">
        <v>2028</v>
      </c>
      <c r="F59" s="198">
        <f>'CCR Depr and ADFIT'!$C$2</f>
        <v>21087934.780000001</v>
      </c>
      <c r="H59" s="14">
        <f>'CCR Depr and ADFIT'!N57</f>
        <v>-8545178</v>
      </c>
      <c r="J59" s="14">
        <f>'CCR Depr and ADFIT'!U57</f>
        <v>528662</v>
      </c>
      <c r="L59" s="198">
        <f t="shared" si="12"/>
        <v>13071418.780000001</v>
      </c>
      <c r="N59" s="20">
        <f>WACC!$S$16</f>
        <v>8.1600000000000006E-2</v>
      </c>
      <c r="P59" s="16">
        <f t="shared" si="9"/>
        <v>88885.647704000017</v>
      </c>
      <c r="Q59" s="17"/>
      <c r="R59" s="17">
        <v>0</v>
      </c>
      <c r="T59" s="17">
        <f>(ROUND(F59*'CCR Depr and ADFIT'!$N$6/12,0))</f>
        <v>85933</v>
      </c>
      <c r="V59" s="17">
        <f>F59*'Alloc. Factors and Property Tax'!$E$24*'Alloc. Factors and Property Tax'!$E$25*'Alloc. Factors and Property Tax'!$E$26/12</f>
        <v>1045.7506857402</v>
      </c>
      <c r="X59" s="17">
        <f t="shared" si="13"/>
        <v>175864.39838974021</v>
      </c>
      <c r="Z59" s="21">
        <f>'Alloc. Factors and Property Tax'!$C$18</f>
        <v>0.9604166666666667</v>
      </c>
      <c r="AB59" s="19">
        <f t="shared" si="11"/>
        <v>168903.099286813</v>
      </c>
    </row>
    <row r="60" spans="2:28" x14ac:dyDescent="0.2">
      <c r="B60" s="23" t="s">
        <v>9</v>
      </c>
      <c r="D60" s="3">
        <v>2028</v>
      </c>
      <c r="F60" s="198">
        <f>'CCR Depr and ADFIT'!$C$2</f>
        <v>21087934.780000001</v>
      </c>
      <c r="H60" s="14">
        <f>'CCR Depr and ADFIT'!N58</f>
        <v>-8631111</v>
      </c>
      <c r="J60" s="14">
        <f>'CCR Depr and ADFIT'!U58</f>
        <v>525625</v>
      </c>
      <c r="L60" s="198">
        <f t="shared" si="12"/>
        <v>12982448.780000001</v>
      </c>
      <c r="N60" s="20">
        <f>WACC!$S$16</f>
        <v>8.1600000000000006E-2</v>
      </c>
      <c r="P60" s="16">
        <f t="shared" si="9"/>
        <v>88280.651704000018</v>
      </c>
      <c r="Q60" s="17"/>
      <c r="R60" s="17">
        <v>0</v>
      </c>
      <c r="T60" s="17">
        <f>(ROUND(F60*'CCR Depr and ADFIT'!$N$6/12,0))</f>
        <v>85933</v>
      </c>
      <c r="V60" s="17">
        <f>F60*'Alloc. Factors and Property Tax'!$E$24*'Alloc. Factors and Property Tax'!$E$25*'Alloc. Factors and Property Tax'!$E$26/12</f>
        <v>1045.7506857402</v>
      </c>
      <c r="X60" s="17">
        <f t="shared" si="13"/>
        <v>175259.40238974022</v>
      </c>
      <c r="Z60" s="21">
        <f>'Alloc. Factors and Property Tax'!$C$18</f>
        <v>0.9604166666666667</v>
      </c>
      <c r="AB60" s="19">
        <f t="shared" si="11"/>
        <v>168322.05104514633</v>
      </c>
    </row>
    <row r="61" spans="2:28" x14ac:dyDescent="0.2">
      <c r="B61" s="23" t="s">
        <v>10</v>
      </c>
      <c r="D61" s="3">
        <v>2028</v>
      </c>
      <c r="F61" s="198">
        <f>'CCR Depr and ADFIT'!$C$2</f>
        <v>21087934.780000001</v>
      </c>
      <c r="H61" s="14">
        <f>'CCR Depr and ADFIT'!N59</f>
        <v>-8717044</v>
      </c>
      <c r="J61" s="14">
        <f>'CCR Depr and ADFIT'!U59</f>
        <v>522587</v>
      </c>
      <c r="L61" s="198">
        <f t="shared" si="12"/>
        <v>12893477.780000001</v>
      </c>
      <c r="N61" s="20">
        <f>WACC!$S$16</f>
        <v>8.1600000000000006E-2</v>
      </c>
      <c r="P61" s="16">
        <f t="shared" si="9"/>
        <v>87675.648904000016</v>
      </c>
      <c r="R61" s="17">
        <v>0</v>
      </c>
      <c r="T61" s="17">
        <f>(ROUND(F61*'CCR Depr and ADFIT'!$N$6/12,0))</f>
        <v>85933</v>
      </c>
      <c r="V61" s="17">
        <f>F61*'Alloc. Factors and Property Tax'!$E$24*'Alloc. Factors and Property Tax'!$E$25*'Alloc. Factors and Property Tax'!$E$26/12</f>
        <v>1045.7506857402</v>
      </c>
      <c r="X61" s="17">
        <f t="shared" si="13"/>
        <v>174654.39958974021</v>
      </c>
      <c r="Z61" s="21">
        <f>'Alloc. Factors and Property Tax'!$C$18</f>
        <v>0.9604166666666667</v>
      </c>
      <c r="AB61" s="19">
        <f t="shared" si="11"/>
        <v>167740.99627264633</v>
      </c>
    </row>
    <row r="62" spans="2:28" x14ac:dyDescent="0.2">
      <c r="B62" s="23" t="s">
        <v>11</v>
      </c>
      <c r="D62" s="3">
        <v>2029</v>
      </c>
      <c r="F62" s="198">
        <f>'CCR Depr and ADFIT'!$C$2</f>
        <v>21087934.780000001</v>
      </c>
      <c r="H62" s="14">
        <f>'CCR Depr and ADFIT'!N60</f>
        <v>-8802977</v>
      </c>
      <c r="J62" s="14">
        <f>'CCR Depr and ADFIT'!U60</f>
        <v>521130</v>
      </c>
      <c r="L62" s="198">
        <f t="shared" si="12"/>
        <v>12806087.780000001</v>
      </c>
      <c r="N62" s="20">
        <f>WACC!$S$16</f>
        <v>8.1600000000000006E-2</v>
      </c>
      <c r="P62" s="16">
        <f t="shared" si="9"/>
        <v>87081.396904000008</v>
      </c>
      <c r="R62" s="17">
        <v>0</v>
      </c>
      <c r="T62" s="17">
        <f>(ROUND(F62*'CCR Depr and ADFIT'!$N$6/12,0))</f>
        <v>85933</v>
      </c>
      <c r="V62" s="17">
        <f>F62*'Alloc. Factors and Property Tax'!$E$24*'Alloc. Factors and Property Tax'!$E$25*'Alloc. Factors and Property Tax'!$E$26/12</f>
        <v>1045.7506857402</v>
      </c>
      <c r="X62" s="17">
        <f t="shared" si="13"/>
        <v>174060.14758974023</v>
      </c>
      <c r="Z62" s="21">
        <f>'Alloc. Factors and Property Tax'!$C$18</f>
        <v>0.9604166666666667</v>
      </c>
      <c r="AB62" s="19">
        <f t="shared" si="11"/>
        <v>167170.26674764635</v>
      </c>
    </row>
    <row r="63" spans="2:28" x14ac:dyDescent="0.2">
      <c r="B63" s="23" t="s">
        <v>12</v>
      </c>
      <c r="D63" s="3">
        <v>2029</v>
      </c>
      <c r="F63" s="198">
        <f>'CCR Depr and ADFIT'!$C$2</f>
        <v>21087934.780000001</v>
      </c>
      <c r="H63" s="14">
        <f>'CCR Depr and ADFIT'!N61</f>
        <v>-8888910</v>
      </c>
      <c r="J63" s="14">
        <f>'CCR Depr and ADFIT'!U61</f>
        <v>519672</v>
      </c>
      <c r="L63" s="198">
        <f t="shared" si="12"/>
        <v>12718696.780000001</v>
      </c>
      <c r="N63" s="20">
        <f>WACC!$S$16</f>
        <v>8.1600000000000006E-2</v>
      </c>
      <c r="P63" s="16">
        <f t="shared" si="9"/>
        <v>86487.138104000012</v>
      </c>
      <c r="R63" s="17">
        <v>0</v>
      </c>
      <c r="T63" s="17">
        <f>(ROUND(F63*'CCR Depr and ADFIT'!$N$6/12,0))</f>
        <v>85933</v>
      </c>
      <c r="V63" s="17">
        <f>F63*'Alloc. Factors and Property Tax'!$E$24*'Alloc. Factors and Property Tax'!$E$25*'Alloc. Factors and Property Tax'!$E$26/12</f>
        <v>1045.7506857402</v>
      </c>
      <c r="X63" s="17">
        <f t="shared" si="13"/>
        <v>173465.88878974022</v>
      </c>
      <c r="Z63" s="21">
        <f>'Alloc. Factors and Property Tax'!$C$18</f>
        <v>0.9604166666666667</v>
      </c>
      <c r="AB63" s="19">
        <f t="shared" si="11"/>
        <v>166599.53069181301</v>
      </c>
    </row>
    <row r="64" spans="2:28" x14ac:dyDescent="0.2">
      <c r="B64" s="23" t="s">
        <v>13</v>
      </c>
      <c r="D64" s="3">
        <v>2029</v>
      </c>
      <c r="F64" s="198">
        <f>'CCR Depr and ADFIT'!$C$2</f>
        <v>21087934.780000001</v>
      </c>
      <c r="H64" s="14">
        <f>'CCR Depr and ADFIT'!N62</f>
        <v>-8974843</v>
      </c>
      <c r="J64" s="14">
        <f>'CCR Depr and ADFIT'!U62</f>
        <v>518214</v>
      </c>
      <c r="L64" s="198">
        <f t="shared" si="12"/>
        <v>12631305.780000001</v>
      </c>
      <c r="N64" s="20">
        <f>WACC!$S$16</f>
        <v>8.1600000000000006E-2</v>
      </c>
      <c r="P64" s="16">
        <f t="shared" si="9"/>
        <v>85892.879304000016</v>
      </c>
      <c r="R64" s="17">
        <v>0</v>
      </c>
      <c r="T64" s="17">
        <f>(ROUND(F64*'CCR Depr and ADFIT'!$N$6/12,0))</f>
        <v>85933</v>
      </c>
      <c r="V64" s="17">
        <f>F64*'Alloc. Factors and Property Tax'!$E$24*'Alloc. Factors and Property Tax'!$E$25*'Alloc. Factors and Property Tax'!$E$26/12</f>
        <v>1045.7506857402</v>
      </c>
      <c r="X64" s="17">
        <f t="shared" si="13"/>
        <v>172871.62998974021</v>
      </c>
      <c r="Z64" s="21">
        <f>'Alloc. Factors and Property Tax'!$C$18</f>
        <v>0.9604166666666667</v>
      </c>
      <c r="AB64" s="19">
        <f t="shared" si="11"/>
        <v>166028.79463597966</v>
      </c>
    </row>
    <row r="65" spans="2:28" x14ac:dyDescent="0.2">
      <c r="B65" s="23" t="s">
        <v>14</v>
      </c>
      <c r="D65" s="3">
        <v>2029</v>
      </c>
      <c r="F65" s="198">
        <f>'CCR Depr and ADFIT'!$C$2</f>
        <v>21087934.780000001</v>
      </c>
      <c r="H65" s="14">
        <f>'CCR Depr and ADFIT'!N63</f>
        <v>-9060776</v>
      </c>
      <c r="J65" s="14">
        <f>'CCR Depr and ADFIT'!U63</f>
        <v>516756</v>
      </c>
      <c r="L65" s="198">
        <f t="shared" si="12"/>
        <v>12543914.780000001</v>
      </c>
      <c r="N65" s="20">
        <f>WACC!$S$16</f>
        <v>8.1600000000000006E-2</v>
      </c>
      <c r="P65" s="16">
        <f t="shared" si="9"/>
        <v>85298.620504000006</v>
      </c>
      <c r="R65" s="17">
        <v>0</v>
      </c>
      <c r="T65" s="17">
        <f>(ROUND(F65*'CCR Depr and ADFIT'!$N$6/12,0))</f>
        <v>85933</v>
      </c>
      <c r="V65" s="17">
        <f>F65*'Alloc. Factors and Property Tax'!$E$24*'Alloc. Factors and Property Tax'!$E$25*'Alloc. Factors and Property Tax'!$E$26/12</f>
        <v>1045.7506857402</v>
      </c>
      <c r="X65" s="17">
        <f t="shared" si="13"/>
        <v>172277.3711897402</v>
      </c>
      <c r="Z65" s="21">
        <f>'Alloc. Factors and Property Tax'!$C$18</f>
        <v>0.9604166666666667</v>
      </c>
      <c r="AB65" s="19">
        <f t="shared" si="11"/>
        <v>165458.05858014632</v>
      </c>
    </row>
    <row r="66" spans="2:28" x14ac:dyDescent="0.2">
      <c r="B66" s="23" t="s">
        <v>15</v>
      </c>
      <c r="D66" s="3">
        <v>2029</v>
      </c>
      <c r="F66" s="198">
        <f>'CCR Depr and ADFIT'!$C$2</f>
        <v>21087934.780000001</v>
      </c>
      <c r="H66" s="14">
        <f>'CCR Depr and ADFIT'!N64</f>
        <v>-9146709</v>
      </c>
      <c r="J66" s="14">
        <f>'CCR Depr and ADFIT'!U64</f>
        <v>515299</v>
      </c>
      <c r="L66" s="198">
        <f t="shared" si="12"/>
        <v>12456524.780000001</v>
      </c>
      <c r="N66" s="20">
        <f>WACC!$S$16</f>
        <v>8.1600000000000006E-2</v>
      </c>
      <c r="P66" s="16">
        <f t="shared" si="9"/>
        <v>84704.368504000013</v>
      </c>
      <c r="R66" s="17">
        <v>0</v>
      </c>
      <c r="T66" s="17">
        <f>(ROUND(F66*'CCR Depr and ADFIT'!$N$6/12,0))</f>
        <v>85933</v>
      </c>
      <c r="V66" s="17">
        <f>F66*'Alloc. Factors and Property Tax'!$E$24*'Alloc. Factors and Property Tax'!$E$25*'Alloc. Factors and Property Tax'!$E$26/12</f>
        <v>1045.7506857402</v>
      </c>
      <c r="X66" s="17">
        <f t="shared" si="13"/>
        <v>171683.11918974022</v>
      </c>
      <c r="Z66" s="21">
        <f>'Alloc. Factors and Property Tax'!$C$18</f>
        <v>0.9604166666666667</v>
      </c>
      <c r="AB66" s="19">
        <f t="shared" si="11"/>
        <v>164887.32905514634</v>
      </c>
    </row>
    <row r="67" spans="2:28" x14ac:dyDescent="0.2">
      <c r="B67" s="23" t="s">
        <v>16</v>
      </c>
      <c r="D67" s="3">
        <v>2029</v>
      </c>
      <c r="F67" s="198">
        <f>'CCR Depr and ADFIT'!$C$2</f>
        <v>21087934.780000001</v>
      </c>
      <c r="H67" s="14">
        <f>'CCR Depr and ADFIT'!N65</f>
        <v>-9232642</v>
      </c>
      <c r="J67" s="14">
        <f>'CCR Depr and ADFIT'!U65</f>
        <v>513841</v>
      </c>
      <c r="L67" s="198">
        <f t="shared" si="12"/>
        <v>12369133.780000001</v>
      </c>
      <c r="N67" s="20">
        <f>WACC!$S$16</f>
        <v>8.1600000000000006E-2</v>
      </c>
      <c r="P67" s="16">
        <f t="shared" si="9"/>
        <v>84110.109704000017</v>
      </c>
      <c r="R67" s="17">
        <v>0</v>
      </c>
      <c r="T67" s="17">
        <f>(ROUND(F67*'CCR Depr and ADFIT'!$N$6/12,0))</f>
        <v>85933</v>
      </c>
      <c r="V67" s="17">
        <f>F67*'Alloc. Factors and Property Tax'!$E$24*'Alloc. Factors and Property Tax'!$E$25*'Alloc. Factors and Property Tax'!$E$26/12</f>
        <v>1045.7506857402</v>
      </c>
      <c r="X67" s="17">
        <f t="shared" si="13"/>
        <v>171088.86038974021</v>
      </c>
      <c r="Z67" s="21">
        <f>'Alloc. Factors and Property Tax'!$C$18</f>
        <v>0.9604166666666667</v>
      </c>
      <c r="AB67" s="19">
        <f t="shared" si="11"/>
        <v>164316.592999313</v>
      </c>
    </row>
    <row r="68" spans="2:28" x14ac:dyDescent="0.2">
      <c r="B68" s="23" t="s">
        <v>17</v>
      </c>
      <c r="D68" s="3">
        <v>2029</v>
      </c>
      <c r="F68" s="198">
        <f>'CCR Depr and ADFIT'!$C$2</f>
        <v>21087934.780000001</v>
      </c>
      <c r="H68" s="14">
        <f>'CCR Depr and ADFIT'!N66</f>
        <v>-9318575</v>
      </c>
      <c r="J68" s="14">
        <f>'CCR Depr and ADFIT'!U66</f>
        <v>512383</v>
      </c>
      <c r="L68" s="198">
        <f t="shared" si="12"/>
        <v>12281742.780000001</v>
      </c>
      <c r="N68" s="20">
        <f>WACC!$S$16</f>
        <v>8.1600000000000006E-2</v>
      </c>
      <c r="P68" s="16">
        <f t="shared" si="9"/>
        <v>83515.850904000006</v>
      </c>
      <c r="R68" s="17">
        <v>0</v>
      </c>
      <c r="T68" s="17">
        <f>(ROUND(F68*'CCR Depr and ADFIT'!$N$6/12,0))</f>
        <v>85933</v>
      </c>
      <c r="V68" s="17">
        <f>F68*'Alloc. Factors and Property Tax'!$E$24*'Alloc. Factors and Property Tax'!$E$25*'Alloc. Factors and Property Tax'!$E$26/12</f>
        <v>1045.7506857402</v>
      </c>
      <c r="X68" s="17">
        <f t="shared" si="13"/>
        <v>170494.6015897402</v>
      </c>
      <c r="Z68" s="21">
        <f>'Alloc. Factors and Property Tax'!$C$18</f>
        <v>0.9604166666666667</v>
      </c>
      <c r="AB68" s="19">
        <f t="shared" si="11"/>
        <v>163745.85694347965</v>
      </c>
    </row>
    <row r="69" spans="2:28" x14ac:dyDescent="0.2">
      <c r="B69" s="23" t="s">
        <v>18</v>
      </c>
      <c r="D69" s="3">
        <v>2029</v>
      </c>
      <c r="F69" s="198">
        <f>'CCR Depr and ADFIT'!$C$2</f>
        <v>21087934.780000001</v>
      </c>
      <c r="H69" s="14">
        <f>'CCR Depr and ADFIT'!N67</f>
        <v>-9404508</v>
      </c>
      <c r="J69" s="14">
        <f>'CCR Depr and ADFIT'!U67</f>
        <v>510925</v>
      </c>
      <c r="L69" s="198">
        <f t="shared" si="12"/>
        <v>12194351.780000001</v>
      </c>
      <c r="N69" s="20">
        <f>WACC!$S$16</f>
        <v>8.1600000000000006E-2</v>
      </c>
      <c r="P69" s="16">
        <f t="shared" si="9"/>
        <v>82921.59210400001</v>
      </c>
      <c r="R69" s="17">
        <v>0</v>
      </c>
      <c r="T69" s="17">
        <f>(ROUND(F69*'CCR Depr and ADFIT'!$N$6/12,0))</f>
        <v>85933</v>
      </c>
      <c r="V69" s="17">
        <f>F69*'Alloc. Factors and Property Tax'!$E$24*'Alloc. Factors and Property Tax'!$E$25*'Alloc. Factors and Property Tax'!$E$26/12</f>
        <v>1045.7506857402</v>
      </c>
      <c r="X69" s="17">
        <f t="shared" si="13"/>
        <v>169900.34278974021</v>
      </c>
      <c r="Z69" s="21">
        <f>'Alloc. Factors and Property Tax'!$C$18</f>
        <v>0.9604166666666667</v>
      </c>
      <c r="AB69" s="19">
        <f t="shared" si="11"/>
        <v>163175.12088764634</v>
      </c>
    </row>
    <row r="70" spans="2:28" x14ac:dyDescent="0.2">
      <c r="B70" s="23" t="s">
        <v>19</v>
      </c>
      <c r="D70" s="3">
        <v>2029</v>
      </c>
      <c r="F70" s="198">
        <f>'CCR Depr and ADFIT'!$C$2</f>
        <v>21087934.780000001</v>
      </c>
      <c r="H70" s="14">
        <f>'CCR Depr and ADFIT'!N68</f>
        <v>-9490441</v>
      </c>
      <c r="J70" s="14">
        <f>'CCR Depr and ADFIT'!U68</f>
        <v>509467</v>
      </c>
      <c r="L70" s="198">
        <f t="shared" si="12"/>
        <v>12106960.780000001</v>
      </c>
      <c r="N70" s="20">
        <f>WACC!$S$16</f>
        <v>8.1600000000000006E-2</v>
      </c>
      <c r="P70" s="16">
        <f t="shared" si="9"/>
        <v>82327.333304000014</v>
      </c>
      <c r="R70" s="17">
        <v>0</v>
      </c>
      <c r="T70" s="17">
        <f>(ROUND(F70*'CCR Depr and ADFIT'!$N$6/12,0))</f>
        <v>85933</v>
      </c>
      <c r="V70" s="17">
        <f>F70*'Alloc. Factors and Property Tax'!$E$24*'Alloc. Factors and Property Tax'!$E$25*'Alloc. Factors and Property Tax'!$E$26/12</f>
        <v>1045.7506857402</v>
      </c>
      <c r="X70" s="17">
        <f t="shared" si="13"/>
        <v>169306.08398974023</v>
      </c>
      <c r="Z70" s="21">
        <f>'Alloc. Factors and Property Tax'!$C$18</f>
        <v>0.9604166666666667</v>
      </c>
      <c r="AB70" s="19">
        <f t="shared" si="11"/>
        <v>162604.38483181302</v>
      </c>
    </row>
    <row r="71" spans="2:28" x14ac:dyDescent="0.2">
      <c r="B71" s="23" t="s">
        <v>8</v>
      </c>
      <c r="D71" s="3">
        <v>2029</v>
      </c>
      <c r="F71" s="198">
        <f>'CCR Depr and ADFIT'!$C$2</f>
        <v>21087934.780000001</v>
      </c>
      <c r="H71" s="14">
        <f>'CCR Depr and ADFIT'!N69</f>
        <v>-9576374</v>
      </c>
      <c r="J71" s="14">
        <f>'CCR Depr and ADFIT'!U69</f>
        <v>508010</v>
      </c>
      <c r="L71" s="198">
        <f t="shared" si="12"/>
        <v>12019570.780000001</v>
      </c>
      <c r="N71" s="20">
        <f>WACC!$S$16</f>
        <v>8.1600000000000006E-2</v>
      </c>
      <c r="P71" s="16">
        <f t="shared" si="9"/>
        <v>81733.081304000007</v>
      </c>
      <c r="R71" s="17">
        <v>0</v>
      </c>
      <c r="T71" s="17">
        <f>(ROUND(F71*'CCR Depr and ADFIT'!$N$6/12,0))</f>
        <v>85933</v>
      </c>
      <c r="V71" s="17">
        <f>F71*'Alloc. Factors and Property Tax'!$E$24*'Alloc. Factors and Property Tax'!$E$25*'Alloc. Factors and Property Tax'!$E$26/12</f>
        <v>1045.7506857402</v>
      </c>
      <c r="X71" s="17">
        <f t="shared" si="13"/>
        <v>168711.8319897402</v>
      </c>
      <c r="Z71" s="21">
        <f>'Alloc. Factors and Property Tax'!$C$18</f>
        <v>0.9604166666666667</v>
      </c>
      <c r="AB71" s="19">
        <f t="shared" si="11"/>
        <v>162033.65530681299</v>
      </c>
    </row>
    <row r="72" spans="2:28" x14ac:dyDescent="0.2">
      <c r="B72" s="23" t="s">
        <v>9</v>
      </c>
      <c r="D72" s="3">
        <v>2029</v>
      </c>
      <c r="F72" s="198">
        <f>'CCR Depr and ADFIT'!$C$2</f>
        <v>21087934.780000001</v>
      </c>
      <c r="H72" s="14">
        <f>'CCR Depr and ADFIT'!N70</f>
        <v>-9662307</v>
      </c>
      <c r="J72" s="14">
        <f>'CCR Depr and ADFIT'!U70</f>
        <v>506552</v>
      </c>
      <c r="L72" s="198">
        <f t="shared" si="12"/>
        <v>11932179.780000001</v>
      </c>
      <c r="N72" s="20">
        <f>WACC!$S$16</f>
        <v>8.1600000000000006E-2</v>
      </c>
      <c r="P72" s="16">
        <f t="shared" si="9"/>
        <v>81138.822504000011</v>
      </c>
      <c r="R72" s="17">
        <v>0</v>
      </c>
      <c r="T72" s="17">
        <f>(ROUND(F72*'CCR Depr and ADFIT'!$N$6/12,0))</f>
        <v>85933</v>
      </c>
      <c r="V72" s="17">
        <f>F72*'Alloc. Factors and Property Tax'!$E$24*'Alloc. Factors and Property Tax'!$E$25*'Alloc. Factors and Property Tax'!$E$26/12</f>
        <v>1045.7506857402</v>
      </c>
      <c r="X72" s="17">
        <f t="shared" si="13"/>
        <v>168117.57318974021</v>
      </c>
      <c r="Z72" s="21">
        <f>'Alloc. Factors and Property Tax'!$C$18</f>
        <v>0.9604166666666667</v>
      </c>
      <c r="AB72" s="19">
        <f t="shared" si="11"/>
        <v>161462.91925097967</v>
      </c>
    </row>
    <row r="73" spans="2:28" x14ac:dyDescent="0.2">
      <c r="B73" s="23" t="s">
        <v>10</v>
      </c>
      <c r="D73" s="3">
        <v>2029</v>
      </c>
      <c r="F73" s="198">
        <f>'CCR Depr and ADFIT'!$C$2</f>
        <v>21087934.780000001</v>
      </c>
      <c r="H73" s="14">
        <f>'CCR Depr and ADFIT'!N71</f>
        <v>-9748240</v>
      </c>
      <c r="J73" s="14">
        <f>'CCR Depr and ADFIT'!U71</f>
        <v>505094</v>
      </c>
      <c r="L73" s="198">
        <f t="shared" si="12"/>
        <v>11844788.780000001</v>
      </c>
      <c r="N73" s="20">
        <f>WACC!$S$16</f>
        <v>8.1600000000000006E-2</v>
      </c>
      <c r="P73" s="16">
        <f t="shared" si="9"/>
        <v>80544.563704000015</v>
      </c>
      <c r="R73" s="17">
        <v>0</v>
      </c>
      <c r="T73" s="17">
        <f>(ROUND(F73*'CCR Depr and ADFIT'!$N$6/12,0))</f>
        <v>85933</v>
      </c>
      <c r="V73" s="17">
        <f>F73*'Alloc. Factors and Property Tax'!$E$24*'Alloc. Factors and Property Tax'!$E$25*'Alloc. Factors and Property Tax'!$E$26/12</f>
        <v>1045.7506857402</v>
      </c>
      <c r="X73" s="17">
        <f t="shared" si="13"/>
        <v>167523.31438974023</v>
      </c>
      <c r="Z73" s="21">
        <f>'Alloc. Factors and Property Tax'!$C$18</f>
        <v>0.9604166666666667</v>
      </c>
      <c r="AB73" s="19">
        <f t="shared" si="11"/>
        <v>160892.18319514635</v>
      </c>
    </row>
    <row r="74" spans="2:28" x14ac:dyDescent="0.2">
      <c r="B74" s="23" t="s">
        <v>11</v>
      </c>
      <c r="D74" s="3">
        <v>2030</v>
      </c>
      <c r="F74" s="198">
        <f>'CCR Depr and ADFIT'!$C$2</f>
        <v>21087934.780000001</v>
      </c>
      <c r="H74" s="14">
        <f>'CCR Depr and ADFIT'!N72</f>
        <v>-9834173</v>
      </c>
      <c r="J74" s="14">
        <f>'CCR Depr and ADFIT'!U72</f>
        <v>505101</v>
      </c>
      <c r="L74" s="198">
        <f t="shared" si="12"/>
        <v>11758862.780000001</v>
      </c>
      <c r="N74" s="20">
        <f>WACC!$S$16</f>
        <v>8.1600000000000006E-2</v>
      </c>
      <c r="P74" s="16">
        <f t="shared" si="9"/>
        <v>79960.266904000018</v>
      </c>
      <c r="R74" s="17">
        <v>0</v>
      </c>
      <c r="T74" s="17">
        <f>(ROUND(F74*'CCR Depr and ADFIT'!$N$6/12,0))</f>
        <v>85933</v>
      </c>
      <c r="V74" s="17">
        <f>F74*'Alloc. Factors and Property Tax'!$E$24*'Alloc. Factors and Property Tax'!$E$25*'Alloc. Factors and Property Tax'!$E$26/12</f>
        <v>1045.7506857402</v>
      </c>
      <c r="X74" s="17">
        <f t="shared" si="13"/>
        <v>166939.01758974022</v>
      </c>
      <c r="Z74" s="21">
        <f>'Alloc. Factors and Property Tax'!$C$18</f>
        <v>0.9604166666666667</v>
      </c>
      <c r="AB74" s="19">
        <f t="shared" si="11"/>
        <v>160331.01481014636</v>
      </c>
    </row>
    <row r="75" spans="2:28" x14ac:dyDescent="0.2">
      <c r="B75" s="23" t="s">
        <v>12</v>
      </c>
      <c r="D75" s="3">
        <v>2030</v>
      </c>
      <c r="F75" s="198">
        <f>'CCR Depr and ADFIT'!$C$2</f>
        <v>21087934.780000001</v>
      </c>
      <c r="H75" s="14">
        <f>'CCR Depr and ADFIT'!N73</f>
        <v>-9920106</v>
      </c>
      <c r="J75" s="14">
        <f>'CCR Depr and ADFIT'!U73</f>
        <v>505109</v>
      </c>
      <c r="L75" s="198">
        <f t="shared" si="12"/>
        <v>11672937.780000001</v>
      </c>
      <c r="N75" s="20">
        <f>WACC!$S$16</f>
        <v>8.1600000000000006E-2</v>
      </c>
      <c r="P75" s="16">
        <f t="shared" si="9"/>
        <v>79375.97690400001</v>
      </c>
      <c r="R75" s="17">
        <v>0</v>
      </c>
      <c r="T75" s="17">
        <f>(ROUND(F75*'CCR Depr and ADFIT'!$N$6/12,0))</f>
        <v>85933</v>
      </c>
      <c r="V75" s="17">
        <f>F75*'Alloc. Factors and Property Tax'!$E$24*'Alloc. Factors and Property Tax'!$E$25*'Alloc. Factors and Property Tax'!$E$26/12</f>
        <v>1045.7506857402</v>
      </c>
      <c r="X75" s="17">
        <f t="shared" si="13"/>
        <v>166354.72758974021</v>
      </c>
      <c r="Z75" s="21">
        <f>'Alloc. Factors and Property Tax'!$C$18</f>
        <v>0.9604166666666667</v>
      </c>
      <c r="AB75" s="19">
        <f t="shared" si="11"/>
        <v>159769.85295597967</v>
      </c>
    </row>
    <row r="76" spans="2:28" x14ac:dyDescent="0.2">
      <c r="B76" s="23" t="s">
        <v>13</v>
      </c>
      <c r="D76" s="3">
        <v>2030</v>
      </c>
      <c r="F76" s="198">
        <f>'CCR Depr and ADFIT'!$C$2</f>
        <v>21087934.780000001</v>
      </c>
      <c r="H76" s="14">
        <f>'CCR Depr and ADFIT'!N74</f>
        <v>-10006039</v>
      </c>
      <c r="J76" s="14">
        <f>'CCR Depr and ADFIT'!U74</f>
        <v>505116</v>
      </c>
      <c r="L76" s="198">
        <f t="shared" si="12"/>
        <v>11587011.780000001</v>
      </c>
      <c r="N76" s="20">
        <f>WACC!$S$16</f>
        <v>8.1600000000000006E-2</v>
      </c>
      <c r="P76" s="16">
        <f t="shared" si="9"/>
        <v>78791.680104000014</v>
      </c>
      <c r="R76" s="17">
        <v>0</v>
      </c>
      <c r="T76" s="17">
        <f>(ROUND(F76*'CCR Depr and ADFIT'!$N$6/12,0))</f>
        <v>85933</v>
      </c>
      <c r="V76" s="17">
        <f>F76*'Alloc. Factors and Property Tax'!$E$24*'Alloc. Factors and Property Tax'!$E$25*'Alloc. Factors and Property Tax'!$E$26/12</f>
        <v>1045.7506857402</v>
      </c>
      <c r="X76" s="17">
        <f t="shared" si="13"/>
        <v>165770.43078974023</v>
      </c>
      <c r="Z76" s="21">
        <f>'Alloc. Factors and Property Tax'!$C$18</f>
        <v>0.9604166666666667</v>
      </c>
      <c r="AB76" s="19">
        <f t="shared" si="11"/>
        <v>159208.68457097968</v>
      </c>
    </row>
    <row r="77" spans="2:28" x14ac:dyDescent="0.2">
      <c r="B77" s="23" t="s">
        <v>14</v>
      </c>
      <c r="D77" s="3">
        <v>2030</v>
      </c>
      <c r="F77" s="198">
        <f>'CCR Depr and ADFIT'!$C$2</f>
        <v>21087934.780000001</v>
      </c>
      <c r="H77" s="14">
        <f>'CCR Depr and ADFIT'!N75</f>
        <v>-10091972</v>
      </c>
      <c r="J77" s="14">
        <f>'CCR Depr and ADFIT'!U75</f>
        <v>505123</v>
      </c>
      <c r="L77" s="198">
        <f t="shared" si="12"/>
        <v>11501085.780000001</v>
      </c>
      <c r="N77" s="20">
        <f>WACC!$S$16</f>
        <v>8.1600000000000006E-2</v>
      </c>
      <c r="P77" s="16">
        <f t="shared" si="9"/>
        <v>78207.383304000017</v>
      </c>
      <c r="R77" s="17">
        <v>0</v>
      </c>
      <c r="T77" s="17">
        <f>(ROUND(F77*'CCR Depr and ADFIT'!$N$6/12,0))</f>
        <v>85933</v>
      </c>
      <c r="V77" s="17">
        <f>F77*'Alloc. Factors and Property Tax'!$E$24*'Alloc. Factors and Property Tax'!$E$25*'Alloc. Factors and Property Tax'!$E$26/12</f>
        <v>1045.7506857402</v>
      </c>
      <c r="X77" s="17">
        <f t="shared" si="13"/>
        <v>165186.13398974022</v>
      </c>
      <c r="Z77" s="21">
        <f>'Alloc. Factors and Property Tax'!$C$18</f>
        <v>0.9604166666666667</v>
      </c>
      <c r="AB77" s="19">
        <f t="shared" si="11"/>
        <v>158647.51618597968</v>
      </c>
    </row>
    <row r="78" spans="2:28" x14ac:dyDescent="0.2">
      <c r="B78" s="23" t="s">
        <v>15</v>
      </c>
      <c r="D78" s="3">
        <v>2030</v>
      </c>
      <c r="F78" s="198">
        <f>'CCR Depr and ADFIT'!$C$2</f>
        <v>21087934.780000001</v>
      </c>
      <c r="H78" s="14">
        <f>'CCR Depr and ADFIT'!N76</f>
        <v>-10177905</v>
      </c>
      <c r="J78" s="14">
        <f>'CCR Depr and ADFIT'!U76</f>
        <v>505131</v>
      </c>
      <c r="L78" s="198">
        <f t="shared" si="12"/>
        <v>11415160.780000001</v>
      </c>
      <c r="N78" s="20">
        <f>WACC!$S$16</f>
        <v>8.1600000000000006E-2</v>
      </c>
      <c r="P78" s="16">
        <f t="shared" si="9"/>
        <v>77623.093304000009</v>
      </c>
      <c r="R78" s="17">
        <v>0</v>
      </c>
      <c r="T78" s="17">
        <f>(ROUND(F78*'CCR Depr and ADFIT'!$N$6/12,0))</f>
        <v>85933</v>
      </c>
      <c r="V78" s="17">
        <f>F78*'Alloc. Factors and Property Tax'!$E$24*'Alloc. Factors and Property Tax'!$E$25*'Alloc. Factors and Property Tax'!$E$26/12</f>
        <v>1045.7506857402</v>
      </c>
      <c r="X78" s="17">
        <f t="shared" si="13"/>
        <v>164601.84398974021</v>
      </c>
      <c r="Z78" s="21">
        <f>'Alloc. Factors and Property Tax'!$C$18</f>
        <v>0.9604166666666667</v>
      </c>
      <c r="AB78" s="19">
        <f t="shared" si="11"/>
        <v>158086.354331813</v>
      </c>
    </row>
    <row r="79" spans="2:28" x14ac:dyDescent="0.2">
      <c r="B79" s="23" t="s">
        <v>16</v>
      </c>
      <c r="D79" s="3">
        <v>2030</v>
      </c>
      <c r="F79" s="198">
        <f>'CCR Depr and ADFIT'!$C$2</f>
        <v>21087934.780000001</v>
      </c>
      <c r="H79" s="14">
        <f>'CCR Depr and ADFIT'!N77</f>
        <v>-10263838</v>
      </c>
      <c r="J79" s="14">
        <f>'CCR Depr and ADFIT'!U77</f>
        <v>505138</v>
      </c>
      <c r="L79" s="198">
        <f t="shared" si="12"/>
        <v>11329234.780000001</v>
      </c>
      <c r="N79" s="20">
        <f>WACC!$S$16</f>
        <v>8.1600000000000006E-2</v>
      </c>
      <c r="P79" s="16">
        <f t="shared" si="9"/>
        <v>77038.796504000013</v>
      </c>
      <c r="R79" s="17">
        <v>0</v>
      </c>
      <c r="T79" s="17">
        <f>(ROUND(F79*'CCR Depr and ADFIT'!$N$6/12,0))</f>
        <v>85933</v>
      </c>
      <c r="V79" s="17">
        <f>F79*'Alloc. Factors and Property Tax'!$E$24*'Alloc. Factors and Property Tax'!$E$25*'Alloc. Factors and Property Tax'!$E$26/12</f>
        <v>1045.7506857402</v>
      </c>
      <c r="X79" s="17">
        <f t="shared" si="13"/>
        <v>164017.54718974023</v>
      </c>
      <c r="Z79" s="21">
        <f>'Alloc. Factors and Property Tax'!$C$18</f>
        <v>0.9604166666666667</v>
      </c>
      <c r="AB79" s="19">
        <f t="shared" si="11"/>
        <v>157525.18594681303</v>
      </c>
    </row>
    <row r="80" spans="2:28" x14ac:dyDescent="0.2">
      <c r="B80" s="23" t="s">
        <v>17</v>
      </c>
      <c r="D80" s="3">
        <v>2030</v>
      </c>
      <c r="F80" s="198">
        <f>'CCR Depr and ADFIT'!$C$2</f>
        <v>21087934.780000001</v>
      </c>
      <c r="H80" s="14">
        <f>'CCR Depr and ADFIT'!N78</f>
        <v>-10349771</v>
      </c>
      <c r="J80" s="14">
        <f>'CCR Depr and ADFIT'!U78</f>
        <v>505145</v>
      </c>
      <c r="L80" s="198">
        <f t="shared" si="12"/>
        <v>11243308.780000001</v>
      </c>
      <c r="N80" s="20">
        <f>WACC!$S$16</f>
        <v>8.1600000000000006E-2</v>
      </c>
      <c r="P80" s="16">
        <f t="shared" si="9"/>
        <v>76454.499704000016</v>
      </c>
      <c r="R80" s="17">
        <v>0</v>
      </c>
      <c r="T80" s="17">
        <f>(ROUND(F80*'CCR Depr and ADFIT'!$N$6/12,0))</f>
        <v>85933</v>
      </c>
      <c r="V80" s="17">
        <f>F80*'Alloc. Factors and Property Tax'!$E$24*'Alloc. Factors and Property Tax'!$E$25*'Alloc. Factors and Property Tax'!$E$26/12</f>
        <v>1045.7506857402</v>
      </c>
      <c r="X80" s="17">
        <f t="shared" si="13"/>
        <v>163433.25038974022</v>
      </c>
      <c r="Z80" s="21">
        <f>'Alloc. Factors and Property Tax'!$C$18</f>
        <v>0.9604166666666667</v>
      </c>
      <c r="AB80" s="19">
        <f t="shared" si="11"/>
        <v>156964.017561813</v>
      </c>
    </row>
    <row r="81" spans="2:28" x14ac:dyDescent="0.2">
      <c r="B81" s="23" t="s">
        <v>18</v>
      </c>
      <c r="D81" s="3">
        <v>2030</v>
      </c>
      <c r="F81" s="198">
        <f>'CCR Depr and ADFIT'!$C$2</f>
        <v>21087934.780000001</v>
      </c>
      <c r="H81" s="14">
        <f>'CCR Depr and ADFIT'!N79</f>
        <v>-10435704</v>
      </c>
      <c r="J81" s="14">
        <f>'CCR Depr and ADFIT'!U79</f>
        <v>505153</v>
      </c>
      <c r="L81" s="198">
        <f t="shared" si="12"/>
        <v>11157383.780000001</v>
      </c>
      <c r="N81" s="20">
        <f>WACC!$S$16</f>
        <v>8.1600000000000006E-2</v>
      </c>
      <c r="P81" s="16">
        <f t="shared" si="9"/>
        <v>75870.209704000023</v>
      </c>
      <c r="R81" s="17">
        <v>0</v>
      </c>
      <c r="T81" s="17">
        <f>(ROUND(F81*'CCR Depr and ADFIT'!$N$6/12,0))</f>
        <v>85933</v>
      </c>
      <c r="V81" s="17">
        <f>F81*'Alloc. Factors and Property Tax'!$E$24*'Alloc. Factors and Property Tax'!$E$25*'Alloc. Factors and Property Tax'!$E$26/12</f>
        <v>1045.7506857402</v>
      </c>
      <c r="X81" s="17">
        <f t="shared" si="13"/>
        <v>162848.96038974024</v>
      </c>
      <c r="Z81" s="21">
        <f>'Alloc. Factors and Property Tax'!$C$18</f>
        <v>0.9604166666666667</v>
      </c>
      <c r="AB81" s="19">
        <f t="shared" si="11"/>
        <v>156402.85570764635</v>
      </c>
    </row>
    <row r="82" spans="2:28" x14ac:dyDescent="0.2">
      <c r="B82" s="23" t="s">
        <v>19</v>
      </c>
      <c r="D82" s="3">
        <v>2030</v>
      </c>
      <c r="F82" s="198">
        <f>'CCR Depr and ADFIT'!$C$2</f>
        <v>21087934.780000001</v>
      </c>
      <c r="H82" s="14">
        <f>'CCR Depr and ADFIT'!N80</f>
        <v>-10521637</v>
      </c>
      <c r="J82" s="14">
        <f>'CCR Depr and ADFIT'!U80</f>
        <v>505160</v>
      </c>
      <c r="L82" s="198">
        <f t="shared" si="12"/>
        <v>11071457.780000001</v>
      </c>
      <c r="N82" s="20">
        <f>WACC!$S$16</f>
        <v>8.1600000000000006E-2</v>
      </c>
      <c r="P82" s="16">
        <f t="shared" si="9"/>
        <v>75285.912904000012</v>
      </c>
      <c r="R82" s="17">
        <v>0</v>
      </c>
      <c r="T82" s="17">
        <f>(ROUND(F82*'CCR Depr and ADFIT'!$N$6/12,0))</f>
        <v>85933</v>
      </c>
      <c r="V82" s="17">
        <f>F82*'Alloc. Factors and Property Tax'!$E$24*'Alloc. Factors and Property Tax'!$E$25*'Alloc. Factors and Property Tax'!$E$26/12</f>
        <v>1045.7506857402</v>
      </c>
      <c r="X82" s="17">
        <f t="shared" si="13"/>
        <v>162264.66358974023</v>
      </c>
      <c r="Z82" s="21">
        <f>'Alloc. Factors and Property Tax'!$C$18</f>
        <v>0.9604166666666667</v>
      </c>
      <c r="AB82" s="19">
        <f t="shared" si="11"/>
        <v>155841.68732264635</v>
      </c>
    </row>
    <row r="83" spans="2:28" x14ac:dyDescent="0.2">
      <c r="B83" s="23" t="s">
        <v>8</v>
      </c>
      <c r="D83" s="3">
        <v>2030</v>
      </c>
      <c r="F83" s="198">
        <f>'CCR Depr and ADFIT'!$C$2</f>
        <v>21087934.780000001</v>
      </c>
      <c r="H83" s="14">
        <f>'CCR Depr and ADFIT'!N81</f>
        <v>-10607570</v>
      </c>
      <c r="J83" s="14">
        <f>'CCR Depr and ADFIT'!U81</f>
        <v>505167</v>
      </c>
      <c r="L83" s="198">
        <f t="shared" si="12"/>
        <v>10985531.780000001</v>
      </c>
      <c r="N83" s="20">
        <f>WACC!$S$16</f>
        <v>8.1600000000000006E-2</v>
      </c>
      <c r="P83" s="16">
        <f t="shared" si="9"/>
        <v>74701.616104000015</v>
      </c>
      <c r="R83" s="17">
        <v>0</v>
      </c>
      <c r="T83" s="17">
        <f>(ROUND(F83*'CCR Depr and ADFIT'!$N$6/12,0))</f>
        <v>85933</v>
      </c>
      <c r="V83" s="17">
        <f>F83*'Alloc. Factors and Property Tax'!$E$24*'Alloc. Factors and Property Tax'!$E$25*'Alloc. Factors and Property Tax'!$E$26/12</f>
        <v>1045.7506857402</v>
      </c>
      <c r="X83" s="17">
        <f t="shared" si="13"/>
        <v>161680.36678974022</v>
      </c>
      <c r="Z83" s="21">
        <f>'Alloc. Factors and Property Tax'!$C$18</f>
        <v>0.9604166666666667</v>
      </c>
      <c r="AB83" s="19">
        <f t="shared" si="11"/>
        <v>155280.51893764635</v>
      </c>
    </row>
    <row r="84" spans="2:28" x14ac:dyDescent="0.2">
      <c r="B84" s="23" t="s">
        <v>9</v>
      </c>
      <c r="D84" s="3">
        <v>2030</v>
      </c>
      <c r="F84" s="198">
        <f>'CCR Depr and ADFIT'!$C$2</f>
        <v>21087934.780000001</v>
      </c>
      <c r="H84" s="14">
        <f>'CCR Depr and ADFIT'!N82</f>
        <v>-10693503</v>
      </c>
      <c r="J84" s="14">
        <f>'CCR Depr and ADFIT'!U82</f>
        <v>505175</v>
      </c>
      <c r="L84" s="198">
        <f t="shared" si="12"/>
        <v>10899606.780000001</v>
      </c>
      <c r="N84" s="20">
        <f>WACC!$S$16</f>
        <v>8.1600000000000006E-2</v>
      </c>
      <c r="P84" s="16">
        <f t="shared" si="9"/>
        <v>74117.326104000022</v>
      </c>
      <c r="R84" s="17">
        <v>0</v>
      </c>
      <c r="T84" s="17">
        <f>(ROUND(F84*'CCR Depr and ADFIT'!$N$6/12,0))</f>
        <v>85933</v>
      </c>
      <c r="V84" s="17">
        <f>F84*'Alloc. Factors and Property Tax'!$E$24*'Alloc. Factors and Property Tax'!$E$25*'Alloc. Factors and Property Tax'!$E$26/12</f>
        <v>1045.7506857402</v>
      </c>
      <c r="X84" s="17">
        <f t="shared" si="13"/>
        <v>161096.07678974024</v>
      </c>
      <c r="Z84" s="21">
        <f>'Alloc. Factors and Property Tax'!$C$18</f>
        <v>0.9604166666666667</v>
      </c>
      <c r="AB84" s="19">
        <f t="shared" si="11"/>
        <v>154719.3570834797</v>
      </c>
    </row>
    <row r="85" spans="2:28" x14ac:dyDescent="0.2">
      <c r="B85" s="23" t="s">
        <v>10</v>
      </c>
      <c r="D85" s="3">
        <v>2030</v>
      </c>
      <c r="F85" s="198">
        <f>'CCR Depr and ADFIT'!$C$2</f>
        <v>21087934.780000001</v>
      </c>
      <c r="H85" s="14">
        <f>'CCR Depr and ADFIT'!N83</f>
        <v>-10779436</v>
      </c>
      <c r="J85" s="14">
        <f>'CCR Depr and ADFIT'!U83</f>
        <v>505182</v>
      </c>
      <c r="L85" s="198">
        <f t="shared" si="12"/>
        <v>10813680.780000001</v>
      </c>
      <c r="N85" s="20">
        <f>WACC!$S$16</f>
        <v>8.1600000000000006E-2</v>
      </c>
      <c r="P85" s="16">
        <f t="shared" si="9"/>
        <v>73533.029304000011</v>
      </c>
      <c r="R85" s="17">
        <v>0</v>
      </c>
      <c r="T85" s="17">
        <f>(ROUND(F85*'CCR Depr and ADFIT'!$N$6/12,0))</f>
        <v>85933</v>
      </c>
      <c r="V85" s="17">
        <f>F85*'Alloc. Factors and Property Tax'!$E$24*'Alloc. Factors and Property Tax'!$E$25*'Alloc. Factors and Property Tax'!$E$26/12</f>
        <v>1045.7506857402</v>
      </c>
      <c r="X85" s="17">
        <f t="shared" si="13"/>
        <v>160511.77998974023</v>
      </c>
      <c r="Z85" s="21">
        <f>'Alloc. Factors and Property Tax'!$C$18</f>
        <v>0.9604166666666667</v>
      </c>
      <c r="AB85" s="19">
        <f t="shared" si="11"/>
        <v>154158.18869847967</v>
      </c>
    </row>
    <row r="86" spans="2:28" x14ac:dyDescent="0.2">
      <c r="B86" s="23" t="s">
        <v>11</v>
      </c>
      <c r="D86" s="3">
        <v>2031</v>
      </c>
      <c r="F86" s="198">
        <f>'CCR Depr and ADFIT'!$C$2</f>
        <v>21087934.780000001</v>
      </c>
      <c r="H86" s="14">
        <f>'CCR Depr and ADFIT'!N84</f>
        <v>-10865369</v>
      </c>
      <c r="J86" s="14">
        <f>'CCR Depr and ADFIT'!U84</f>
        <v>506540</v>
      </c>
      <c r="L86" s="198">
        <f t="shared" si="12"/>
        <v>10729105.780000001</v>
      </c>
      <c r="N86" s="20">
        <f>WACC!$S$16</f>
        <v>8.1600000000000006E-2</v>
      </c>
      <c r="P86" s="16">
        <f t="shared" si="9"/>
        <v>72957.91930400001</v>
      </c>
      <c r="R86" s="17">
        <v>0</v>
      </c>
      <c r="T86" s="17">
        <f>(ROUND(F86*'CCR Depr and ADFIT'!$N$6/12,0))</f>
        <v>85933</v>
      </c>
      <c r="V86" s="17">
        <f>F86*'Alloc. Factors and Property Tax'!$E$24*'Alloc. Factors and Property Tax'!$E$25*'Alloc. Factors and Property Tax'!$E$26/12</f>
        <v>1045.7506857402</v>
      </c>
      <c r="X86" s="17">
        <f t="shared" si="13"/>
        <v>159936.66998974021</v>
      </c>
      <c r="Z86" s="21">
        <f>'Alloc. Factors and Property Tax'!$C$18</f>
        <v>0.9604166666666667</v>
      </c>
      <c r="AB86" s="19">
        <f t="shared" si="11"/>
        <v>153605.843469313</v>
      </c>
    </row>
    <row r="87" spans="2:28" x14ac:dyDescent="0.2">
      <c r="B87" s="23" t="s">
        <v>12</v>
      </c>
      <c r="D87" s="3">
        <v>2031</v>
      </c>
      <c r="F87" s="198">
        <f>'CCR Depr and ADFIT'!$C$2</f>
        <v>21087934.780000001</v>
      </c>
      <c r="H87" s="14">
        <f>'CCR Depr and ADFIT'!N85</f>
        <v>-10951302</v>
      </c>
      <c r="J87" s="14">
        <f>'CCR Depr and ADFIT'!U85</f>
        <v>507898</v>
      </c>
      <c r="L87" s="198">
        <f t="shared" si="12"/>
        <v>10644530.780000001</v>
      </c>
      <c r="N87" s="20">
        <f>WACC!$S$16</f>
        <v>8.1600000000000006E-2</v>
      </c>
      <c r="P87" s="16">
        <f t="shared" si="9"/>
        <v>72382.809304000009</v>
      </c>
      <c r="R87" s="17">
        <v>0</v>
      </c>
      <c r="T87" s="17">
        <f>(ROUND(F87*'CCR Depr and ADFIT'!$N$6/12,0))</f>
        <v>85933</v>
      </c>
      <c r="V87" s="17">
        <f>F87*'Alloc. Factors and Property Tax'!$E$24*'Alloc. Factors and Property Tax'!$E$25*'Alloc. Factors and Property Tax'!$E$26/12</f>
        <v>1045.7506857402</v>
      </c>
      <c r="X87" s="17">
        <f t="shared" si="13"/>
        <v>159361.5599897402</v>
      </c>
      <c r="Z87" s="21">
        <f>'Alloc. Factors and Property Tax'!$C$18</f>
        <v>0.9604166666666667</v>
      </c>
      <c r="AB87" s="19">
        <f t="shared" si="11"/>
        <v>153053.49824014632</v>
      </c>
    </row>
    <row r="88" spans="2:28" x14ac:dyDescent="0.2">
      <c r="B88" s="23" t="s">
        <v>13</v>
      </c>
      <c r="D88" s="3">
        <v>2031</v>
      </c>
      <c r="F88" s="198">
        <f>'CCR Depr and ADFIT'!$C$2</f>
        <v>21087934.780000001</v>
      </c>
      <c r="H88" s="14">
        <f>'CCR Depr and ADFIT'!N86</f>
        <v>-11037235</v>
      </c>
      <c r="J88" s="14">
        <f>'CCR Depr and ADFIT'!U86</f>
        <v>509256</v>
      </c>
      <c r="L88" s="198">
        <f t="shared" si="12"/>
        <v>10559955.780000001</v>
      </c>
      <c r="N88" s="20">
        <f>WACC!$S$16</f>
        <v>8.1600000000000006E-2</v>
      </c>
      <c r="P88" s="16">
        <f t="shared" si="9"/>
        <v>71807.699304000009</v>
      </c>
      <c r="R88" s="17">
        <v>0</v>
      </c>
      <c r="T88" s="17">
        <f>(ROUND(F88*'CCR Depr and ADFIT'!$N$6/12,0))</f>
        <v>85933</v>
      </c>
      <c r="V88" s="17">
        <f>F88*'Alloc. Factors and Property Tax'!$E$24*'Alloc. Factors and Property Tax'!$E$25*'Alloc. Factors and Property Tax'!$E$26/12</f>
        <v>1045.7506857402</v>
      </c>
      <c r="X88" s="17">
        <f t="shared" si="13"/>
        <v>158786.44998974021</v>
      </c>
      <c r="Z88" s="21">
        <f>'Alloc. Factors and Property Tax'!$C$18</f>
        <v>0.9604166666666667</v>
      </c>
      <c r="AB88" s="19">
        <f t="shared" si="11"/>
        <v>152501.15301097967</v>
      </c>
    </row>
    <row r="89" spans="2:28" x14ac:dyDescent="0.2">
      <c r="B89" s="23" t="s">
        <v>14</v>
      </c>
      <c r="D89" s="3">
        <v>2031</v>
      </c>
      <c r="F89" s="198">
        <f>'CCR Depr and ADFIT'!$C$2</f>
        <v>21087934.780000001</v>
      </c>
      <c r="H89" s="14">
        <f>'CCR Depr and ADFIT'!N87</f>
        <v>-11123168</v>
      </c>
      <c r="J89" s="14">
        <f>'CCR Depr and ADFIT'!U87</f>
        <v>510614</v>
      </c>
      <c r="L89" s="198">
        <f t="shared" si="12"/>
        <v>10475380.780000001</v>
      </c>
      <c r="N89" s="20">
        <f>WACC!$S$16</f>
        <v>8.1600000000000006E-2</v>
      </c>
      <c r="P89" s="16">
        <f t="shared" si="9"/>
        <v>71232.589304000008</v>
      </c>
      <c r="R89" s="17">
        <v>0</v>
      </c>
      <c r="T89" s="17">
        <f>(ROUND(F89*'CCR Depr and ADFIT'!$N$6/12,0))</f>
        <v>85933</v>
      </c>
      <c r="V89" s="17">
        <f>F89*'Alloc. Factors and Property Tax'!$E$24*'Alloc. Factors and Property Tax'!$E$25*'Alloc. Factors and Property Tax'!$E$26/12</f>
        <v>1045.7506857402</v>
      </c>
      <c r="X89" s="17">
        <f t="shared" si="13"/>
        <v>158211.33998974023</v>
      </c>
      <c r="Z89" s="21">
        <f>'Alloc. Factors and Property Tax'!$C$18</f>
        <v>0.9604166666666667</v>
      </c>
      <c r="AB89" s="19">
        <f t="shared" si="11"/>
        <v>151948.80778181303</v>
      </c>
    </row>
    <row r="90" spans="2:28" x14ac:dyDescent="0.2">
      <c r="B90" s="23" t="s">
        <v>15</v>
      </c>
      <c r="D90" s="3">
        <v>2031</v>
      </c>
      <c r="F90" s="198">
        <f>'CCR Depr and ADFIT'!$C$2</f>
        <v>21087934.780000001</v>
      </c>
      <c r="H90" s="14">
        <f>'CCR Depr and ADFIT'!N88</f>
        <v>-11209101</v>
      </c>
      <c r="J90" s="14">
        <f>'CCR Depr and ADFIT'!U88</f>
        <v>511972</v>
      </c>
      <c r="L90" s="198">
        <f t="shared" ref="L90:L121" si="14">SUM(F90:K90)</f>
        <v>10390805.780000001</v>
      </c>
      <c r="N90" s="20">
        <f>WACC!$S$16</f>
        <v>8.1600000000000006E-2</v>
      </c>
      <c r="P90" s="16">
        <f t="shared" ref="P90:P153" si="15">L90*N90/12</f>
        <v>70657.479304000022</v>
      </c>
      <c r="R90" s="17">
        <v>0</v>
      </c>
      <c r="T90" s="17">
        <f>(ROUND(F90*'CCR Depr and ADFIT'!$N$6/12,0))</f>
        <v>85933</v>
      </c>
      <c r="V90" s="17">
        <f>F90*'Alloc. Factors and Property Tax'!$E$24*'Alloc. Factors and Property Tax'!$E$25*'Alloc. Factors and Property Tax'!$E$26/12</f>
        <v>1045.7506857402</v>
      </c>
      <c r="X90" s="17">
        <f t="shared" ref="X90:X121" si="16">SUM(P90:W90)</f>
        <v>157636.22998974024</v>
      </c>
      <c r="Z90" s="21">
        <f>'Alloc. Factors and Property Tax'!$C$18</f>
        <v>0.9604166666666667</v>
      </c>
      <c r="AB90" s="19">
        <f t="shared" ref="AB90:AB153" si="17">X90*Z90</f>
        <v>151396.46255264635</v>
      </c>
    </row>
    <row r="91" spans="2:28" x14ac:dyDescent="0.2">
      <c r="B91" s="23" t="s">
        <v>16</v>
      </c>
      <c r="D91" s="3">
        <v>2031</v>
      </c>
      <c r="F91" s="198">
        <f>'CCR Depr and ADFIT'!$C$2</f>
        <v>21087934.780000001</v>
      </c>
      <c r="H91" s="14">
        <f>'CCR Depr and ADFIT'!N89</f>
        <v>-11295034</v>
      </c>
      <c r="J91" s="14">
        <f>'CCR Depr and ADFIT'!U89</f>
        <v>513330</v>
      </c>
      <c r="L91" s="198">
        <f t="shared" si="14"/>
        <v>10306230.780000001</v>
      </c>
      <c r="N91" s="20">
        <f>WACC!$S$16</f>
        <v>8.1600000000000006E-2</v>
      </c>
      <c r="P91" s="16">
        <f t="shared" si="15"/>
        <v>70082.369304000007</v>
      </c>
      <c r="R91" s="17">
        <v>0</v>
      </c>
      <c r="T91" s="17">
        <f>(ROUND(F91*'CCR Depr and ADFIT'!$N$6/12,0))</f>
        <v>85933</v>
      </c>
      <c r="V91" s="17">
        <f>F91*'Alloc. Factors and Property Tax'!$E$24*'Alloc. Factors and Property Tax'!$E$25*'Alloc. Factors and Property Tax'!$E$26/12</f>
        <v>1045.7506857402</v>
      </c>
      <c r="X91" s="17">
        <f t="shared" si="16"/>
        <v>157061.1199897402</v>
      </c>
      <c r="Z91" s="21">
        <f>'Alloc. Factors and Property Tax'!$C$18</f>
        <v>0.9604166666666667</v>
      </c>
      <c r="AB91" s="19">
        <f t="shared" si="17"/>
        <v>150844.11732347964</v>
      </c>
    </row>
    <row r="92" spans="2:28" x14ac:dyDescent="0.2">
      <c r="B92" s="23" t="s">
        <v>17</v>
      </c>
      <c r="D92" s="3">
        <v>2031</v>
      </c>
      <c r="F92" s="198">
        <f>'CCR Depr and ADFIT'!$C$2</f>
        <v>21087934.780000001</v>
      </c>
      <c r="H92" s="14">
        <f>'CCR Depr and ADFIT'!N90</f>
        <v>-11380967</v>
      </c>
      <c r="J92" s="14">
        <f>'CCR Depr and ADFIT'!U90</f>
        <v>514688</v>
      </c>
      <c r="L92" s="198">
        <f t="shared" si="14"/>
        <v>10221655.780000001</v>
      </c>
      <c r="N92" s="20">
        <f>WACC!$S$16</f>
        <v>8.1600000000000006E-2</v>
      </c>
      <c r="P92" s="16">
        <f t="shared" si="15"/>
        <v>69507.259304000021</v>
      </c>
      <c r="R92" s="17">
        <v>0</v>
      </c>
      <c r="T92" s="17">
        <f>(ROUND(F92*'CCR Depr and ADFIT'!$N$6/12,0))</f>
        <v>85933</v>
      </c>
      <c r="V92" s="17">
        <f>F92*'Alloc. Factors and Property Tax'!$E$24*'Alloc. Factors and Property Tax'!$E$25*'Alloc. Factors and Property Tax'!$E$26/12</f>
        <v>1045.7506857402</v>
      </c>
      <c r="X92" s="17">
        <f t="shared" si="16"/>
        <v>156486.00998974021</v>
      </c>
      <c r="Z92" s="21">
        <f>'Alloc. Factors and Property Tax'!$C$18</f>
        <v>0.9604166666666667</v>
      </c>
      <c r="AB92" s="19">
        <f t="shared" si="17"/>
        <v>150291.772094313</v>
      </c>
    </row>
    <row r="93" spans="2:28" x14ac:dyDescent="0.2">
      <c r="B93" s="23" t="s">
        <v>18</v>
      </c>
      <c r="D93" s="3">
        <v>2031</v>
      </c>
      <c r="F93" s="198">
        <f>'CCR Depr and ADFIT'!$C$2</f>
        <v>21087934.780000001</v>
      </c>
      <c r="H93" s="14">
        <f>'CCR Depr and ADFIT'!N91</f>
        <v>-11466900</v>
      </c>
      <c r="J93" s="14">
        <f>'CCR Depr and ADFIT'!U91</f>
        <v>516046</v>
      </c>
      <c r="L93" s="198">
        <f t="shared" si="14"/>
        <v>10137080.780000001</v>
      </c>
      <c r="N93" s="20">
        <f>WACC!$S$16</f>
        <v>8.1600000000000006E-2</v>
      </c>
      <c r="P93" s="16">
        <f t="shared" si="15"/>
        <v>68932.149304000006</v>
      </c>
      <c r="R93" s="17">
        <v>0</v>
      </c>
      <c r="T93" s="17">
        <f>(ROUND(F93*'CCR Depr and ADFIT'!$N$6/12,0))</f>
        <v>85933</v>
      </c>
      <c r="V93" s="17">
        <f>F93*'Alloc. Factors and Property Tax'!$E$24*'Alloc. Factors and Property Tax'!$E$25*'Alloc. Factors and Property Tax'!$E$26/12</f>
        <v>1045.7506857402</v>
      </c>
      <c r="X93" s="17">
        <f t="shared" si="16"/>
        <v>155910.89998974022</v>
      </c>
      <c r="Z93" s="21">
        <f>'Alloc. Factors and Property Tax'!$C$18</f>
        <v>0.9604166666666667</v>
      </c>
      <c r="AB93" s="19">
        <f t="shared" si="17"/>
        <v>149739.42686514635</v>
      </c>
    </row>
    <row r="94" spans="2:28" x14ac:dyDescent="0.2">
      <c r="B94" s="23" t="s">
        <v>19</v>
      </c>
      <c r="D94" s="3">
        <v>2031</v>
      </c>
      <c r="F94" s="198">
        <f>'CCR Depr and ADFIT'!$C$2</f>
        <v>21087934.780000001</v>
      </c>
      <c r="H94" s="14">
        <f>'CCR Depr and ADFIT'!N92</f>
        <v>-11552833</v>
      </c>
      <c r="J94" s="14">
        <f>'CCR Depr and ADFIT'!U92</f>
        <v>517404</v>
      </c>
      <c r="L94" s="198">
        <f t="shared" si="14"/>
        <v>10052505.780000001</v>
      </c>
      <c r="N94" s="20">
        <f>WACC!$S$16</f>
        <v>8.1600000000000006E-2</v>
      </c>
      <c r="P94" s="16">
        <f t="shared" si="15"/>
        <v>68357.03930400002</v>
      </c>
      <c r="R94" s="17">
        <v>0</v>
      </c>
      <c r="T94" s="17">
        <f>(ROUND(F94*'CCR Depr and ADFIT'!$N$6/12,0))</f>
        <v>85933</v>
      </c>
      <c r="V94" s="17">
        <f>F94*'Alloc. Factors and Property Tax'!$E$24*'Alloc. Factors and Property Tax'!$E$25*'Alloc. Factors and Property Tax'!$E$26/12</f>
        <v>1045.7506857402</v>
      </c>
      <c r="X94" s="17">
        <f t="shared" si="16"/>
        <v>155335.78998974024</v>
      </c>
      <c r="Z94" s="21">
        <f>'Alloc. Factors and Property Tax'!$C$18</f>
        <v>0.9604166666666667</v>
      </c>
      <c r="AB94" s="19">
        <f t="shared" si="17"/>
        <v>149187.0816359797</v>
      </c>
    </row>
    <row r="95" spans="2:28" x14ac:dyDescent="0.2">
      <c r="B95" s="23" t="s">
        <v>8</v>
      </c>
      <c r="D95" s="3">
        <v>2031</v>
      </c>
      <c r="F95" s="198">
        <f>'CCR Depr and ADFIT'!$C$2</f>
        <v>21087934.780000001</v>
      </c>
      <c r="H95" s="14">
        <f>'CCR Depr and ADFIT'!N93</f>
        <v>-11638766</v>
      </c>
      <c r="J95" s="14">
        <f>'CCR Depr and ADFIT'!U93</f>
        <v>518762</v>
      </c>
      <c r="L95" s="198">
        <f t="shared" si="14"/>
        <v>9967930.7800000012</v>
      </c>
      <c r="N95" s="20">
        <f>WACC!$S$16</f>
        <v>8.1600000000000006E-2</v>
      </c>
      <c r="P95" s="16">
        <f t="shared" si="15"/>
        <v>67781.929304000005</v>
      </c>
      <c r="R95" s="17">
        <v>0</v>
      </c>
      <c r="T95" s="17">
        <f>(ROUND(F95*'CCR Depr and ADFIT'!$N$6/12,0))</f>
        <v>85933</v>
      </c>
      <c r="V95" s="17">
        <f>F95*'Alloc. Factors and Property Tax'!$E$24*'Alloc. Factors and Property Tax'!$E$25*'Alloc. Factors and Property Tax'!$E$26/12</f>
        <v>1045.7506857402</v>
      </c>
      <c r="X95" s="17">
        <f t="shared" si="16"/>
        <v>154760.67998974019</v>
      </c>
      <c r="Z95" s="21">
        <f>'Alloc. Factors and Property Tax'!$C$18</f>
        <v>0.9604166666666667</v>
      </c>
      <c r="AB95" s="19">
        <f t="shared" si="17"/>
        <v>148634.736406813</v>
      </c>
    </row>
    <row r="96" spans="2:28" x14ac:dyDescent="0.2">
      <c r="B96" s="23" t="s">
        <v>9</v>
      </c>
      <c r="D96" s="3">
        <v>2031</v>
      </c>
      <c r="F96" s="198">
        <f>'CCR Depr and ADFIT'!$C$2</f>
        <v>21087934.780000001</v>
      </c>
      <c r="H96" s="14">
        <f>'CCR Depr and ADFIT'!N94</f>
        <v>-11724699</v>
      </c>
      <c r="J96" s="14">
        <f>'CCR Depr and ADFIT'!U94</f>
        <v>520120</v>
      </c>
      <c r="L96" s="198">
        <f t="shared" si="14"/>
        <v>9883355.7800000012</v>
      </c>
      <c r="N96" s="20">
        <f>WACC!$S$16</f>
        <v>8.1600000000000006E-2</v>
      </c>
      <c r="P96" s="16">
        <f t="shared" si="15"/>
        <v>67206.819304000019</v>
      </c>
      <c r="R96" s="17">
        <v>0</v>
      </c>
      <c r="T96" s="17">
        <f>(ROUND(F96*'CCR Depr and ADFIT'!$N$6/12,0))</f>
        <v>85933</v>
      </c>
      <c r="V96" s="17">
        <f>F96*'Alloc. Factors and Property Tax'!$E$24*'Alloc. Factors and Property Tax'!$E$25*'Alloc. Factors and Property Tax'!$E$26/12</f>
        <v>1045.7506857402</v>
      </c>
      <c r="X96" s="17">
        <f t="shared" si="16"/>
        <v>154185.56998974021</v>
      </c>
      <c r="Z96" s="21">
        <f>'Alloc. Factors and Property Tax'!$C$18</f>
        <v>0.9604166666666667</v>
      </c>
      <c r="AB96" s="19">
        <f t="shared" si="17"/>
        <v>148082.39117764632</v>
      </c>
    </row>
    <row r="97" spans="2:30" x14ac:dyDescent="0.2">
      <c r="B97" s="23" t="s">
        <v>10</v>
      </c>
      <c r="D97" s="3">
        <v>2031</v>
      </c>
      <c r="F97" s="198">
        <f>'CCR Depr and ADFIT'!$C$2</f>
        <v>21087934.780000001</v>
      </c>
      <c r="H97" s="14">
        <f>'CCR Depr and ADFIT'!N95</f>
        <v>-11810632</v>
      </c>
      <c r="J97" s="14">
        <f>'CCR Depr and ADFIT'!U95</f>
        <v>521478</v>
      </c>
      <c r="L97" s="198">
        <f t="shared" si="14"/>
        <v>9798780.7800000012</v>
      </c>
      <c r="N97" s="20">
        <f>WACC!$S$16</f>
        <v>8.1600000000000006E-2</v>
      </c>
      <c r="P97" s="16">
        <f t="shared" si="15"/>
        <v>66631.709304000004</v>
      </c>
      <c r="R97" s="17">
        <v>0</v>
      </c>
      <c r="T97" s="17">
        <f>(ROUND(F97*'CCR Depr and ADFIT'!$N$6/12,0))</f>
        <v>85933</v>
      </c>
      <c r="V97" s="17">
        <f>F97*'Alloc. Factors and Property Tax'!$E$24*'Alloc. Factors and Property Tax'!$E$25*'Alloc. Factors and Property Tax'!$E$26/12</f>
        <v>1045.7506857402</v>
      </c>
      <c r="X97" s="17">
        <f t="shared" si="16"/>
        <v>153610.45998974022</v>
      </c>
      <c r="Z97" s="21">
        <f>'Alloc. Factors and Property Tax'!$C$18</f>
        <v>0.9604166666666667</v>
      </c>
      <c r="AB97" s="19">
        <f t="shared" si="17"/>
        <v>147530.04594847967</v>
      </c>
    </row>
    <row r="98" spans="2:30" x14ac:dyDescent="0.2">
      <c r="B98" s="23" t="s">
        <v>11</v>
      </c>
      <c r="D98" s="3">
        <v>2032</v>
      </c>
      <c r="F98" s="198">
        <f>'CCR Depr and ADFIT'!$C$2</f>
        <v>21087934.780000001</v>
      </c>
      <c r="H98" s="14">
        <f>'CCR Depr and ADFIT'!N96</f>
        <v>-11896565</v>
      </c>
      <c r="J98" s="14">
        <f>'CCR Depr and ADFIT'!U96</f>
        <v>523057</v>
      </c>
      <c r="L98" s="198">
        <f t="shared" si="14"/>
        <v>9714426.7800000012</v>
      </c>
      <c r="N98" s="20">
        <f>WACC!$S$16</f>
        <v>8.1600000000000006E-2</v>
      </c>
      <c r="P98" s="16">
        <f t="shared" si="15"/>
        <v>66058.102104000005</v>
      </c>
      <c r="R98" s="17">
        <v>0</v>
      </c>
      <c r="T98" s="17">
        <f>(ROUND(F98*'CCR Depr and ADFIT'!$N$6/12,0))</f>
        <v>85933</v>
      </c>
      <c r="V98" s="17">
        <f>F98*'Alloc. Factors and Property Tax'!$E$24*'Alloc. Factors and Property Tax'!$E$25*'Alloc. Factors and Property Tax'!$E$26/12</f>
        <v>1045.7506857402</v>
      </c>
      <c r="X98" s="17">
        <f t="shared" si="16"/>
        <v>153036.85278974019</v>
      </c>
      <c r="Z98" s="21">
        <f>'Alloc. Factors and Property Tax'!$C$18</f>
        <v>0.9604166666666667</v>
      </c>
      <c r="AB98" s="19">
        <f t="shared" si="17"/>
        <v>146979.14403347965</v>
      </c>
    </row>
    <row r="99" spans="2:30" x14ac:dyDescent="0.2">
      <c r="B99" s="23" t="s">
        <v>12</v>
      </c>
      <c r="D99" s="3">
        <v>2032</v>
      </c>
      <c r="F99" s="198">
        <f>'CCR Depr and ADFIT'!$C$2</f>
        <v>21087934.780000001</v>
      </c>
      <c r="H99" s="14">
        <f>'CCR Depr and ADFIT'!N97</f>
        <v>-11982498</v>
      </c>
      <c r="J99" s="14">
        <f>'CCR Depr and ADFIT'!U97</f>
        <v>524637</v>
      </c>
      <c r="L99" s="198">
        <f t="shared" si="14"/>
        <v>9630073.7800000012</v>
      </c>
      <c r="N99" s="20">
        <f>WACC!$S$16</f>
        <v>8.1600000000000006E-2</v>
      </c>
      <c r="P99" s="16">
        <f t="shared" si="15"/>
        <v>65484.501704000017</v>
      </c>
      <c r="R99" s="17">
        <v>0</v>
      </c>
      <c r="T99" s="17">
        <f>(ROUND(F99*'CCR Depr and ADFIT'!$N$6/12,0))</f>
        <v>85933</v>
      </c>
      <c r="V99" s="17">
        <f>F99*'Alloc. Factors and Property Tax'!$E$24*'Alloc. Factors and Property Tax'!$E$25*'Alloc. Factors and Property Tax'!$E$26/12</f>
        <v>1045.7506857402</v>
      </c>
      <c r="X99" s="17">
        <f t="shared" si="16"/>
        <v>152463.25238974023</v>
      </c>
      <c r="Z99" s="21">
        <f>'Alloc. Factors and Property Tax'!$C$18</f>
        <v>0.9604166666666667</v>
      </c>
      <c r="AB99" s="19">
        <f t="shared" si="17"/>
        <v>146428.24864931303</v>
      </c>
    </row>
    <row r="100" spans="2:30" x14ac:dyDescent="0.2">
      <c r="B100" s="23" t="s">
        <v>13</v>
      </c>
      <c r="D100" s="3">
        <v>2032</v>
      </c>
      <c r="F100" s="198">
        <f>'CCR Depr and ADFIT'!$C$2</f>
        <v>21087934.780000001</v>
      </c>
      <c r="H100" s="14">
        <f>'CCR Depr and ADFIT'!N98</f>
        <v>-12068431</v>
      </c>
      <c r="J100" s="14">
        <f>'CCR Depr and ADFIT'!U98</f>
        <v>526216</v>
      </c>
      <c r="L100" s="198">
        <f t="shared" si="14"/>
        <v>9545719.7800000012</v>
      </c>
      <c r="N100" s="20">
        <f>WACC!$S$16</f>
        <v>8.1600000000000006E-2</v>
      </c>
      <c r="P100" s="16">
        <f t="shared" si="15"/>
        <v>64910.894504000018</v>
      </c>
      <c r="R100" s="17">
        <v>0</v>
      </c>
      <c r="T100" s="17">
        <f>(ROUND(F100*'CCR Depr and ADFIT'!$N$6/12,0))</f>
        <v>85933</v>
      </c>
      <c r="V100" s="17">
        <f>F100*'Alloc. Factors and Property Tax'!$E$24*'Alloc. Factors and Property Tax'!$E$25*'Alloc. Factors and Property Tax'!$E$26/12</f>
        <v>1045.7506857402</v>
      </c>
      <c r="X100" s="17">
        <f t="shared" si="16"/>
        <v>151889.64518974023</v>
      </c>
      <c r="Z100" s="21">
        <f>'Alloc. Factors and Property Tax'!$C$18</f>
        <v>0.9604166666666667</v>
      </c>
      <c r="AB100" s="19">
        <f t="shared" si="17"/>
        <v>145877.346734313</v>
      </c>
    </row>
    <row r="101" spans="2:30" x14ac:dyDescent="0.2">
      <c r="B101" s="23" t="s">
        <v>14</v>
      </c>
      <c r="D101" s="3">
        <v>2032</v>
      </c>
      <c r="F101" s="198">
        <f>'CCR Depr and ADFIT'!$C$2</f>
        <v>21087934.780000001</v>
      </c>
      <c r="H101" s="14">
        <f>'CCR Depr and ADFIT'!N99</f>
        <v>-12154364</v>
      </c>
      <c r="J101" s="14">
        <f>'CCR Depr and ADFIT'!U99</f>
        <v>527795</v>
      </c>
      <c r="L101" s="198">
        <f t="shared" si="14"/>
        <v>9461365.7800000012</v>
      </c>
      <c r="N101" s="20">
        <f>WACC!$S$16</f>
        <v>8.1600000000000006E-2</v>
      </c>
      <c r="P101" s="16">
        <f t="shared" si="15"/>
        <v>64337.28730400002</v>
      </c>
      <c r="R101" s="17">
        <v>0</v>
      </c>
      <c r="T101" s="17">
        <f>(ROUND(F101*'CCR Depr and ADFIT'!$N$6/12,0))</f>
        <v>85933</v>
      </c>
      <c r="V101" s="17">
        <f>F101*'Alloc. Factors and Property Tax'!$E$24*'Alloc. Factors and Property Tax'!$E$25*'Alloc. Factors and Property Tax'!$E$26/12</f>
        <v>1045.7506857402</v>
      </c>
      <c r="X101" s="17">
        <f t="shared" si="16"/>
        <v>151316.03798974023</v>
      </c>
      <c r="Z101" s="21">
        <f>'Alloc. Factors and Property Tax'!$C$18</f>
        <v>0.9604166666666667</v>
      </c>
      <c r="AB101" s="19">
        <f t="shared" si="17"/>
        <v>145326.44481931301</v>
      </c>
    </row>
    <row r="102" spans="2:30" x14ac:dyDescent="0.2">
      <c r="B102" s="23" t="s">
        <v>15</v>
      </c>
      <c r="D102" s="3">
        <v>2032</v>
      </c>
      <c r="F102" s="198">
        <f>'CCR Depr and ADFIT'!$C$2</f>
        <v>21087934.780000001</v>
      </c>
      <c r="H102" s="14">
        <f>'CCR Depr and ADFIT'!N100</f>
        <v>-12240297</v>
      </c>
      <c r="J102" s="14">
        <f>'CCR Depr and ADFIT'!U100</f>
        <v>529375</v>
      </c>
      <c r="L102" s="198">
        <f t="shared" si="14"/>
        <v>9377012.7800000012</v>
      </c>
      <c r="N102" s="20">
        <f>WACC!$S$16</f>
        <v>8.1600000000000006E-2</v>
      </c>
      <c r="P102" s="16">
        <f t="shared" si="15"/>
        <v>63763.686904000009</v>
      </c>
      <c r="R102" s="17">
        <v>0</v>
      </c>
      <c r="T102" s="17">
        <f>(ROUND(F102*'CCR Depr and ADFIT'!$N$6/12,0))</f>
        <v>85933</v>
      </c>
      <c r="V102" s="17">
        <f>F102*'Alloc. Factors and Property Tax'!$E$24*'Alloc. Factors and Property Tax'!$E$25*'Alloc. Factors and Property Tax'!$E$26/12</f>
        <v>1045.7506857402</v>
      </c>
      <c r="X102" s="17">
        <f t="shared" si="16"/>
        <v>150742.43758974021</v>
      </c>
      <c r="Z102" s="21">
        <f>'Alloc. Factors and Property Tax'!$C$18</f>
        <v>0.9604166666666667</v>
      </c>
      <c r="AB102" s="19">
        <f t="shared" si="17"/>
        <v>144775.54943514633</v>
      </c>
    </row>
    <row r="103" spans="2:30" x14ac:dyDescent="0.2">
      <c r="B103" s="23" t="s">
        <v>16</v>
      </c>
      <c r="D103" s="3">
        <v>2032</v>
      </c>
      <c r="F103" s="198">
        <f>'CCR Depr and ADFIT'!$C$2</f>
        <v>21087934.780000001</v>
      </c>
      <c r="H103" s="14">
        <f>'CCR Depr and ADFIT'!N101</f>
        <v>-12326230</v>
      </c>
      <c r="J103" s="14">
        <f>'CCR Depr and ADFIT'!U101</f>
        <v>530954</v>
      </c>
      <c r="L103" s="198">
        <f t="shared" si="14"/>
        <v>9292658.7800000012</v>
      </c>
      <c r="N103" s="20">
        <f>WACC!$S$16</f>
        <v>8.1600000000000006E-2</v>
      </c>
      <c r="P103" s="16">
        <f t="shared" si="15"/>
        <v>63190.079704000011</v>
      </c>
      <c r="R103" s="17">
        <v>0</v>
      </c>
      <c r="T103" s="17">
        <f>(ROUND(F103*'CCR Depr and ADFIT'!$N$6/12,0))</f>
        <v>85933</v>
      </c>
      <c r="V103" s="17">
        <f>F103*'Alloc. Factors and Property Tax'!$E$24*'Alloc. Factors and Property Tax'!$E$25*'Alloc. Factors and Property Tax'!$E$26/12</f>
        <v>1045.7506857402</v>
      </c>
      <c r="X103" s="17">
        <f t="shared" si="16"/>
        <v>150168.83038974021</v>
      </c>
      <c r="Z103" s="21">
        <f>'Alloc. Factors and Property Tax'!$C$18</f>
        <v>0.9604166666666667</v>
      </c>
      <c r="AB103" s="19">
        <f t="shared" si="17"/>
        <v>144224.64752014633</v>
      </c>
    </row>
    <row r="104" spans="2:30" x14ac:dyDescent="0.2">
      <c r="B104" s="23" t="s">
        <v>17</v>
      </c>
      <c r="D104" s="3">
        <v>2032</v>
      </c>
      <c r="F104" s="198">
        <f>'CCR Depr and ADFIT'!$C$2</f>
        <v>21087934.780000001</v>
      </c>
      <c r="H104" s="14">
        <f>'CCR Depr and ADFIT'!N102</f>
        <v>-12412163</v>
      </c>
      <c r="J104" s="14">
        <f>'CCR Depr and ADFIT'!U102</f>
        <v>532534</v>
      </c>
      <c r="L104" s="198">
        <f t="shared" si="14"/>
        <v>9208305.7800000012</v>
      </c>
      <c r="N104" s="20">
        <f>WACC!$S$16</f>
        <v>8.1600000000000006E-2</v>
      </c>
      <c r="P104" s="16">
        <f t="shared" si="15"/>
        <v>62616.479304000015</v>
      </c>
      <c r="R104" s="17">
        <v>0</v>
      </c>
      <c r="T104" s="17">
        <f>(ROUND(F104*'CCR Depr and ADFIT'!$N$6/12,0))</f>
        <v>85933</v>
      </c>
      <c r="V104" s="17">
        <f>F104*'Alloc. Factors and Property Tax'!$E$24*'Alloc. Factors and Property Tax'!$E$25*'Alloc. Factors and Property Tax'!$E$26/12</f>
        <v>1045.7506857402</v>
      </c>
      <c r="X104" s="17">
        <f t="shared" si="16"/>
        <v>149595.22998974021</v>
      </c>
      <c r="Z104" s="21">
        <f>'Alloc. Factors and Property Tax'!$C$18</f>
        <v>0.9604166666666667</v>
      </c>
      <c r="AB104" s="19">
        <f t="shared" si="17"/>
        <v>143673.75213597965</v>
      </c>
    </row>
    <row r="105" spans="2:30" x14ac:dyDescent="0.2">
      <c r="B105" s="23" t="s">
        <v>18</v>
      </c>
      <c r="D105" s="3">
        <v>2032</v>
      </c>
      <c r="F105" s="198">
        <f>'CCR Depr and ADFIT'!$C$2</f>
        <v>21087934.780000001</v>
      </c>
      <c r="H105" s="14">
        <f>'CCR Depr and ADFIT'!N103</f>
        <v>-12498096</v>
      </c>
      <c r="J105" s="14">
        <f>'CCR Depr and ADFIT'!U103</f>
        <v>534113</v>
      </c>
      <c r="L105" s="198">
        <f t="shared" si="14"/>
        <v>9123951.7800000012</v>
      </c>
      <c r="N105" s="20">
        <f>WACC!$S$16</f>
        <v>8.1600000000000006E-2</v>
      </c>
      <c r="P105" s="16">
        <f t="shared" si="15"/>
        <v>62042.872104000009</v>
      </c>
      <c r="R105" s="17">
        <v>0</v>
      </c>
      <c r="T105" s="17">
        <f>(ROUND(F105*'CCR Depr and ADFIT'!$N$6/12,0))</f>
        <v>85933</v>
      </c>
      <c r="V105" s="17">
        <f>F105*'Alloc. Factors and Property Tax'!$E$24*'Alloc. Factors and Property Tax'!$E$25*'Alloc. Factors and Property Tax'!$E$26/12</f>
        <v>1045.7506857402</v>
      </c>
      <c r="X105" s="17">
        <f t="shared" si="16"/>
        <v>149021.62278974021</v>
      </c>
      <c r="Z105" s="21">
        <f>'Alloc. Factors and Property Tax'!$C$18</f>
        <v>0.9604166666666667</v>
      </c>
      <c r="AB105" s="19">
        <f t="shared" si="17"/>
        <v>143122.85022097966</v>
      </c>
    </row>
    <row r="106" spans="2:30" x14ac:dyDescent="0.2">
      <c r="B106" s="23" t="s">
        <v>19</v>
      </c>
      <c r="D106" s="3">
        <v>2032</v>
      </c>
      <c r="F106" s="198">
        <f>'CCR Depr and ADFIT'!$C$2</f>
        <v>21087934.780000001</v>
      </c>
      <c r="H106" s="14">
        <f>'CCR Depr and ADFIT'!N104</f>
        <v>-12584029</v>
      </c>
      <c r="J106" s="14">
        <f>'CCR Depr and ADFIT'!U104</f>
        <v>535693</v>
      </c>
      <c r="L106" s="198">
        <f t="shared" si="14"/>
        <v>9039598.7800000012</v>
      </c>
      <c r="N106" s="20">
        <f>WACC!$S$16</f>
        <v>8.1600000000000006E-2</v>
      </c>
      <c r="P106" s="16">
        <f t="shared" si="15"/>
        <v>61469.271704000013</v>
      </c>
      <c r="R106" s="17">
        <v>0</v>
      </c>
      <c r="T106" s="17">
        <f>(ROUND(F106*'CCR Depr and ADFIT'!$N$6/12,0))</f>
        <v>85933</v>
      </c>
      <c r="V106" s="17">
        <f>F106*'Alloc. Factors and Property Tax'!$E$24*'Alloc. Factors and Property Tax'!$E$25*'Alloc. Factors and Property Tax'!$E$26/12</f>
        <v>1045.7506857402</v>
      </c>
      <c r="X106" s="17">
        <f t="shared" si="16"/>
        <v>148448.02238974022</v>
      </c>
      <c r="Z106" s="21">
        <f>'Alloc. Factors and Property Tax'!$C$18</f>
        <v>0.9604166666666667</v>
      </c>
      <c r="AB106" s="19">
        <f t="shared" si="17"/>
        <v>142571.95483681301</v>
      </c>
      <c r="AD106" s="19"/>
    </row>
    <row r="107" spans="2:30" x14ac:dyDescent="0.2">
      <c r="B107" s="23" t="s">
        <v>8</v>
      </c>
      <c r="D107" s="3">
        <v>2032</v>
      </c>
      <c r="F107" s="198">
        <f>'CCR Depr and ADFIT'!$C$2</f>
        <v>21087934.780000001</v>
      </c>
      <c r="H107" s="14">
        <f>'CCR Depr and ADFIT'!N105</f>
        <v>-12669962</v>
      </c>
      <c r="J107" s="14">
        <f>'CCR Depr and ADFIT'!U105</f>
        <v>537272</v>
      </c>
      <c r="L107" s="198">
        <f t="shared" si="14"/>
        <v>8955244.7800000012</v>
      </c>
      <c r="N107" s="20">
        <f>WACC!$S$16</f>
        <v>8.1600000000000006E-2</v>
      </c>
      <c r="P107" s="16">
        <f t="shared" si="15"/>
        <v>60895.664504000015</v>
      </c>
      <c r="R107" s="17">
        <v>0</v>
      </c>
      <c r="T107" s="17">
        <f>(ROUND(F107*'CCR Depr and ADFIT'!$N$6/12,0))</f>
        <v>85933</v>
      </c>
      <c r="V107" s="17">
        <f>F107*'Alloc. Factors and Property Tax'!$E$24*'Alloc. Factors and Property Tax'!$E$25*'Alloc. Factors and Property Tax'!$E$26/12</f>
        <v>1045.7506857402</v>
      </c>
      <c r="X107" s="17">
        <f t="shared" si="16"/>
        <v>147874.41518974022</v>
      </c>
      <c r="Z107" s="21">
        <f>'Alloc. Factors and Property Tax'!$C$18</f>
        <v>0.9604166666666667</v>
      </c>
      <c r="AB107" s="19">
        <f t="shared" si="17"/>
        <v>142021.05292181301</v>
      </c>
    </row>
    <row r="108" spans="2:30" x14ac:dyDescent="0.2">
      <c r="B108" s="23" t="s">
        <v>9</v>
      </c>
      <c r="D108" s="3">
        <v>2032</v>
      </c>
      <c r="F108" s="198">
        <f>'CCR Depr and ADFIT'!$C$2</f>
        <v>21087934.780000001</v>
      </c>
      <c r="H108" s="14">
        <f>'CCR Depr and ADFIT'!N106</f>
        <v>-12755895</v>
      </c>
      <c r="J108" s="14">
        <f>'CCR Depr and ADFIT'!U106</f>
        <v>538851</v>
      </c>
      <c r="L108" s="198">
        <f t="shared" si="14"/>
        <v>8870890.7800000012</v>
      </c>
      <c r="N108" s="20">
        <f>WACC!$S$16</f>
        <v>8.1600000000000006E-2</v>
      </c>
      <c r="P108" s="16">
        <f t="shared" si="15"/>
        <v>60322.057304000016</v>
      </c>
      <c r="R108" s="17">
        <v>0</v>
      </c>
      <c r="T108" s="17">
        <f>(ROUND(F108*'CCR Depr and ADFIT'!$N$6/12,0))</f>
        <v>85933</v>
      </c>
      <c r="V108" s="17">
        <f>F108*'Alloc. Factors and Property Tax'!$E$24*'Alloc. Factors and Property Tax'!$E$25*'Alloc. Factors and Property Tax'!$E$26/12</f>
        <v>1045.7506857402</v>
      </c>
      <c r="X108" s="17">
        <f t="shared" si="16"/>
        <v>147300.80798974022</v>
      </c>
      <c r="Z108" s="21">
        <f>'Alloc. Factors and Property Tax'!$C$18</f>
        <v>0.9604166666666667</v>
      </c>
      <c r="AB108" s="19">
        <f t="shared" si="17"/>
        <v>141470.15100681302</v>
      </c>
    </row>
    <row r="109" spans="2:30" x14ac:dyDescent="0.2">
      <c r="B109" s="23" t="s">
        <v>10</v>
      </c>
      <c r="D109" s="3">
        <v>2032</v>
      </c>
      <c r="F109" s="198">
        <f>'CCR Depr and ADFIT'!$C$2</f>
        <v>21087934.780000001</v>
      </c>
      <c r="H109" s="14">
        <f>'CCR Depr and ADFIT'!N107</f>
        <v>-12841828</v>
      </c>
      <c r="J109" s="14">
        <f>'CCR Depr and ADFIT'!U107</f>
        <v>540431</v>
      </c>
      <c r="L109" s="198">
        <f t="shared" si="14"/>
        <v>8786537.7800000012</v>
      </c>
      <c r="N109" s="20">
        <f>WACC!$S$16</f>
        <v>8.1600000000000006E-2</v>
      </c>
      <c r="P109" s="16">
        <f t="shared" si="15"/>
        <v>59748.456904000013</v>
      </c>
      <c r="R109" s="17">
        <v>0</v>
      </c>
      <c r="T109" s="17">
        <f>(ROUND(F109*'CCR Depr and ADFIT'!$N$6/12,0))</f>
        <v>85933</v>
      </c>
      <c r="V109" s="17">
        <f>F109*'Alloc. Factors and Property Tax'!$E$24*'Alloc. Factors and Property Tax'!$E$25*'Alloc. Factors and Property Tax'!$E$26/12</f>
        <v>1045.7506857402</v>
      </c>
      <c r="X109" s="17">
        <f t="shared" si="16"/>
        <v>146727.20758974022</v>
      </c>
      <c r="Z109" s="21">
        <f>'Alloc. Factors and Property Tax'!$C$18</f>
        <v>0.9604166666666667</v>
      </c>
      <c r="AB109" s="19">
        <f t="shared" si="17"/>
        <v>140919.25562264633</v>
      </c>
    </row>
    <row r="110" spans="2:30" x14ac:dyDescent="0.2">
      <c r="B110" s="23" t="s">
        <v>11</v>
      </c>
      <c r="D110" s="3">
        <v>2033</v>
      </c>
      <c r="F110" s="198">
        <f>'CCR Depr and ADFIT'!$C$2</f>
        <v>21087934.780000001</v>
      </c>
      <c r="H110" s="14">
        <f>'CCR Depr and ADFIT'!N108</f>
        <v>-12927761</v>
      </c>
      <c r="J110" s="14">
        <f>'CCR Depr and ADFIT'!U108</f>
        <v>542014</v>
      </c>
      <c r="L110" s="198">
        <f t="shared" si="14"/>
        <v>8702187.7800000012</v>
      </c>
      <c r="N110" s="20">
        <f>WACC!$S$16</f>
        <v>8.1600000000000006E-2</v>
      </c>
      <c r="P110" s="16">
        <f t="shared" si="15"/>
        <v>59174.876904000012</v>
      </c>
      <c r="R110" s="17">
        <v>0</v>
      </c>
      <c r="T110" s="17">
        <f>(ROUND(F110*'CCR Depr and ADFIT'!$N$6/12,0))</f>
        <v>85933</v>
      </c>
      <c r="V110" s="17">
        <f>F110*'Alloc. Factors and Property Tax'!$E$24*'Alloc. Factors and Property Tax'!$E$25*'Alloc. Factors and Property Tax'!$E$26/12</f>
        <v>1045.7506857402</v>
      </c>
      <c r="X110" s="17">
        <f t="shared" si="16"/>
        <v>146153.62758974021</v>
      </c>
      <c r="Z110" s="21">
        <f>'Alloc. Factors and Property Tax'!$C$18</f>
        <v>0.9604166666666667</v>
      </c>
      <c r="AB110" s="19">
        <f t="shared" si="17"/>
        <v>140368.37983097965</v>
      </c>
    </row>
    <row r="111" spans="2:30" x14ac:dyDescent="0.2">
      <c r="B111" s="23" t="s">
        <v>12</v>
      </c>
      <c r="D111" s="3">
        <v>2033</v>
      </c>
      <c r="F111" s="198">
        <f>'CCR Depr and ADFIT'!$C$2</f>
        <v>21087934.780000001</v>
      </c>
      <c r="H111" s="14">
        <f>'CCR Depr and ADFIT'!N109</f>
        <v>-13013694</v>
      </c>
      <c r="J111" s="14">
        <f>'CCR Depr and ADFIT'!U109</f>
        <v>543597</v>
      </c>
      <c r="L111" s="198">
        <f t="shared" si="14"/>
        <v>8617837.7800000012</v>
      </c>
      <c r="N111" s="20">
        <f>WACC!$S$16</f>
        <v>8.1600000000000006E-2</v>
      </c>
      <c r="P111" s="16">
        <f t="shared" si="15"/>
        <v>58601.296904000017</v>
      </c>
      <c r="R111" s="17">
        <v>0</v>
      </c>
      <c r="T111" s="17">
        <f>(ROUND(F111*'CCR Depr and ADFIT'!$N$6/12,0))</f>
        <v>85933</v>
      </c>
      <c r="V111" s="17">
        <f>F111*'Alloc. Factors and Property Tax'!$E$24*'Alloc. Factors and Property Tax'!$E$25*'Alloc. Factors and Property Tax'!$E$26/12</f>
        <v>1045.7506857402</v>
      </c>
      <c r="X111" s="17">
        <f t="shared" si="16"/>
        <v>145580.04758974022</v>
      </c>
      <c r="Z111" s="21">
        <f>'Alloc. Factors and Property Tax'!$C$18</f>
        <v>0.9604166666666667</v>
      </c>
      <c r="AB111" s="19">
        <f t="shared" si="17"/>
        <v>139817.504039313</v>
      </c>
    </row>
    <row r="112" spans="2:30" x14ac:dyDescent="0.2">
      <c r="B112" s="23" t="s">
        <v>13</v>
      </c>
      <c r="D112" s="3">
        <v>2033</v>
      </c>
      <c r="F112" s="198">
        <f>'CCR Depr and ADFIT'!$C$2</f>
        <v>21087934.780000001</v>
      </c>
      <c r="H112" s="14">
        <f>'CCR Depr and ADFIT'!N110</f>
        <v>-13099627</v>
      </c>
      <c r="J112" s="14">
        <f>'CCR Depr and ADFIT'!U110</f>
        <v>545180</v>
      </c>
      <c r="L112" s="198">
        <f t="shared" si="14"/>
        <v>8533487.7800000012</v>
      </c>
      <c r="N112" s="20">
        <f>WACC!$S$16</f>
        <v>8.1600000000000006E-2</v>
      </c>
      <c r="P112" s="16">
        <f t="shared" si="15"/>
        <v>58027.716904000008</v>
      </c>
      <c r="R112" s="17">
        <v>0</v>
      </c>
      <c r="T112" s="17">
        <f>(ROUND(F112*'CCR Depr and ADFIT'!$N$6/12,0))</f>
        <v>85933</v>
      </c>
      <c r="V112" s="17">
        <f>F112*'Alloc. Factors and Property Tax'!$E$24*'Alloc. Factors and Property Tax'!$E$25*'Alloc. Factors and Property Tax'!$E$26/12</f>
        <v>1045.7506857402</v>
      </c>
      <c r="X112" s="17">
        <f t="shared" si="16"/>
        <v>145006.4675897402</v>
      </c>
      <c r="Z112" s="21">
        <f>'Alloc. Factors and Property Tax'!$C$18</f>
        <v>0.9604166666666667</v>
      </c>
      <c r="AB112" s="19">
        <f t="shared" si="17"/>
        <v>139266.62824764632</v>
      </c>
    </row>
    <row r="113" spans="2:28" x14ac:dyDescent="0.2">
      <c r="B113" s="23" t="s">
        <v>14</v>
      </c>
      <c r="D113" s="3">
        <v>2033</v>
      </c>
      <c r="F113" s="198">
        <f>'CCR Depr and ADFIT'!$C$2</f>
        <v>21087934.780000001</v>
      </c>
      <c r="H113" s="14">
        <f>'CCR Depr and ADFIT'!N111</f>
        <v>-13185560</v>
      </c>
      <c r="J113" s="14">
        <f>'CCR Depr and ADFIT'!U111</f>
        <v>546763</v>
      </c>
      <c r="L113" s="198">
        <f t="shared" si="14"/>
        <v>8449137.7800000012</v>
      </c>
      <c r="N113" s="20">
        <f>WACC!$S$16</f>
        <v>8.1600000000000006E-2</v>
      </c>
      <c r="P113" s="16">
        <f t="shared" si="15"/>
        <v>57454.136904000014</v>
      </c>
      <c r="R113" s="17">
        <v>0</v>
      </c>
      <c r="T113" s="17">
        <f>(ROUND(F113*'CCR Depr and ADFIT'!$N$6/12,0))</f>
        <v>85933</v>
      </c>
      <c r="V113" s="17">
        <f>F113*'Alloc. Factors and Property Tax'!$E$24*'Alloc. Factors and Property Tax'!$E$25*'Alloc. Factors and Property Tax'!$E$26/12</f>
        <v>1045.7506857402</v>
      </c>
      <c r="X113" s="17">
        <f t="shared" si="16"/>
        <v>144432.88758974022</v>
      </c>
      <c r="Z113" s="21">
        <f>'Alloc. Factors and Property Tax'!$C$18</f>
        <v>0.9604166666666667</v>
      </c>
      <c r="AB113" s="19">
        <f t="shared" si="17"/>
        <v>138715.75245597967</v>
      </c>
    </row>
    <row r="114" spans="2:28" x14ac:dyDescent="0.2">
      <c r="B114" s="23" t="s">
        <v>15</v>
      </c>
      <c r="D114" s="3">
        <v>2033</v>
      </c>
      <c r="F114" s="198">
        <f>'CCR Depr and ADFIT'!$C$2</f>
        <v>21087934.780000001</v>
      </c>
      <c r="H114" s="14">
        <f>'CCR Depr and ADFIT'!N112</f>
        <v>-13271493</v>
      </c>
      <c r="J114" s="14">
        <f>'CCR Depr and ADFIT'!U112</f>
        <v>548346</v>
      </c>
      <c r="L114" s="198">
        <f t="shared" si="14"/>
        <v>8364787.7800000012</v>
      </c>
      <c r="N114" s="20">
        <f>WACC!$S$16</f>
        <v>8.1600000000000006E-2</v>
      </c>
      <c r="P114" s="16">
        <f t="shared" si="15"/>
        <v>56880.556904000019</v>
      </c>
      <c r="R114" s="17">
        <v>0</v>
      </c>
      <c r="T114" s="17">
        <f>(ROUND(F114*'CCR Depr and ADFIT'!$N$6/12,0))</f>
        <v>85933</v>
      </c>
      <c r="V114" s="17">
        <f>F114*'Alloc. Factors and Property Tax'!$E$24*'Alloc. Factors and Property Tax'!$E$25*'Alloc. Factors and Property Tax'!$E$26/12</f>
        <v>1045.7506857402</v>
      </c>
      <c r="X114" s="17">
        <f t="shared" si="16"/>
        <v>143859.30758974023</v>
      </c>
      <c r="Z114" s="21">
        <f>'Alloc. Factors and Property Tax'!$C$18</f>
        <v>0.9604166666666667</v>
      </c>
      <c r="AB114" s="19">
        <f t="shared" si="17"/>
        <v>138164.87666431302</v>
      </c>
    </row>
    <row r="115" spans="2:28" x14ac:dyDescent="0.2">
      <c r="B115" s="23" t="s">
        <v>16</v>
      </c>
      <c r="D115" s="3">
        <v>2033</v>
      </c>
      <c r="F115" s="198">
        <f>'CCR Depr and ADFIT'!$C$2</f>
        <v>21087934.780000001</v>
      </c>
      <c r="H115" s="14">
        <f>'CCR Depr and ADFIT'!N113</f>
        <v>-13357426</v>
      </c>
      <c r="J115" s="14">
        <f>'CCR Depr and ADFIT'!U113</f>
        <v>549929</v>
      </c>
      <c r="L115" s="198">
        <f t="shared" si="14"/>
        <v>8280437.7800000012</v>
      </c>
      <c r="N115" s="20">
        <f>WACC!$S$16</f>
        <v>8.1600000000000006E-2</v>
      </c>
      <c r="P115" s="16">
        <f t="shared" si="15"/>
        <v>56306.97690400001</v>
      </c>
      <c r="R115" s="17">
        <v>0</v>
      </c>
      <c r="T115" s="17">
        <f>(ROUND(F115*'CCR Depr and ADFIT'!$N$6/12,0))</f>
        <v>85933</v>
      </c>
      <c r="V115" s="17">
        <f>F115*'Alloc. Factors and Property Tax'!$E$24*'Alloc. Factors and Property Tax'!$E$25*'Alloc. Factors and Property Tax'!$E$26/12</f>
        <v>1045.7506857402</v>
      </c>
      <c r="X115" s="17">
        <f t="shared" si="16"/>
        <v>143285.72758974021</v>
      </c>
      <c r="Z115" s="21">
        <f>'Alloc. Factors and Property Tax'!$C$18</f>
        <v>0.9604166666666667</v>
      </c>
      <c r="AB115" s="19">
        <f t="shared" si="17"/>
        <v>137614.00087264634</v>
      </c>
    </row>
    <row r="116" spans="2:28" x14ac:dyDescent="0.2">
      <c r="B116" s="23" t="s">
        <v>17</v>
      </c>
      <c r="D116" s="3">
        <v>2033</v>
      </c>
      <c r="F116" s="198">
        <f>'CCR Depr and ADFIT'!$C$2</f>
        <v>21087934.780000001</v>
      </c>
      <c r="H116" s="14">
        <f>'CCR Depr and ADFIT'!N114</f>
        <v>-13443359</v>
      </c>
      <c r="J116" s="14">
        <f>'CCR Depr and ADFIT'!U114</f>
        <v>551513</v>
      </c>
      <c r="L116" s="198">
        <f t="shared" si="14"/>
        <v>8196088.7800000012</v>
      </c>
      <c r="N116" s="20">
        <f>WACC!$S$16</f>
        <v>8.1600000000000006E-2</v>
      </c>
      <c r="P116" s="16">
        <f t="shared" si="15"/>
        <v>55733.403704000018</v>
      </c>
      <c r="R116" s="17">
        <v>0</v>
      </c>
      <c r="T116" s="17">
        <f>(ROUND(F116*'CCR Depr and ADFIT'!$N$6/12,0))</f>
        <v>85933</v>
      </c>
      <c r="V116" s="17">
        <f>F116*'Alloc. Factors and Property Tax'!$E$24*'Alloc. Factors and Property Tax'!$E$25*'Alloc. Factors and Property Tax'!$E$26/12</f>
        <v>1045.7506857402</v>
      </c>
      <c r="X116" s="17">
        <f t="shared" si="16"/>
        <v>142712.15438974023</v>
      </c>
      <c r="Z116" s="21">
        <f>'Alloc. Factors and Property Tax'!$C$18</f>
        <v>0.9604166666666667</v>
      </c>
      <c r="AB116" s="19">
        <f t="shared" si="17"/>
        <v>137063.13161181301</v>
      </c>
    </row>
    <row r="117" spans="2:28" x14ac:dyDescent="0.2">
      <c r="B117" s="23" t="s">
        <v>18</v>
      </c>
      <c r="D117" s="3">
        <v>2033</v>
      </c>
      <c r="F117" s="198">
        <f>'CCR Depr and ADFIT'!$C$2</f>
        <v>21087934.780000001</v>
      </c>
      <c r="H117" s="14">
        <f>'CCR Depr and ADFIT'!N115</f>
        <v>-13529292</v>
      </c>
      <c r="J117" s="14">
        <f>'CCR Depr and ADFIT'!U115</f>
        <v>553096</v>
      </c>
      <c r="L117" s="198">
        <f t="shared" si="14"/>
        <v>8111738.7800000012</v>
      </c>
      <c r="N117" s="20">
        <f>WACC!$S$16</f>
        <v>8.1600000000000006E-2</v>
      </c>
      <c r="P117" s="16">
        <f t="shared" si="15"/>
        <v>55159.823704000009</v>
      </c>
      <c r="R117" s="17">
        <v>0</v>
      </c>
      <c r="T117" s="17">
        <f>(ROUND(F117*'CCR Depr and ADFIT'!$N$6/12,0))</f>
        <v>85933</v>
      </c>
      <c r="V117" s="17">
        <f>F117*'Alloc. Factors and Property Tax'!$E$24*'Alloc. Factors and Property Tax'!$E$25*'Alloc. Factors and Property Tax'!$E$26/12</f>
        <v>1045.7506857402</v>
      </c>
      <c r="X117" s="17">
        <f t="shared" si="16"/>
        <v>142138.57438974021</v>
      </c>
      <c r="Z117" s="21">
        <f>'Alloc. Factors and Property Tax'!$C$18</f>
        <v>0.9604166666666667</v>
      </c>
      <c r="AB117" s="19">
        <f t="shared" si="17"/>
        <v>136512.25582014633</v>
      </c>
    </row>
    <row r="118" spans="2:28" x14ac:dyDescent="0.2">
      <c r="B118" s="23" t="s">
        <v>19</v>
      </c>
      <c r="D118" s="3">
        <v>2033</v>
      </c>
      <c r="F118" s="198">
        <f>'CCR Depr and ADFIT'!$C$2</f>
        <v>21087934.780000001</v>
      </c>
      <c r="H118" s="14">
        <f>'CCR Depr and ADFIT'!N116</f>
        <v>-13615225</v>
      </c>
      <c r="J118" s="14">
        <f>'CCR Depr and ADFIT'!U116</f>
        <v>554679</v>
      </c>
      <c r="L118" s="198">
        <f t="shared" si="14"/>
        <v>8027388.7800000012</v>
      </c>
      <c r="N118" s="20">
        <f>WACC!$S$16</f>
        <v>8.1600000000000006E-2</v>
      </c>
      <c r="P118" s="16">
        <f t="shared" si="15"/>
        <v>54586.243704000015</v>
      </c>
      <c r="R118" s="17">
        <v>0</v>
      </c>
      <c r="T118" s="17">
        <f>(ROUND(F118*'CCR Depr and ADFIT'!$N$6/12,0))</f>
        <v>85933</v>
      </c>
      <c r="V118" s="17">
        <f>F118*'Alloc. Factors and Property Tax'!$E$24*'Alloc. Factors and Property Tax'!$E$25*'Alloc. Factors and Property Tax'!$E$26/12</f>
        <v>1045.7506857402</v>
      </c>
      <c r="X118" s="17">
        <f t="shared" si="16"/>
        <v>141564.99438974023</v>
      </c>
      <c r="Z118" s="21">
        <f>'Alloc. Factors and Property Tax'!$C$18</f>
        <v>0.9604166666666667</v>
      </c>
      <c r="AB118" s="19">
        <f t="shared" si="17"/>
        <v>135961.38002847967</v>
      </c>
    </row>
    <row r="119" spans="2:28" x14ac:dyDescent="0.2">
      <c r="B119" s="23" t="s">
        <v>8</v>
      </c>
      <c r="D119" s="3">
        <v>2033</v>
      </c>
      <c r="F119" s="198">
        <f>'CCR Depr and ADFIT'!$C$2</f>
        <v>21087934.780000001</v>
      </c>
      <c r="H119" s="14">
        <f>'CCR Depr and ADFIT'!N117</f>
        <v>-13701158</v>
      </c>
      <c r="J119" s="14">
        <f>'CCR Depr and ADFIT'!U117</f>
        <v>556262</v>
      </c>
      <c r="L119" s="198">
        <f t="shared" si="14"/>
        <v>7943038.7800000012</v>
      </c>
      <c r="N119" s="20">
        <f>WACC!$S$16</f>
        <v>8.1600000000000006E-2</v>
      </c>
      <c r="P119" s="16">
        <f t="shared" si="15"/>
        <v>54012.663704000013</v>
      </c>
      <c r="R119" s="17">
        <v>0</v>
      </c>
      <c r="T119" s="17">
        <f>(ROUND(F119*'CCR Depr and ADFIT'!$N$6/12,0))</f>
        <v>85933</v>
      </c>
      <c r="V119" s="17">
        <f>F119*'Alloc. Factors and Property Tax'!$E$24*'Alloc. Factors and Property Tax'!$E$25*'Alloc. Factors and Property Tax'!$E$26/12</f>
        <v>1045.7506857402</v>
      </c>
      <c r="X119" s="17">
        <f t="shared" si="16"/>
        <v>140991.41438974021</v>
      </c>
      <c r="Z119" s="21">
        <f>'Alloc. Factors and Property Tax'!$C$18</f>
        <v>0.9604166666666667</v>
      </c>
      <c r="AB119" s="19">
        <f t="shared" si="17"/>
        <v>135410.50423681299</v>
      </c>
    </row>
    <row r="120" spans="2:28" x14ac:dyDescent="0.2">
      <c r="B120" s="23" t="s">
        <v>9</v>
      </c>
      <c r="D120" s="3">
        <v>2033</v>
      </c>
      <c r="F120" s="198">
        <f>'CCR Depr and ADFIT'!$C$2</f>
        <v>21087934.780000001</v>
      </c>
      <c r="H120" s="14">
        <f>'CCR Depr and ADFIT'!N118</f>
        <v>-13787091</v>
      </c>
      <c r="J120" s="14">
        <f>'CCR Depr and ADFIT'!U118</f>
        <v>557845</v>
      </c>
      <c r="L120" s="198">
        <f t="shared" si="14"/>
        <v>7858688.7800000012</v>
      </c>
      <c r="N120" s="20">
        <f>WACC!$S$16</f>
        <v>8.1600000000000006E-2</v>
      </c>
      <c r="P120" s="16">
        <f t="shared" si="15"/>
        <v>53439.083704000011</v>
      </c>
      <c r="R120" s="17">
        <v>0</v>
      </c>
      <c r="T120" s="17">
        <f>(ROUND(F120*'CCR Depr and ADFIT'!$N$6/12,0))</f>
        <v>85933</v>
      </c>
      <c r="V120" s="17">
        <f>F120*'Alloc. Factors and Property Tax'!$E$24*'Alloc. Factors and Property Tax'!$E$25*'Alloc. Factors and Property Tax'!$E$26/12</f>
        <v>1045.7506857402</v>
      </c>
      <c r="X120" s="17">
        <f t="shared" si="16"/>
        <v>140417.83438974022</v>
      </c>
      <c r="Z120" s="21">
        <f>'Alloc. Factors and Property Tax'!$C$18</f>
        <v>0.9604166666666667</v>
      </c>
      <c r="AB120" s="19">
        <f t="shared" si="17"/>
        <v>134859.62844514634</v>
      </c>
    </row>
    <row r="121" spans="2:28" x14ac:dyDescent="0.2">
      <c r="B121" s="23" t="s">
        <v>10</v>
      </c>
      <c r="D121" s="3">
        <v>2033</v>
      </c>
      <c r="F121" s="198">
        <f>'CCR Depr and ADFIT'!$C$2</f>
        <v>21087934.780000001</v>
      </c>
      <c r="H121" s="14">
        <f>'CCR Depr and ADFIT'!N119</f>
        <v>-13873024</v>
      </c>
      <c r="J121" s="14">
        <f>'CCR Depr and ADFIT'!U119</f>
        <v>559428</v>
      </c>
      <c r="L121" s="198">
        <f t="shared" si="14"/>
        <v>7774338.7800000012</v>
      </c>
      <c r="N121" s="20">
        <f>WACC!$S$16</f>
        <v>8.1600000000000006E-2</v>
      </c>
      <c r="P121" s="16">
        <f t="shared" si="15"/>
        <v>52865.50370400001</v>
      </c>
      <c r="R121" s="17">
        <v>0</v>
      </c>
      <c r="T121" s="17">
        <f>(ROUND(F121*'CCR Depr and ADFIT'!$N$6/12,0))</f>
        <v>85933</v>
      </c>
      <c r="V121" s="17">
        <f>F121*'Alloc. Factors and Property Tax'!$E$24*'Alloc. Factors and Property Tax'!$E$25*'Alloc. Factors and Property Tax'!$E$26/12</f>
        <v>1045.7506857402</v>
      </c>
      <c r="X121" s="17">
        <f t="shared" si="16"/>
        <v>139844.25438974021</v>
      </c>
      <c r="Z121" s="21">
        <f>'Alloc. Factors and Property Tax'!$C$18</f>
        <v>0.9604166666666667</v>
      </c>
      <c r="AB121" s="19">
        <f t="shared" si="17"/>
        <v>134308.75265347966</v>
      </c>
    </row>
    <row r="122" spans="2:28" x14ac:dyDescent="0.2">
      <c r="B122" s="23" t="s">
        <v>11</v>
      </c>
      <c r="D122" s="3">
        <v>2034</v>
      </c>
      <c r="F122" s="198">
        <f>'CCR Depr and ADFIT'!$C$2</f>
        <v>21087934.780000001</v>
      </c>
      <c r="H122" s="14">
        <f>'CCR Depr and ADFIT'!N120</f>
        <v>-13958957</v>
      </c>
      <c r="J122" s="14">
        <f>'CCR Depr and ADFIT'!U120</f>
        <v>561007</v>
      </c>
      <c r="L122" s="198">
        <f t="shared" ref="L122:L153" si="18">SUM(F122:K122)</f>
        <v>7689984.7800000012</v>
      </c>
      <c r="N122" s="20">
        <f>WACC!$S$16</f>
        <v>8.1600000000000006E-2</v>
      </c>
      <c r="P122" s="16">
        <f t="shared" si="15"/>
        <v>52291.896504000011</v>
      </c>
      <c r="R122" s="17">
        <v>0</v>
      </c>
      <c r="T122" s="17">
        <f>(ROUND(F122*'CCR Depr and ADFIT'!$N$6/12,0))</f>
        <v>85933</v>
      </c>
      <c r="V122" s="17">
        <f>F122*'Alloc. Factors and Property Tax'!$E$24*'Alloc. Factors and Property Tax'!$E$25*'Alloc. Factors and Property Tax'!$E$26/12</f>
        <v>1045.7506857402</v>
      </c>
      <c r="X122" s="17">
        <f t="shared" ref="X122:X153" si="19">SUM(P122:W122)</f>
        <v>139270.64718974021</v>
      </c>
      <c r="Z122" s="21">
        <f>'Alloc. Factors and Property Tax'!$C$18</f>
        <v>0.9604166666666667</v>
      </c>
      <c r="AB122" s="19">
        <f t="shared" si="17"/>
        <v>133757.85073847967</v>
      </c>
    </row>
    <row r="123" spans="2:28" x14ac:dyDescent="0.2">
      <c r="B123" s="23" t="s">
        <v>12</v>
      </c>
      <c r="D123" s="3">
        <v>2034</v>
      </c>
      <c r="F123" s="198">
        <f>'CCR Depr and ADFIT'!$C$2</f>
        <v>21087934.780000001</v>
      </c>
      <c r="H123" s="14">
        <f>'CCR Depr and ADFIT'!N121</f>
        <v>-14044890</v>
      </c>
      <c r="J123" s="14">
        <f>'CCR Depr and ADFIT'!U121</f>
        <v>562587</v>
      </c>
      <c r="L123" s="198">
        <f t="shared" si="18"/>
        <v>7605631.7800000012</v>
      </c>
      <c r="N123" s="20">
        <f>WACC!$S$16</f>
        <v>8.1600000000000006E-2</v>
      </c>
      <c r="P123" s="16">
        <f t="shared" si="15"/>
        <v>51718.296104000008</v>
      </c>
      <c r="R123" s="17">
        <v>0</v>
      </c>
      <c r="T123" s="17">
        <f>(ROUND(F123*'CCR Depr and ADFIT'!$N$6/12,0))</f>
        <v>85933</v>
      </c>
      <c r="V123" s="17">
        <f>F123*'Alloc. Factors and Property Tax'!$E$24*'Alloc. Factors and Property Tax'!$E$25*'Alloc. Factors and Property Tax'!$E$26/12</f>
        <v>1045.7506857402</v>
      </c>
      <c r="X123" s="17">
        <f t="shared" si="19"/>
        <v>138697.04678974021</v>
      </c>
      <c r="Z123" s="21">
        <f>'Alloc. Factors and Property Tax'!$C$18</f>
        <v>0.9604166666666667</v>
      </c>
      <c r="AB123" s="19">
        <f t="shared" si="17"/>
        <v>133206.95535431299</v>
      </c>
    </row>
    <row r="124" spans="2:28" x14ac:dyDescent="0.2">
      <c r="B124" s="23" t="s">
        <v>13</v>
      </c>
      <c r="D124" s="3">
        <v>2034</v>
      </c>
      <c r="F124" s="198">
        <f>'CCR Depr and ADFIT'!$C$2</f>
        <v>21087934.780000001</v>
      </c>
      <c r="H124" s="14">
        <f>'CCR Depr and ADFIT'!N122</f>
        <v>-14130823</v>
      </c>
      <c r="J124" s="14">
        <f>'CCR Depr and ADFIT'!U122</f>
        <v>564166</v>
      </c>
      <c r="L124" s="198">
        <f t="shared" si="18"/>
        <v>7521277.7800000012</v>
      </c>
      <c r="N124" s="20">
        <f>WACC!$S$16</f>
        <v>8.1600000000000006E-2</v>
      </c>
      <c r="P124" s="16">
        <f t="shared" si="15"/>
        <v>51144.68890400001</v>
      </c>
      <c r="R124" s="17">
        <v>0</v>
      </c>
      <c r="T124" s="17">
        <f>(ROUND(F124*'CCR Depr and ADFIT'!$N$6/12,0))</f>
        <v>85933</v>
      </c>
      <c r="V124" s="17">
        <f>F124*'Alloc. Factors and Property Tax'!$E$24*'Alloc. Factors and Property Tax'!$E$25*'Alloc. Factors and Property Tax'!$E$26/12</f>
        <v>1045.7506857402</v>
      </c>
      <c r="X124" s="17">
        <f t="shared" si="19"/>
        <v>138123.43958974021</v>
      </c>
      <c r="Z124" s="21">
        <f>'Alloc. Factors and Property Tax'!$C$18</f>
        <v>0.9604166666666667</v>
      </c>
      <c r="AB124" s="19">
        <f t="shared" si="17"/>
        <v>132656.05343931299</v>
      </c>
    </row>
    <row r="125" spans="2:28" x14ac:dyDescent="0.2">
      <c r="B125" s="23" t="s">
        <v>14</v>
      </c>
      <c r="D125" s="3">
        <v>2034</v>
      </c>
      <c r="F125" s="198">
        <f>'CCR Depr and ADFIT'!$C$2</f>
        <v>21087934.780000001</v>
      </c>
      <c r="H125" s="14">
        <f>'CCR Depr and ADFIT'!N123</f>
        <v>-14216756</v>
      </c>
      <c r="J125" s="14">
        <f>'CCR Depr and ADFIT'!U123</f>
        <v>565746</v>
      </c>
      <c r="L125" s="198">
        <f t="shared" si="18"/>
        <v>7436924.7800000012</v>
      </c>
      <c r="N125" s="20">
        <f>WACC!$S$16</f>
        <v>8.1600000000000006E-2</v>
      </c>
      <c r="P125" s="16">
        <f t="shared" si="15"/>
        <v>50571.088504000014</v>
      </c>
      <c r="R125" s="17">
        <v>0</v>
      </c>
      <c r="T125" s="17">
        <f>(ROUND(F125*'CCR Depr and ADFIT'!$N$6/12,0))</f>
        <v>85933</v>
      </c>
      <c r="V125" s="17">
        <f>F125*'Alloc. Factors and Property Tax'!$E$24*'Alloc. Factors and Property Tax'!$E$25*'Alloc. Factors and Property Tax'!$E$26/12</f>
        <v>1045.7506857402</v>
      </c>
      <c r="X125" s="17">
        <f t="shared" si="19"/>
        <v>137549.83918974022</v>
      </c>
      <c r="Z125" s="21">
        <f>'Alloc. Factors and Property Tax'!$C$18</f>
        <v>0.9604166666666667</v>
      </c>
      <c r="AB125" s="19">
        <f t="shared" si="17"/>
        <v>132105.15805514634</v>
      </c>
    </row>
    <row r="126" spans="2:28" x14ac:dyDescent="0.2">
      <c r="B126" s="23" t="s">
        <v>15</v>
      </c>
      <c r="D126" s="3">
        <v>2034</v>
      </c>
      <c r="F126" s="198">
        <f>'CCR Depr and ADFIT'!$C$2</f>
        <v>21087934.780000001</v>
      </c>
      <c r="H126" s="14">
        <f>'CCR Depr and ADFIT'!N124</f>
        <v>-14302689</v>
      </c>
      <c r="J126" s="14">
        <f>'CCR Depr and ADFIT'!U124</f>
        <v>567325</v>
      </c>
      <c r="L126" s="198">
        <f t="shared" si="18"/>
        <v>7352570.7800000012</v>
      </c>
      <c r="N126" s="20">
        <f>WACC!$S$16</f>
        <v>8.1600000000000006E-2</v>
      </c>
      <c r="P126" s="16">
        <f t="shared" si="15"/>
        <v>49997.481304000015</v>
      </c>
      <c r="R126" s="17">
        <v>0</v>
      </c>
      <c r="T126" s="17">
        <f>(ROUND(F126*'CCR Depr and ADFIT'!$N$6/12,0))</f>
        <v>85933</v>
      </c>
      <c r="V126" s="17">
        <f>F126*'Alloc. Factors and Property Tax'!$E$24*'Alloc. Factors and Property Tax'!$E$25*'Alloc. Factors and Property Tax'!$E$26/12</f>
        <v>1045.7506857402</v>
      </c>
      <c r="X126" s="17">
        <f t="shared" si="19"/>
        <v>136976.23198974022</v>
      </c>
      <c r="Z126" s="21">
        <f>'Alloc. Factors and Property Tax'!$C$18</f>
        <v>0.9604166666666667</v>
      </c>
      <c r="AB126" s="19">
        <f t="shared" si="17"/>
        <v>131554.25614014635</v>
      </c>
    </row>
    <row r="127" spans="2:28" x14ac:dyDescent="0.2">
      <c r="B127" s="23" t="s">
        <v>16</v>
      </c>
      <c r="D127" s="3">
        <v>2034</v>
      </c>
      <c r="F127" s="198">
        <f>'CCR Depr and ADFIT'!$C$2</f>
        <v>21087934.780000001</v>
      </c>
      <c r="H127" s="14">
        <f>'CCR Depr and ADFIT'!N125</f>
        <v>-14388622</v>
      </c>
      <c r="J127" s="14">
        <f>'CCR Depr and ADFIT'!U125</f>
        <v>568905</v>
      </c>
      <c r="L127" s="198">
        <f t="shared" si="18"/>
        <v>7268217.7800000012</v>
      </c>
      <c r="N127" s="20">
        <f>WACC!$S$16</f>
        <v>8.1600000000000006E-2</v>
      </c>
      <c r="P127" s="16">
        <f t="shared" si="15"/>
        <v>49423.880904000012</v>
      </c>
      <c r="R127" s="17">
        <v>0</v>
      </c>
      <c r="T127" s="17">
        <f>(ROUND(F127*'CCR Depr and ADFIT'!$N$6/12,0))</f>
        <v>85933</v>
      </c>
      <c r="V127" s="17">
        <f>F127*'Alloc. Factors and Property Tax'!$E$24*'Alloc. Factors and Property Tax'!$E$25*'Alloc. Factors and Property Tax'!$E$26/12</f>
        <v>1045.7506857402</v>
      </c>
      <c r="X127" s="17">
        <f t="shared" si="19"/>
        <v>136402.63158974022</v>
      </c>
      <c r="Z127" s="21">
        <f>'Alloc. Factors and Property Tax'!$C$18</f>
        <v>0.9604166666666667</v>
      </c>
      <c r="AB127" s="19">
        <f t="shared" si="17"/>
        <v>131003.36075597968</v>
      </c>
    </row>
    <row r="128" spans="2:28" x14ac:dyDescent="0.2">
      <c r="B128" s="23" t="s">
        <v>17</v>
      </c>
      <c r="D128" s="3">
        <v>2034</v>
      </c>
      <c r="F128" s="198">
        <f>'CCR Depr and ADFIT'!$C$2</f>
        <v>21087934.780000001</v>
      </c>
      <c r="H128" s="14">
        <f>'CCR Depr and ADFIT'!N126</f>
        <v>-14474555</v>
      </c>
      <c r="J128" s="14">
        <f>'CCR Depr and ADFIT'!U126</f>
        <v>570484</v>
      </c>
      <c r="L128" s="198">
        <f t="shared" si="18"/>
        <v>7183863.7800000012</v>
      </c>
      <c r="N128" s="20">
        <f>WACC!$S$16</f>
        <v>8.1600000000000006E-2</v>
      </c>
      <c r="P128" s="16">
        <f t="shared" si="15"/>
        <v>48850.273704000014</v>
      </c>
      <c r="R128" s="17">
        <v>0</v>
      </c>
      <c r="T128" s="17">
        <f>(ROUND(F128*'CCR Depr and ADFIT'!$N$6/12,0))</f>
        <v>85933</v>
      </c>
      <c r="V128" s="17">
        <f>F128*'Alloc. Factors and Property Tax'!$E$24*'Alloc. Factors and Property Tax'!$E$25*'Alloc. Factors and Property Tax'!$E$26/12</f>
        <v>1045.7506857402</v>
      </c>
      <c r="X128" s="17">
        <f t="shared" si="19"/>
        <v>135829.02438974023</v>
      </c>
      <c r="Z128" s="21">
        <f>'Alloc. Factors and Property Tax'!$C$18</f>
        <v>0.9604166666666667</v>
      </c>
      <c r="AB128" s="19">
        <f t="shared" si="17"/>
        <v>130452.45884097969</v>
      </c>
    </row>
    <row r="129" spans="2:28" x14ac:dyDescent="0.2">
      <c r="B129" s="23" t="s">
        <v>18</v>
      </c>
      <c r="D129" s="3">
        <v>2034</v>
      </c>
      <c r="F129" s="198">
        <f>'CCR Depr and ADFIT'!$C$2</f>
        <v>21087934.780000001</v>
      </c>
      <c r="H129" s="14">
        <f>'CCR Depr and ADFIT'!N127</f>
        <v>-14560488</v>
      </c>
      <c r="J129" s="14">
        <f>'CCR Depr and ADFIT'!U127</f>
        <v>572063</v>
      </c>
      <c r="L129" s="198">
        <f t="shared" si="18"/>
        <v>7099509.7800000012</v>
      </c>
      <c r="N129" s="20">
        <f>WACC!$S$16</f>
        <v>8.1600000000000006E-2</v>
      </c>
      <c r="P129" s="16">
        <f t="shared" si="15"/>
        <v>48276.666504000015</v>
      </c>
      <c r="R129" s="17">
        <v>0</v>
      </c>
      <c r="T129" s="17">
        <f>(ROUND(F129*'CCR Depr and ADFIT'!$N$6/12,0))</f>
        <v>85933</v>
      </c>
      <c r="V129" s="17">
        <f>F129*'Alloc. Factors and Property Tax'!$E$24*'Alloc. Factors and Property Tax'!$E$25*'Alloc. Factors and Property Tax'!$E$26/12</f>
        <v>1045.7506857402</v>
      </c>
      <c r="X129" s="17">
        <f t="shared" si="19"/>
        <v>135255.41718974023</v>
      </c>
      <c r="Z129" s="21">
        <f>'Alloc. Factors and Property Tax'!$C$18</f>
        <v>0.9604166666666667</v>
      </c>
      <c r="AB129" s="19">
        <f t="shared" si="17"/>
        <v>129901.55692597968</v>
      </c>
    </row>
    <row r="130" spans="2:28" x14ac:dyDescent="0.2">
      <c r="B130" s="23" t="s">
        <v>19</v>
      </c>
      <c r="D130" s="3">
        <v>2034</v>
      </c>
      <c r="F130" s="198">
        <f>'CCR Depr and ADFIT'!$C$2</f>
        <v>21087934.780000001</v>
      </c>
      <c r="H130" s="14">
        <f>'CCR Depr and ADFIT'!N128</f>
        <v>-14646421</v>
      </c>
      <c r="J130" s="14">
        <f>'CCR Depr and ADFIT'!U128</f>
        <v>573643</v>
      </c>
      <c r="L130" s="198">
        <f t="shared" si="18"/>
        <v>7015156.7800000012</v>
      </c>
      <c r="N130" s="20">
        <f>WACC!$S$16</f>
        <v>8.1600000000000006E-2</v>
      </c>
      <c r="P130" s="16">
        <f t="shared" si="15"/>
        <v>47703.066104000005</v>
      </c>
      <c r="R130" s="17">
        <v>0</v>
      </c>
      <c r="T130" s="17">
        <f>(ROUND(F130*'CCR Depr and ADFIT'!$N$6/12,0))</f>
        <v>85933</v>
      </c>
      <c r="V130" s="17">
        <f>F130*'Alloc. Factors and Property Tax'!$E$24*'Alloc. Factors and Property Tax'!$E$25*'Alloc. Factors and Property Tax'!$E$26/12</f>
        <v>1045.7506857402</v>
      </c>
      <c r="X130" s="17">
        <f t="shared" si="19"/>
        <v>134681.8167897402</v>
      </c>
      <c r="Z130" s="21">
        <f>'Alloc. Factors and Property Tax'!$C$18</f>
        <v>0.9604166666666667</v>
      </c>
      <c r="AB130" s="19">
        <f t="shared" si="17"/>
        <v>129350.66154181299</v>
      </c>
    </row>
    <row r="131" spans="2:28" x14ac:dyDescent="0.2">
      <c r="B131" s="23" t="s">
        <v>8</v>
      </c>
      <c r="D131" s="3">
        <v>2034</v>
      </c>
      <c r="F131" s="198">
        <f>'CCR Depr and ADFIT'!$C$2</f>
        <v>21087934.780000001</v>
      </c>
      <c r="H131" s="14">
        <f>'CCR Depr and ADFIT'!N129</f>
        <v>-14732354</v>
      </c>
      <c r="J131" s="14">
        <f>'CCR Depr and ADFIT'!U129</f>
        <v>575222</v>
      </c>
      <c r="L131" s="198">
        <f t="shared" si="18"/>
        <v>6930802.7800000012</v>
      </c>
      <c r="N131" s="20">
        <f>WACC!$S$16</f>
        <v>8.1600000000000006E-2</v>
      </c>
      <c r="P131" s="16">
        <f t="shared" si="15"/>
        <v>47129.458904000006</v>
      </c>
      <c r="R131" s="17">
        <v>0</v>
      </c>
      <c r="T131" s="17">
        <f>(ROUND(F131*'CCR Depr and ADFIT'!$N$6/12,0))</f>
        <v>85933</v>
      </c>
      <c r="V131" s="17">
        <f>F131*'Alloc. Factors and Property Tax'!$E$24*'Alloc. Factors and Property Tax'!$E$25*'Alloc. Factors and Property Tax'!$E$26/12</f>
        <v>1045.7506857402</v>
      </c>
      <c r="X131" s="17">
        <f t="shared" si="19"/>
        <v>134108.2095897402</v>
      </c>
      <c r="Z131" s="21">
        <f>'Alloc. Factors and Property Tax'!$C$18</f>
        <v>0.9604166666666667</v>
      </c>
      <c r="AB131" s="19">
        <f t="shared" si="17"/>
        <v>128799.75962681299</v>
      </c>
    </row>
    <row r="132" spans="2:28" x14ac:dyDescent="0.2">
      <c r="B132" s="23" t="s">
        <v>9</v>
      </c>
      <c r="D132" s="3">
        <v>2034</v>
      </c>
      <c r="F132" s="198">
        <f>'CCR Depr and ADFIT'!$C$2</f>
        <v>21087934.780000001</v>
      </c>
      <c r="H132" s="14">
        <f>'CCR Depr and ADFIT'!N130</f>
        <v>-14818287</v>
      </c>
      <c r="J132" s="14">
        <f>'CCR Depr and ADFIT'!U130</f>
        <v>576802</v>
      </c>
      <c r="L132" s="198">
        <f t="shared" si="18"/>
        <v>6846449.7800000012</v>
      </c>
      <c r="N132" s="20">
        <f>WACC!$S$16</f>
        <v>8.1600000000000006E-2</v>
      </c>
      <c r="P132" s="16">
        <f t="shared" si="15"/>
        <v>46555.858504000011</v>
      </c>
      <c r="R132" s="17">
        <v>0</v>
      </c>
      <c r="T132" s="17">
        <f>(ROUND(F132*'CCR Depr and ADFIT'!$N$6/12,0))</f>
        <v>85933</v>
      </c>
      <c r="V132" s="17">
        <f>F132*'Alloc. Factors and Property Tax'!$E$24*'Alloc. Factors and Property Tax'!$E$25*'Alloc. Factors and Property Tax'!$E$26/12</f>
        <v>1045.7506857402</v>
      </c>
      <c r="X132" s="17">
        <f t="shared" si="19"/>
        <v>133534.60918974021</v>
      </c>
      <c r="Z132" s="21">
        <f>'Alloc. Factors and Property Tax'!$C$18</f>
        <v>0.9604166666666667</v>
      </c>
      <c r="AB132" s="19">
        <f t="shared" si="17"/>
        <v>128248.86424264633</v>
      </c>
    </row>
    <row r="133" spans="2:28" x14ac:dyDescent="0.2">
      <c r="B133" s="23" t="s">
        <v>10</v>
      </c>
      <c r="D133" s="3">
        <v>2034</v>
      </c>
      <c r="F133" s="198">
        <f>'CCR Depr and ADFIT'!$C$2</f>
        <v>21087934.780000001</v>
      </c>
      <c r="H133" s="14">
        <f>'CCR Depr and ADFIT'!N131</f>
        <v>-14904220</v>
      </c>
      <c r="J133" s="14">
        <f>'CCR Depr and ADFIT'!U131</f>
        <v>578381</v>
      </c>
      <c r="L133" s="198">
        <f t="shared" si="18"/>
        <v>6762095.7800000012</v>
      </c>
      <c r="N133" s="20">
        <f>WACC!$S$16</f>
        <v>8.1600000000000006E-2</v>
      </c>
      <c r="P133" s="16">
        <f t="shared" si="15"/>
        <v>45982.251304000012</v>
      </c>
      <c r="R133" s="17">
        <v>0</v>
      </c>
      <c r="T133" s="17">
        <f>(ROUND(F133*'CCR Depr and ADFIT'!$N$6/12,0))</f>
        <v>85933</v>
      </c>
      <c r="V133" s="17">
        <f>F133*'Alloc. Factors and Property Tax'!$E$24*'Alloc. Factors and Property Tax'!$E$25*'Alloc. Factors and Property Tax'!$E$26/12</f>
        <v>1045.7506857402</v>
      </c>
      <c r="X133" s="17">
        <f t="shared" si="19"/>
        <v>132961.00198974021</v>
      </c>
      <c r="Z133" s="21">
        <f>'Alloc. Factors and Property Tax'!$C$18</f>
        <v>0.9604166666666667</v>
      </c>
      <c r="AB133" s="19">
        <f t="shared" si="17"/>
        <v>127697.96232764632</v>
      </c>
    </row>
    <row r="134" spans="2:28" x14ac:dyDescent="0.2">
      <c r="B134" s="23" t="s">
        <v>11</v>
      </c>
      <c r="D134" s="3">
        <v>2035</v>
      </c>
      <c r="F134" s="198">
        <f>'CCR Depr and ADFIT'!$C$2</f>
        <v>21087934.780000001</v>
      </c>
      <c r="H134" s="14">
        <f>'CCR Depr and ADFIT'!N132</f>
        <v>-14990153</v>
      </c>
      <c r="J134" s="14">
        <f>'CCR Depr and ADFIT'!U132</f>
        <v>579964</v>
      </c>
      <c r="L134" s="198">
        <f t="shared" si="18"/>
        <v>6677745.7800000012</v>
      </c>
      <c r="N134" s="20">
        <f>WACC!$S$16</f>
        <v>8.1600000000000006E-2</v>
      </c>
      <c r="P134" s="16">
        <f t="shared" si="15"/>
        <v>45408.67130400001</v>
      </c>
      <c r="R134" s="17">
        <v>0</v>
      </c>
      <c r="T134" s="17">
        <f>(ROUND(F134*'CCR Depr and ADFIT'!$N$6/12,0))</f>
        <v>85933</v>
      </c>
      <c r="V134" s="17">
        <f>F134*'Alloc. Factors and Property Tax'!$E$24*'Alloc. Factors and Property Tax'!$E$25*'Alloc. Factors and Property Tax'!$E$26/12</f>
        <v>1045.7506857402</v>
      </c>
      <c r="X134" s="17">
        <f t="shared" si="19"/>
        <v>132387.42198974022</v>
      </c>
      <c r="Z134" s="21">
        <f>'Alloc. Factors and Property Tax'!$C$18</f>
        <v>0.9604166666666667</v>
      </c>
      <c r="AB134" s="19">
        <f t="shared" si="17"/>
        <v>127147.08653597967</v>
      </c>
    </row>
    <row r="135" spans="2:28" x14ac:dyDescent="0.2">
      <c r="B135" s="23" t="s">
        <v>12</v>
      </c>
      <c r="D135" s="3">
        <v>2035</v>
      </c>
      <c r="F135" s="198">
        <f>'CCR Depr and ADFIT'!$C$2</f>
        <v>21087934.780000001</v>
      </c>
      <c r="H135" s="14">
        <f>'CCR Depr and ADFIT'!N133</f>
        <v>-15076086</v>
      </c>
      <c r="J135" s="14">
        <f>'CCR Depr and ADFIT'!U133</f>
        <v>581547</v>
      </c>
      <c r="L135" s="198">
        <f t="shared" si="18"/>
        <v>6593395.7800000012</v>
      </c>
      <c r="N135" s="20">
        <f>WACC!$S$16</f>
        <v>8.1600000000000006E-2</v>
      </c>
      <c r="P135" s="16">
        <f t="shared" si="15"/>
        <v>44835.091304000009</v>
      </c>
      <c r="R135" s="17">
        <v>0</v>
      </c>
      <c r="T135" s="17">
        <f>(ROUND(F135*'CCR Depr and ADFIT'!$N$6/12,0))</f>
        <v>85933</v>
      </c>
      <c r="V135" s="17">
        <f>F135*'Alloc. Factors and Property Tax'!$E$24*'Alloc. Factors and Property Tax'!$E$25*'Alloc. Factors and Property Tax'!$E$26/12</f>
        <v>1045.7506857402</v>
      </c>
      <c r="X135" s="17">
        <f t="shared" si="19"/>
        <v>131813.84198974021</v>
      </c>
      <c r="Z135" s="21">
        <f>'Alloc. Factors and Property Tax'!$C$18</f>
        <v>0.9604166666666667</v>
      </c>
      <c r="AB135" s="19">
        <f t="shared" si="17"/>
        <v>126596.21074431299</v>
      </c>
    </row>
    <row r="136" spans="2:28" x14ac:dyDescent="0.2">
      <c r="B136" s="23" t="s">
        <v>13</v>
      </c>
      <c r="D136" s="3">
        <v>2035</v>
      </c>
      <c r="F136" s="198">
        <f>'CCR Depr and ADFIT'!$C$2</f>
        <v>21087934.780000001</v>
      </c>
      <c r="H136" s="14">
        <f>'CCR Depr and ADFIT'!N134</f>
        <v>-15162019</v>
      </c>
      <c r="J136" s="14">
        <f>'CCR Depr and ADFIT'!U134</f>
        <v>583130</v>
      </c>
      <c r="L136" s="198">
        <f t="shared" si="18"/>
        <v>6509045.7800000012</v>
      </c>
      <c r="N136" s="20">
        <f>WACC!$S$16</f>
        <v>8.1600000000000006E-2</v>
      </c>
      <c r="P136" s="16">
        <f t="shared" si="15"/>
        <v>44261.511304000014</v>
      </c>
      <c r="R136" s="17">
        <v>0</v>
      </c>
      <c r="T136" s="17">
        <f>(ROUND(F136*'CCR Depr and ADFIT'!$N$6/12,0))</f>
        <v>85933</v>
      </c>
      <c r="V136" s="17">
        <f>F136*'Alloc. Factors and Property Tax'!$E$24*'Alloc. Factors and Property Tax'!$E$25*'Alloc. Factors and Property Tax'!$E$26/12</f>
        <v>1045.7506857402</v>
      </c>
      <c r="X136" s="17">
        <f t="shared" si="19"/>
        <v>131240.26198974022</v>
      </c>
      <c r="Z136" s="21">
        <f>'Alloc. Factors and Property Tax'!$C$18</f>
        <v>0.9604166666666667</v>
      </c>
      <c r="AB136" s="19">
        <f t="shared" si="17"/>
        <v>126045.33495264634</v>
      </c>
    </row>
    <row r="137" spans="2:28" x14ac:dyDescent="0.2">
      <c r="B137" s="23" t="s">
        <v>14</v>
      </c>
      <c r="D137" s="3">
        <v>2035</v>
      </c>
      <c r="F137" s="198">
        <f>'CCR Depr and ADFIT'!$C$2</f>
        <v>21087934.780000001</v>
      </c>
      <c r="H137" s="14">
        <f>'CCR Depr and ADFIT'!N135</f>
        <v>-15247952</v>
      </c>
      <c r="J137" s="14">
        <f>'CCR Depr and ADFIT'!U135</f>
        <v>584713</v>
      </c>
      <c r="L137" s="198">
        <f t="shared" si="18"/>
        <v>6424695.7800000012</v>
      </c>
      <c r="N137" s="20">
        <f>WACC!$S$16</f>
        <v>8.1600000000000006E-2</v>
      </c>
      <c r="P137" s="16">
        <f t="shared" si="15"/>
        <v>43687.931304000012</v>
      </c>
      <c r="R137" s="17">
        <v>0</v>
      </c>
      <c r="T137" s="17">
        <f>(ROUND(F137*'CCR Depr and ADFIT'!$N$6/12,0))</f>
        <v>85933</v>
      </c>
      <c r="V137" s="17">
        <f>F137*'Alloc. Factors and Property Tax'!$E$24*'Alloc. Factors and Property Tax'!$E$25*'Alloc. Factors and Property Tax'!$E$26/12</f>
        <v>1045.7506857402</v>
      </c>
      <c r="X137" s="17">
        <f t="shared" si="19"/>
        <v>130666.68198974022</v>
      </c>
      <c r="Z137" s="21">
        <f>'Alloc. Factors and Property Tax'!$C$18</f>
        <v>0.9604166666666667</v>
      </c>
      <c r="AB137" s="19">
        <f t="shared" si="17"/>
        <v>125494.45916097968</v>
      </c>
    </row>
    <row r="138" spans="2:28" x14ac:dyDescent="0.2">
      <c r="B138" s="23" t="s">
        <v>15</v>
      </c>
      <c r="D138" s="3">
        <v>2035</v>
      </c>
      <c r="F138" s="198">
        <f>'CCR Depr and ADFIT'!$C$2</f>
        <v>21087934.780000001</v>
      </c>
      <c r="H138" s="14">
        <f>'CCR Depr and ADFIT'!N136</f>
        <v>-15333885</v>
      </c>
      <c r="J138" s="14">
        <f>'CCR Depr and ADFIT'!U136</f>
        <v>586297</v>
      </c>
      <c r="L138" s="198">
        <f t="shared" si="18"/>
        <v>6340346.7800000012</v>
      </c>
      <c r="N138" s="20">
        <f>WACC!$S$16</f>
        <v>8.1600000000000006E-2</v>
      </c>
      <c r="P138" s="16">
        <f t="shared" si="15"/>
        <v>43114.358104000014</v>
      </c>
      <c r="R138" s="17">
        <v>0</v>
      </c>
      <c r="T138" s="17">
        <f>(ROUND(F138*'CCR Depr and ADFIT'!$N$6/12,0))</f>
        <v>85933</v>
      </c>
      <c r="V138" s="17">
        <f>F138*'Alloc. Factors and Property Tax'!$E$24*'Alloc. Factors and Property Tax'!$E$25*'Alloc. Factors and Property Tax'!$E$26/12</f>
        <v>1045.7506857402</v>
      </c>
      <c r="X138" s="17">
        <f t="shared" si="19"/>
        <v>130093.10878974022</v>
      </c>
      <c r="Z138" s="21">
        <f>'Alloc. Factors and Property Tax'!$C$18</f>
        <v>0.9604166666666667</v>
      </c>
      <c r="AB138" s="19">
        <f t="shared" si="17"/>
        <v>124943.58990014634</v>
      </c>
    </row>
    <row r="139" spans="2:28" x14ac:dyDescent="0.2">
      <c r="B139" s="23" t="s">
        <v>16</v>
      </c>
      <c r="D139" s="3">
        <v>2035</v>
      </c>
      <c r="F139" s="198">
        <f>'CCR Depr and ADFIT'!$C$2</f>
        <v>21087934.780000001</v>
      </c>
      <c r="H139" s="14">
        <f>'CCR Depr and ADFIT'!N137</f>
        <v>-15419818</v>
      </c>
      <c r="J139" s="14">
        <f>'CCR Depr and ADFIT'!U137</f>
        <v>587880</v>
      </c>
      <c r="L139" s="198">
        <f t="shared" si="18"/>
        <v>6255996.7800000012</v>
      </c>
      <c r="N139" s="20">
        <f>WACC!$S$16</f>
        <v>8.1600000000000006E-2</v>
      </c>
      <c r="P139" s="16">
        <f t="shared" si="15"/>
        <v>42540.778104000012</v>
      </c>
      <c r="R139" s="17">
        <v>0</v>
      </c>
      <c r="T139" s="17">
        <f>(ROUND(F139*'CCR Depr and ADFIT'!$N$6/12,0))</f>
        <v>85933</v>
      </c>
      <c r="V139" s="17">
        <f>F139*'Alloc. Factors and Property Tax'!$E$24*'Alloc. Factors and Property Tax'!$E$25*'Alloc. Factors and Property Tax'!$E$26/12</f>
        <v>1045.7506857402</v>
      </c>
      <c r="X139" s="17">
        <f t="shared" si="19"/>
        <v>129519.52878974022</v>
      </c>
      <c r="Z139" s="21">
        <f>'Alloc. Factors and Property Tax'!$C$18</f>
        <v>0.9604166666666667</v>
      </c>
      <c r="AB139" s="19">
        <f t="shared" si="17"/>
        <v>124392.71410847967</v>
      </c>
    </row>
    <row r="140" spans="2:28" x14ac:dyDescent="0.2">
      <c r="B140" s="23" t="s">
        <v>17</v>
      </c>
      <c r="D140" s="3">
        <v>2035</v>
      </c>
      <c r="F140" s="198">
        <f>'CCR Depr and ADFIT'!$C$2</f>
        <v>21087934.780000001</v>
      </c>
      <c r="H140" s="14">
        <f>'CCR Depr and ADFIT'!N138</f>
        <v>-15505751</v>
      </c>
      <c r="J140" s="14">
        <f>'CCR Depr and ADFIT'!U138</f>
        <v>589463</v>
      </c>
      <c r="L140" s="198">
        <f t="shared" si="18"/>
        <v>6171646.7800000012</v>
      </c>
      <c r="N140" s="20">
        <f>WACC!$S$16</f>
        <v>8.1600000000000006E-2</v>
      </c>
      <c r="P140" s="16">
        <f t="shared" si="15"/>
        <v>41967.19810400001</v>
      </c>
      <c r="R140" s="17">
        <v>0</v>
      </c>
      <c r="T140" s="17">
        <f>(ROUND(F140*'CCR Depr and ADFIT'!$N$6/12,0))</f>
        <v>85933</v>
      </c>
      <c r="V140" s="17">
        <f>F140*'Alloc. Factors and Property Tax'!$E$24*'Alloc. Factors and Property Tax'!$E$25*'Alloc. Factors and Property Tax'!$E$26/12</f>
        <v>1045.7506857402</v>
      </c>
      <c r="X140" s="17">
        <f t="shared" si="19"/>
        <v>128945.94878974021</v>
      </c>
      <c r="Z140" s="21">
        <f>'Alloc. Factors and Property Tax'!$C$18</f>
        <v>0.9604166666666667</v>
      </c>
      <c r="AB140" s="19">
        <f t="shared" si="17"/>
        <v>123841.83831681299</v>
      </c>
    </row>
    <row r="141" spans="2:28" x14ac:dyDescent="0.2">
      <c r="B141" s="23" t="s">
        <v>18</v>
      </c>
      <c r="D141" s="3">
        <v>2035</v>
      </c>
      <c r="F141" s="198">
        <f>'CCR Depr and ADFIT'!$C$2</f>
        <v>21087934.780000001</v>
      </c>
      <c r="H141" s="14">
        <f>'CCR Depr and ADFIT'!N139</f>
        <v>-15591684</v>
      </c>
      <c r="J141" s="14">
        <f>'CCR Depr and ADFIT'!U139</f>
        <v>591046</v>
      </c>
      <c r="L141" s="198">
        <f t="shared" si="18"/>
        <v>6087296.7800000012</v>
      </c>
      <c r="N141" s="20">
        <f>WACC!$S$16</f>
        <v>8.1600000000000006E-2</v>
      </c>
      <c r="P141" s="16">
        <f t="shared" si="15"/>
        <v>41393.618104000016</v>
      </c>
      <c r="R141" s="17">
        <v>0</v>
      </c>
      <c r="T141" s="17">
        <f>(ROUND(F141*'CCR Depr and ADFIT'!$N$6/12,0))</f>
        <v>85933</v>
      </c>
      <c r="V141" s="17">
        <f>F141*'Alloc. Factors and Property Tax'!$E$24*'Alloc. Factors and Property Tax'!$E$25*'Alloc. Factors and Property Tax'!$E$26/12</f>
        <v>1045.7506857402</v>
      </c>
      <c r="X141" s="17">
        <f t="shared" si="19"/>
        <v>128372.36878974023</v>
      </c>
      <c r="Z141" s="21">
        <f>'Alloc. Factors and Property Tax'!$C$18</f>
        <v>0.9604166666666667</v>
      </c>
      <c r="AB141" s="19">
        <f t="shared" si="17"/>
        <v>123290.96252514634</v>
      </c>
    </row>
    <row r="142" spans="2:28" x14ac:dyDescent="0.2">
      <c r="B142" s="23" t="s">
        <v>19</v>
      </c>
      <c r="D142" s="3">
        <v>2035</v>
      </c>
      <c r="F142" s="198">
        <f>'CCR Depr and ADFIT'!$C$2</f>
        <v>21087934.780000001</v>
      </c>
      <c r="H142" s="14">
        <f>'CCR Depr and ADFIT'!N140</f>
        <v>-15677617</v>
      </c>
      <c r="J142" s="14">
        <f>'CCR Depr and ADFIT'!U140</f>
        <v>592629</v>
      </c>
      <c r="L142" s="198">
        <f t="shared" si="18"/>
        <v>6002946.7800000012</v>
      </c>
      <c r="N142" s="20">
        <f>WACC!$S$16</f>
        <v>8.1600000000000006E-2</v>
      </c>
      <c r="P142" s="16">
        <f t="shared" si="15"/>
        <v>40820.038104000014</v>
      </c>
      <c r="R142" s="17">
        <v>0</v>
      </c>
      <c r="T142" s="17">
        <f>(ROUND(F142*'CCR Depr and ADFIT'!$N$6/12,0))</f>
        <v>85933</v>
      </c>
      <c r="V142" s="17">
        <f>F142*'Alloc. Factors and Property Tax'!$E$24*'Alloc. Factors and Property Tax'!$E$25*'Alloc. Factors and Property Tax'!$E$26/12</f>
        <v>1045.7506857402</v>
      </c>
      <c r="X142" s="17">
        <f t="shared" si="19"/>
        <v>127798.78878974021</v>
      </c>
      <c r="Z142" s="21">
        <f>'Alloc. Factors and Property Tax'!$C$18</f>
        <v>0.9604166666666667</v>
      </c>
      <c r="AB142" s="19">
        <f t="shared" si="17"/>
        <v>122740.08673347966</v>
      </c>
    </row>
    <row r="143" spans="2:28" x14ac:dyDescent="0.2">
      <c r="B143" s="23" t="s">
        <v>8</v>
      </c>
      <c r="D143" s="3">
        <v>2035</v>
      </c>
      <c r="F143" s="198">
        <f>'CCR Depr and ADFIT'!$C$2</f>
        <v>21087934.780000001</v>
      </c>
      <c r="H143" s="14">
        <f>'CCR Depr and ADFIT'!N141</f>
        <v>-15763550</v>
      </c>
      <c r="J143" s="14">
        <f>'CCR Depr and ADFIT'!U141</f>
        <v>594212</v>
      </c>
      <c r="L143" s="198">
        <f t="shared" si="18"/>
        <v>5918596.7800000012</v>
      </c>
      <c r="N143" s="20">
        <f>WACC!$S$16</f>
        <v>8.1600000000000006E-2</v>
      </c>
      <c r="P143" s="16">
        <f t="shared" si="15"/>
        <v>40246.458104000012</v>
      </c>
      <c r="R143" s="17">
        <v>0</v>
      </c>
      <c r="T143" s="17">
        <f>(ROUND(F143*'CCR Depr and ADFIT'!$N$6/12,0))</f>
        <v>85933</v>
      </c>
      <c r="V143" s="17">
        <f>F143*'Alloc. Factors and Property Tax'!$E$24*'Alloc. Factors and Property Tax'!$E$25*'Alloc. Factors and Property Tax'!$E$26/12</f>
        <v>1045.7506857402</v>
      </c>
      <c r="X143" s="17">
        <f t="shared" si="19"/>
        <v>127225.20878974022</v>
      </c>
      <c r="Z143" s="21">
        <f>'Alloc. Factors and Property Tax'!$C$18</f>
        <v>0.9604166666666667</v>
      </c>
      <c r="AB143" s="19">
        <f t="shared" si="17"/>
        <v>122189.21094181301</v>
      </c>
    </row>
    <row r="144" spans="2:28" x14ac:dyDescent="0.2">
      <c r="B144" s="23" t="s">
        <v>9</v>
      </c>
      <c r="D144" s="3">
        <v>2035</v>
      </c>
      <c r="F144" s="198">
        <f>'CCR Depr and ADFIT'!$C$2</f>
        <v>21087934.780000001</v>
      </c>
      <c r="H144" s="14">
        <f>'CCR Depr and ADFIT'!N142</f>
        <v>-15849483</v>
      </c>
      <c r="J144" s="14">
        <f>'CCR Depr and ADFIT'!U142</f>
        <v>595795</v>
      </c>
      <c r="L144" s="198">
        <f t="shared" si="18"/>
        <v>5834246.7800000012</v>
      </c>
      <c r="N144" s="20">
        <f>WACC!$S$16</f>
        <v>8.1600000000000006E-2</v>
      </c>
      <c r="P144" s="16">
        <f t="shared" si="15"/>
        <v>39672.87810400001</v>
      </c>
      <c r="R144" s="17">
        <v>0</v>
      </c>
      <c r="T144" s="17">
        <f>(ROUND(F144*'CCR Depr and ADFIT'!$N$6/12,0))</f>
        <v>85933</v>
      </c>
      <c r="V144" s="17">
        <f>F144*'Alloc. Factors and Property Tax'!$E$24*'Alloc. Factors and Property Tax'!$E$25*'Alloc. Factors and Property Tax'!$E$26/12</f>
        <v>1045.7506857402</v>
      </c>
      <c r="X144" s="17">
        <f t="shared" si="19"/>
        <v>126651.62878974021</v>
      </c>
      <c r="Z144" s="21">
        <f>'Alloc. Factors and Property Tax'!$C$18</f>
        <v>0.9604166666666667</v>
      </c>
      <c r="AB144" s="19">
        <f t="shared" si="17"/>
        <v>121638.33515014633</v>
      </c>
    </row>
    <row r="145" spans="2:28" x14ac:dyDescent="0.2">
      <c r="B145" s="23" t="s">
        <v>10</v>
      </c>
      <c r="D145" s="3">
        <v>2035</v>
      </c>
      <c r="F145" s="198">
        <f>'CCR Depr and ADFIT'!$C$2</f>
        <v>21087934.780000001</v>
      </c>
      <c r="H145" s="14">
        <f>'CCR Depr and ADFIT'!N143</f>
        <v>-15935416</v>
      </c>
      <c r="J145" s="14">
        <f>'CCR Depr and ADFIT'!U143</f>
        <v>597378</v>
      </c>
      <c r="L145" s="198">
        <f t="shared" si="18"/>
        <v>5749896.7800000012</v>
      </c>
      <c r="N145" s="20">
        <f>WACC!$S$16</f>
        <v>8.1600000000000006E-2</v>
      </c>
      <c r="P145" s="16">
        <f t="shared" si="15"/>
        <v>39099.298104000009</v>
      </c>
      <c r="R145" s="17">
        <v>0</v>
      </c>
      <c r="T145" s="17">
        <f>(ROUND(F145*'CCR Depr and ADFIT'!$N$6/12,0))</f>
        <v>85933</v>
      </c>
      <c r="V145" s="17">
        <f>F145*'Alloc. Factors and Property Tax'!$E$24*'Alloc. Factors and Property Tax'!$E$25*'Alloc. Factors and Property Tax'!$E$26/12</f>
        <v>1045.7506857402</v>
      </c>
      <c r="X145" s="17">
        <f t="shared" si="19"/>
        <v>126078.04878974022</v>
      </c>
      <c r="Z145" s="21">
        <f>'Alloc. Factors and Property Tax'!$C$18</f>
        <v>0.9604166666666667</v>
      </c>
      <c r="AB145" s="19">
        <f t="shared" si="17"/>
        <v>121087.45935847967</v>
      </c>
    </row>
    <row r="146" spans="2:28" x14ac:dyDescent="0.2">
      <c r="B146" s="23" t="s">
        <v>11</v>
      </c>
      <c r="D146" s="3">
        <v>2036</v>
      </c>
      <c r="F146" s="198">
        <f>'CCR Depr and ADFIT'!$C$2</f>
        <v>21087934.780000001</v>
      </c>
      <c r="H146" s="14">
        <f>'CCR Depr and ADFIT'!N144</f>
        <v>-16021349</v>
      </c>
      <c r="J146" s="14">
        <f>'CCR Depr and ADFIT'!U144</f>
        <v>598958</v>
      </c>
      <c r="L146" s="198">
        <f t="shared" si="18"/>
        <v>5665543.7800000012</v>
      </c>
      <c r="N146" s="20">
        <f>WACC!$S$16</f>
        <v>8.1600000000000006E-2</v>
      </c>
      <c r="P146" s="16">
        <f t="shared" si="15"/>
        <v>38525.697704000013</v>
      </c>
      <c r="R146" s="17">
        <v>0</v>
      </c>
      <c r="T146" s="17">
        <f>(ROUND(F146*'CCR Depr and ADFIT'!$N$6/12,0))</f>
        <v>85933</v>
      </c>
      <c r="V146" s="17">
        <f>F146*'Alloc. Factors and Property Tax'!$E$24*'Alloc. Factors and Property Tax'!$E$25*'Alloc. Factors and Property Tax'!$E$26/12</f>
        <v>1045.7506857402</v>
      </c>
      <c r="X146" s="17">
        <f t="shared" si="19"/>
        <v>125504.44838974022</v>
      </c>
      <c r="Z146" s="21">
        <f>'Alloc. Factors and Property Tax'!$C$18</f>
        <v>0.9604166666666667</v>
      </c>
      <c r="AB146" s="19">
        <f t="shared" si="17"/>
        <v>120536.56397431302</v>
      </c>
    </row>
    <row r="147" spans="2:28" x14ac:dyDescent="0.2">
      <c r="B147" s="23" t="s">
        <v>12</v>
      </c>
      <c r="D147" s="3">
        <v>2036</v>
      </c>
      <c r="F147" s="198">
        <f>'CCR Depr and ADFIT'!$C$2</f>
        <v>21087934.780000001</v>
      </c>
      <c r="H147" s="14">
        <f>'CCR Depr and ADFIT'!N145</f>
        <v>-16107282</v>
      </c>
      <c r="J147" s="14">
        <f>'CCR Depr and ADFIT'!U145</f>
        <v>600537</v>
      </c>
      <c r="L147" s="198">
        <f t="shared" si="18"/>
        <v>5581189.7800000012</v>
      </c>
      <c r="N147" s="20">
        <f>WACC!$S$16</f>
        <v>8.1600000000000006E-2</v>
      </c>
      <c r="P147" s="16">
        <f t="shared" si="15"/>
        <v>37952.090504000014</v>
      </c>
      <c r="R147" s="17">
        <v>0</v>
      </c>
      <c r="T147" s="17">
        <f>(ROUND(F147*'CCR Depr and ADFIT'!$N$6/12,0))</f>
        <v>85933</v>
      </c>
      <c r="V147" s="17">
        <f>F147*'Alloc. Factors and Property Tax'!$E$24*'Alloc. Factors and Property Tax'!$E$25*'Alloc. Factors and Property Tax'!$E$26/12</f>
        <v>1045.7506857402</v>
      </c>
      <c r="X147" s="17">
        <f t="shared" si="19"/>
        <v>124930.84118974023</v>
      </c>
      <c r="Z147" s="21">
        <f>'Alloc. Factors and Property Tax'!$C$18</f>
        <v>0.9604166666666667</v>
      </c>
      <c r="AB147" s="19">
        <f t="shared" si="17"/>
        <v>119985.66205931301</v>
      </c>
    </row>
    <row r="148" spans="2:28" x14ac:dyDescent="0.2">
      <c r="B148" s="23" t="s">
        <v>13</v>
      </c>
      <c r="D148" s="3">
        <v>2036</v>
      </c>
      <c r="F148" s="198">
        <f>'CCR Depr and ADFIT'!$C$2</f>
        <v>21087934.780000001</v>
      </c>
      <c r="H148" s="14">
        <f>'CCR Depr and ADFIT'!N146</f>
        <v>-16193215</v>
      </c>
      <c r="J148" s="14">
        <f>'CCR Depr and ADFIT'!U146</f>
        <v>602117</v>
      </c>
      <c r="L148" s="198">
        <f t="shared" si="18"/>
        <v>5496836.7800000012</v>
      </c>
      <c r="N148" s="20">
        <f>WACC!$S$16</f>
        <v>8.1600000000000006E-2</v>
      </c>
      <c r="P148" s="16">
        <f t="shared" si="15"/>
        <v>37378.490104000011</v>
      </c>
      <c r="R148" s="17">
        <v>0</v>
      </c>
      <c r="T148" s="17">
        <f>(ROUND(F148*'CCR Depr and ADFIT'!$N$6/12,0))</f>
        <v>85933</v>
      </c>
      <c r="V148" s="17">
        <f>F148*'Alloc. Factors and Property Tax'!$E$24*'Alloc. Factors and Property Tax'!$E$25*'Alloc. Factors and Property Tax'!$E$26/12</f>
        <v>1045.7506857402</v>
      </c>
      <c r="X148" s="17">
        <f t="shared" si="19"/>
        <v>124357.24078974022</v>
      </c>
      <c r="Z148" s="21">
        <f>'Alloc. Factors and Property Tax'!$C$18</f>
        <v>0.9604166666666667</v>
      </c>
      <c r="AB148" s="19">
        <f t="shared" si="17"/>
        <v>119434.76667514634</v>
      </c>
    </row>
    <row r="149" spans="2:28" x14ac:dyDescent="0.2">
      <c r="B149" s="23" t="s">
        <v>14</v>
      </c>
      <c r="D149" s="3">
        <v>2036</v>
      </c>
      <c r="F149" s="198">
        <f>'CCR Depr and ADFIT'!$C$2</f>
        <v>21087934.780000001</v>
      </c>
      <c r="H149" s="14">
        <f>'CCR Depr and ADFIT'!N147</f>
        <v>-16279148</v>
      </c>
      <c r="J149" s="14">
        <f>'CCR Depr and ADFIT'!U147</f>
        <v>603696</v>
      </c>
      <c r="L149" s="198">
        <f t="shared" si="18"/>
        <v>5412482.7800000012</v>
      </c>
      <c r="N149" s="20">
        <f>WACC!$S$16</f>
        <v>8.1600000000000006E-2</v>
      </c>
      <c r="P149" s="16">
        <f t="shared" si="15"/>
        <v>36804.882904000013</v>
      </c>
      <c r="R149" s="17">
        <v>0</v>
      </c>
      <c r="T149" s="17">
        <f>(ROUND(F149*'CCR Depr and ADFIT'!$N$6/12,0))</f>
        <v>85933</v>
      </c>
      <c r="V149" s="17">
        <f>F149*'Alloc. Factors and Property Tax'!$E$24*'Alloc. Factors and Property Tax'!$E$25*'Alloc. Factors and Property Tax'!$E$26/12</f>
        <v>1045.7506857402</v>
      </c>
      <c r="X149" s="17">
        <f t="shared" si="19"/>
        <v>123783.63358974022</v>
      </c>
      <c r="Z149" s="21">
        <f>'Alloc. Factors and Property Tax'!$C$18</f>
        <v>0.9604166666666667</v>
      </c>
      <c r="AB149" s="19">
        <f t="shared" si="17"/>
        <v>118883.86476014633</v>
      </c>
    </row>
    <row r="150" spans="2:28" x14ac:dyDescent="0.2">
      <c r="B150" s="23" t="s">
        <v>15</v>
      </c>
      <c r="D150" s="3">
        <v>2036</v>
      </c>
      <c r="F150" s="198">
        <f>'CCR Depr and ADFIT'!$C$2</f>
        <v>21087934.780000001</v>
      </c>
      <c r="H150" s="14">
        <f>'CCR Depr and ADFIT'!N148</f>
        <v>-16365081</v>
      </c>
      <c r="J150" s="14">
        <f>'CCR Depr and ADFIT'!U148</f>
        <v>605275</v>
      </c>
      <c r="L150" s="198">
        <f t="shared" si="18"/>
        <v>5328128.7800000012</v>
      </c>
      <c r="N150" s="20">
        <f>WACC!$S$16</f>
        <v>8.1600000000000006E-2</v>
      </c>
      <c r="P150" s="16">
        <f t="shared" si="15"/>
        <v>36231.275704000007</v>
      </c>
      <c r="R150" s="17">
        <v>0</v>
      </c>
      <c r="T150" s="17">
        <f>(ROUND(F150*'CCR Depr and ADFIT'!$N$6/12,0))</f>
        <v>85933</v>
      </c>
      <c r="V150" s="17">
        <f>F150*'Alloc. Factors and Property Tax'!$E$24*'Alloc. Factors and Property Tax'!$E$25*'Alloc. Factors and Property Tax'!$E$26/12</f>
        <v>1045.7506857402</v>
      </c>
      <c r="X150" s="17">
        <f t="shared" si="19"/>
        <v>123210.0263897402</v>
      </c>
      <c r="Z150" s="21">
        <f>'Alloc. Factors and Property Tax'!$C$18</f>
        <v>0.9604166666666667</v>
      </c>
      <c r="AB150" s="19">
        <f t="shared" si="17"/>
        <v>118332.96284514632</v>
      </c>
    </row>
    <row r="151" spans="2:28" x14ac:dyDescent="0.2">
      <c r="B151" s="23" t="s">
        <v>16</v>
      </c>
      <c r="D151" s="3">
        <v>2036</v>
      </c>
      <c r="F151" s="198">
        <f>'CCR Depr and ADFIT'!$C$2</f>
        <v>21087934.780000001</v>
      </c>
      <c r="H151" s="14">
        <f>'CCR Depr and ADFIT'!N149</f>
        <v>-16451014</v>
      </c>
      <c r="J151" s="14">
        <f>'CCR Depr and ADFIT'!U149</f>
        <v>606855</v>
      </c>
      <c r="L151" s="198">
        <f t="shared" si="18"/>
        <v>5243775.7800000012</v>
      </c>
      <c r="N151" s="20">
        <f>WACC!$S$16</f>
        <v>8.1600000000000006E-2</v>
      </c>
      <c r="P151" s="16">
        <f t="shared" si="15"/>
        <v>35657.675304000011</v>
      </c>
      <c r="R151" s="17">
        <v>0</v>
      </c>
      <c r="T151" s="17">
        <f>(ROUND(F151*'CCR Depr and ADFIT'!$N$6/12,0))</f>
        <v>85933</v>
      </c>
      <c r="V151" s="17">
        <f>F151*'Alloc. Factors and Property Tax'!$E$24*'Alloc. Factors and Property Tax'!$E$25*'Alloc. Factors and Property Tax'!$E$26/12</f>
        <v>1045.7506857402</v>
      </c>
      <c r="X151" s="17">
        <f t="shared" si="19"/>
        <v>122636.42598974021</v>
      </c>
      <c r="Z151" s="21">
        <f>'Alloc. Factors and Property Tax'!$C$18</f>
        <v>0.9604166666666667</v>
      </c>
      <c r="AB151" s="19">
        <f t="shared" si="17"/>
        <v>117782.06746097966</v>
      </c>
    </row>
    <row r="152" spans="2:28" x14ac:dyDescent="0.2">
      <c r="B152" s="23" t="s">
        <v>17</v>
      </c>
      <c r="D152" s="3">
        <v>2036</v>
      </c>
      <c r="F152" s="198">
        <f>'CCR Depr and ADFIT'!$C$2</f>
        <v>21087934.780000001</v>
      </c>
      <c r="H152" s="14">
        <f>'CCR Depr and ADFIT'!N150</f>
        <v>-16536947</v>
      </c>
      <c r="J152" s="14">
        <f>'CCR Depr and ADFIT'!U150</f>
        <v>608434</v>
      </c>
      <c r="L152" s="198">
        <f t="shared" si="18"/>
        <v>5159421.7800000012</v>
      </c>
      <c r="N152" s="20">
        <f>WACC!$S$16</f>
        <v>8.1600000000000006E-2</v>
      </c>
      <c r="P152" s="16">
        <f t="shared" si="15"/>
        <v>35084.068104000013</v>
      </c>
      <c r="R152" s="17">
        <v>0</v>
      </c>
      <c r="T152" s="17">
        <f>(ROUND(F152*'CCR Depr and ADFIT'!$N$6/12,0))</f>
        <v>85933</v>
      </c>
      <c r="V152" s="17">
        <f>F152*'Alloc. Factors and Property Tax'!$E$24*'Alloc. Factors and Property Tax'!$E$25*'Alloc. Factors and Property Tax'!$E$26/12</f>
        <v>1045.7506857402</v>
      </c>
      <c r="X152" s="17">
        <f t="shared" si="19"/>
        <v>122062.81878974021</v>
      </c>
      <c r="Z152" s="21">
        <f>'Alloc. Factors and Property Tax'!$C$18</f>
        <v>0.9604166666666667</v>
      </c>
      <c r="AB152" s="19">
        <f t="shared" si="17"/>
        <v>117231.16554597966</v>
      </c>
    </row>
    <row r="153" spans="2:28" x14ac:dyDescent="0.2">
      <c r="B153" s="23" t="s">
        <v>18</v>
      </c>
      <c r="D153" s="3">
        <v>2036</v>
      </c>
      <c r="F153" s="198">
        <f>'CCR Depr and ADFIT'!$C$2</f>
        <v>21087934.780000001</v>
      </c>
      <c r="H153" s="14">
        <f>'CCR Depr and ADFIT'!N151</f>
        <v>-16622880</v>
      </c>
      <c r="J153" s="14">
        <f>'CCR Depr and ADFIT'!U151</f>
        <v>610014</v>
      </c>
      <c r="L153" s="198">
        <f t="shared" si="18"/>
        <v>5075068.7800000012</v>
      </c>
      <c r="N153" s="20">
        <f>WACC!$S$16</f>
        <v>8.1600000000000006E-2</v>
      </c>
      <c r="P153" s="16">
        <f t="shared" si="15"/>
        <v>34510.46770400001</v>
      </c>
      <c r="R153" s="17">
        <v>0</v>
      </c>
      <c r="T153" s="17">
        <f>(ROUND(F153*'CCR Depr and ADFIT'!$N$6/12,0))</f>
        <v>85933</v>
      </c>
      <c r="V153" s="17">
        <f>F153*'Alloc. Factors and Property Tax'!$E$24*'Alloc. Factors and Property Tax'!$E$25*'Alloc. Factors and Property Tax'!$E$26/12</f>
        <v>1045.7506857402</v>
      </c>
      <c r="X153" s="17">
        <f t="shared" si="19"/>
        <v>121489.21838974021</v>
      </c>
      <c r="Z153" s="21">
        <f>'Alloc. Factors and Property Tax'!$C$18</f>
        <v>0.9604166666666667</v>
      </c>
      <c r="AB153" s="19">
        <f t="shared" si="17"/>
        <v>116680.27016181299</v>
      </c>
    </row>
    <row r="154" spans="2:28" x14ac:dyDescent="0.2">
      <c r="B154" s="23" t="s">
        <v>19</v>
      </c>
      <c r="D154" s="3">
        <v>2036</v>
      </c>
      <c r="F154" s="198">
        <f>'CCR Depr and ADFIT'!$C$2</f>
        <v>21087934.780000001</v>
      </c>
      <c r="H154" s="14">
        <f>'CCR Depr and ADFIT'!N152</f>
        <v>-16708813</v>
      </c>
      <c r="J154" s="14">
        <f>'CCR Depr and ADFIT'!U152</f>
        <v>611593</v>
      </c>
      <c r="L154" s="198">
        <f t="shared" ref="L154:L179" si="20">SUM(F154:K154)</f>
        <v>4990714.7800000012</v>
      </c>
      <c r="N154" s="20">
        <f>WACC!$S$16</f>
        <v>8.1600000000000006E-2</v>
      </c>
      <c r="P154" s="16">
        <f t="shared" ref="P154:P205" si="21">L154*N154/12</f>
        <v>33936.860504000011</v>
      </c>
      <c r="R154" s="17">
        <v>0</v>
      </c>
      <c r="T154" s="17">
        <f>(ROUND(F154*'CCR Depr and ADFIT'!$N$6/12,0))</f>
        <v>85933</v>
      </c>
      <c r="V154" s="17">
        <f>F154*'Alloc. Factors and Property Tax'!$E$24*'Alloc. Factors and Property Tax'!$E$25*'Alloc. Factors and Property Tax'!$E$26/12</f>
        <v>1045.7506857402</v>
      </c>
      <c r="X154" s="17">
        <f t="shared" ref="X154:X185" si="22">SUM(P154:W154)</f>
        <v>120915.61118974022</v>
      </c>
      <c r="Z154" s="21">
        <f>'Alloc. Factors and Property Tax'!$C$18</f>
        <v>0.9604166666666667</v>
      </c>
      <c r="AB154" s="19">
        <f t="shared" ref="AB154:AB205" si="23">X154*Z154</f>
        <v>116129.368246813</v>
      </c>
    </row>
    <row r="155" spans="2:28" x14ac:dyDescent="0.2">
      <c r="B155" s="23" t="s">
        <v>8</v>
      </c>
      <c r="D155" s="3">
        <v>2036</v>
      </c>
      <c r="F155" s="198">
        <f>'CCR Depr and ADFIT'!$C$2</f>
        <v>21087934.780000001</v>
      </c>
      <c r="H155" s="14">
        <f>'CCR Depr and ADFIT'!N153</f>
        <v>-16794746</v>
      </c>
      <c r="J155" s="14">
        <f>'CCR Depr and ADFIT'!U153</f>
        <v>613172</v>
      </c>
      <c r="L155" s="198">
        <f t="shared" si="20"/>
        <v>4906360.7800000012</v>
      </c>
      <c r="N155" s="20">
        <f>WACC!$S$16</f>
        <v>8.1600000000000006E-2</v>
      </c>
      <c r="P155" s="16">
        <f t="shared" si="21"/>
        <v>33363.253304000013</v>
      </c>
      <c r="R155" s="17">
        <v>0</v>
      </c>
      <c r="T155" s="17">
        <f>(ROUND(F155*'CCR Depr and ADFIT'!$N$6/12,0))</f>
        <v>85933</v>
      </c>
      <c r="V155" s="17">
        <f>F155*'Alloc. Factors and Property Tax'!$E$24*'Alloc. Factors and Property Tax'!$E$25*'Alloc. Factors and Property Tax'!$E$26/12</f>
        <v>1045.7506857402</v>
      </c>
      <c r="X155" s="17">
        <f t="shared" si="22"/>
        <v>120342.00398974022</v>
      </c>
      <c r="Z155" s="21">
        <f>'Alloc. Factors and Property Tax'!$C$18</f>
        <v>0.9604166666666667</v>
      </c>
      <c r="AB155" s="19">
        <f t="shared" si="23"/>
        <v>115578.466331813</v>
      </c>
    </row>
    <row r="156" spans="2:28" x14ac:dyDescent="0.2">
      <c r="B156" s="23" t="s">
        <v>9</v>
      </c>
      <c r="D156" s="3">
        <v>2036</v>
      </c>
      <c r="F156" s="198">
        <f>'CCR Depr and ADFIT'!$C$2</f>
        <v>21087934.780000001</v>
      </c>
      <c r="H156" s="14">
        <f>'CCR Depr and ADFIT'!N154</f>
        <v>-16880679</v>
      </c>
      <c r="J156" s="14">
        <f>'CCR Depr and ADFIT'!U154</f>
        <v>614752</v>
      </c>
      <c r="L156" s="198">
        <f t="shared" si="20"/>
        <v>4822007.7800000012</v>
      </c>
      <c r="N156" s="20">
        <f>WACC!$S$16</f>
        <v>8.1600000000000006E-2</v>
      </c>
      <c r="P156" s="16">
        <f t="shared" si="21"/>
        <v>32789.65290400001</v>
      </c>
      <c r="R156" s="17">
        <v>0</v>
      </c>
      <c r="T156" s="17">
        <f>(ROUND(F156*'CCR Depr and ADFIT'!$N$6/12,0))</f>
        <v>85933</v>
      </c>
      <c r="V156" s="17">
        <f>F156*'Alloc. Factors and Property Tax'!$E$24*'Alloc. Factors and Property Tax'!$E$25*'Alloc. Factors and Property Tax'!$E$26/12</f>
        <v>1045.7506857402</v>
      </c>
      <c r="X156" s="17">
        <f t="shared" si="22"/>
        <v>119768.40358974022</v>
      </c>
      <c r="Z156" s="21">
        <f>'Alloc. Factors and Property Tax'!$C$18</f>
        <v>0.9604166666666667</v>
      </c>
      <c r="AB156" s="19">
        <f t="shared" si="23"/>
        <v>115027.57094764634</v>
      </c>
    </row>
    <row r="157" spans="2:28" x14ac:dyDescent="0.2">
      <c r="B157" s="23" t="s">
        <v>10</v>
      </c>
      <c r="D157" s="3">
        <v>2036</v>
      </c>
      <c r="F157" s="198">
        <f>'CCR Depr and ADFIT'!$C$2</f>
        <v>21087934.780000001</v>
      </c>
      <c r="H157" s="14">
        <f>'CCR Depr and ADFIT'!N155</f>
        <v>-16966612</v>
      </c>
      <c r="J157" s="14">
        <f>'CCR Depr and ADFIT'!U155</f>
        <v>616331</v>
      </c>
      <c r="L157" s="198">
        <f t="shared" si="20"/>
        <v>4737653.7800000012</v>
      </c>
      <c r="N157" s="20">
        <f>WACC!$S$16</f>
        <v>8.1600000000000006E-2</v>
      </c>
      <c r="P157" s="16">
        <f t="shared" si="21"/>
        <v>32216.045704000007</v>
      </c>
      <c r="R157" s="17">
        <v>0</v>
      </c>
      <c r="T157" s="17">
        <f>(ROUND(F157*'CCR Depr and ADFIT'!$N$6/12,0))</f>
        <v>85933</v>
      </c>
      <c r="V157" s="17">
        <f>F157*'Alloc. Factors and Property Tax'!$E$24*'Alloc. Factors and Property Tax'!$E$25*'Alloc. Factors and Property Tax'!$E$26/12</f>
        <v>1045.7506857402</v>
      </c>
      <c r="X157" s="17">
        <f t="shared" si="22"/>
        <v>119194.79638974021</v>
      </c>
      <c r="Z157" s="21">
        <f>'Alloc. Factors and Property Tax'!$C$18</f>
        <v>0.9604166666666667</v>
      </c>
      <c r="AB157" s="19">
        <f t="shared" si="23"/>
        <v>114476.66903264633</v>
      </c>
    </row>
    <row r="158" spans="2:28" x14ac:dyDescent="0.2">
      <c r="B158" s="23" t="s">
        <v>11</v>
      </c>
      <c r="D158" s="3">
        <v>2037</v>
      </c>
      <c r="F158" s="198">
        <f>'CCR Depr and ADFIT'!$C$2</f>
        <v>21087934.780000001</v>
      </c>
      <c r="H158" s="14">
        <f>'CCR Depr and ADFIT'!N156</f>
        <v>-17052545</v>
      </c>
      <c r="J158" s="14">
        <f>'CCR Depr and ADFIT'!U156</f>
        <v>617914</v>
      </c>
      <c r="L158" s="198">
        <f t="shared" si="20"/>
        <v>4653303.7800000012</v>
      </c>
      <c r="N158" s="20">
        <f>WACC!$S$16</f>
        <v>8.1600000000000006E-2</v>
      </c>
      <c r="P158" s="16">
        <f t="shared" si="21"/>
        <v>31642.465704000013</v>
      </c>
      <c r="R158" s="17">
        <v>0</v>
      </c>
      <c r="T158" s="17">
        <f>(ROUND(F158*'CCR Depr and ADFIT'!$N$6/12,0))</f>
        <v>85933</v>
      </c>
      <c r="V158" s="17">
        <f>F158*'Alloc. Factors and Property Tax'!$E$24*'Alloc. Factors and Property Tax'!$E$25*'Alloc. Factors and Property Tax'!$E$26/12</f>
        <v>1045.7506857402</v>
      </c>
      <c r="X158" s="17">
        <f t="shared" si="22"/>
        <v>118621.21638974022</v>
      </c>
      <c r="Z158" s="21">
        <f>'Alloc. Factors and Property Tax'!$C$18</f>
        <v>0.9604166666666667</v>
      </c>
      <c r="AB158" s="19">
        <f t="shared" si="23"/>
        <v>113925.79324097968</v>
      </c>
    </row>
    <row r="159" spans="2:28" x14ac:dyDescent="0.2">
      <c r="B159" s="23" t="s">
        <v>12</v>
      </c>
      <c r="D159" s="3">
        <v>2037</v>
      </c>
      <c r="F159" s="198">
        <f>'CCR Depr and ADFIT'!$C$2</f>
        <v>21087934.780000001</v>
      </c>
      <c r="H159" s="14">
        <f>'CCR Depr and ADFIT'!N157</f>
        <v>-17138478</v>
      </c>
      <c r="J159" s="14">
        <f>'CCR Depr and ADFIT'!U157</f>
        <v>619498</v>
      </c>
      <c r="L159" s="198">
        <f t="shared" si="20"/>
        <v>4568954.7800000012</v>
      </c>
      <c r="N159" s="20">
        <f>WACC!$S$16</f>
        <v>8.1600000000000006E-2</v>
      </c>
      <c r="P159" s="16">
        <f t="shared" si="21"/>
        <v>31068.892504000007</v>
      </c>
      <c r="R159" s="17">
        <v>0</v>
      </c>
      <c r="T159" s="17">
        <f>(ROUND(F159*'CCR Depr and ADFIT'!$N$6/12,0))</f>
        <v>85933</v>
      </c>
      <c r="V159" s="17">
        <f>F159*'Alloc. Factors and Property Tax'!$E$24*'Alloc. Factors and Property Tax'!$E$25*'Alloc. Factors and Property Tax'!$E$26/12</f>
        <v>1045.7506857402</v>
      </c>
      <c r="X159" s="17">
        <f t="shared" si="22"/>
        <v>118047.64318974021</v>
      </c>
      <c r="Z159" s="21">
        <f>'Alloc. Factors and Property Tax'!$C$18</f>
        <v>0.9604166666666667</v>
      </c>
      <c r="AB159" s="19">
        <f t="shared" si="23"/>
        <v>113374.92398014633</v>
      </c>
    </row>
    <row r="160" spans="2:28" x14ac:dyDescent="0.2">
      <c r="B160" s="23" t="s">
        <v>13</v>
      </c>
      <c r="D160" s="3">
        <v>2037</v>
      </c>
      <c r="F160" s="198">
        <f>'CCR Depr and ADFIT'!$C$2</f>
        <v>21087934.780000001</v>
      </c>
      <c r="H160" s="14">
        <f>'CCR Depr and ADFIT'!N158</f>
        <v>-17224411</v>
      </c>
      <c r="J160" s="14">
        <f>'CCR Depr and ADFIT'!U158</f>
        <v>621081</v>
      </c>
      <c r="L160" s="198">
        <f t="shared" si="20"/>
        <v>4484604.7800000012</v>
      </c>
      <c r="N160" s="20">
        <f>WACC!$S$16</f>
        <v>8.1600000000000006E-2</v>
      </c>
      <c r="P160" s="16">
        <f t="shared" si="21"/>
        <v>30495.312504000012</v>
      </c>
      <c r="R160" s="17">
        <v>0</v>
      </c>
      <c r="T160" s="17">
        <f>(ROUND(F160*'CCR Depr and ADFIT'!$N$6/12,0))</f>
        <v>85933</v>
      </c>
      <c r="V160" s="17">
        <f>F160*'Alloc. Factors and Property Tax'!$E$24*'Alloc. Factors and Property Tax'!$E$25*'Alloc. Factors and Property Tax'!$E$26/12</f>
        <v>1045.7506857402</v>
      </c>
      <c r="X160" s="17">
        <f t="shared" si="22"/>
        <v>117474.06318974022</v>
      </c>
      <c r="Z160" s="21">
        <f>'Alloc. Factors and Property Tax'!$C$18</f>
        <v>0.9604166666666667</v>
      </c>
      <c r="AB160" s="19">
        <f t="shared" si="23"/>
        <v>112824.04818847968</v>
      </c>
    </row>
    <row r="161" spans="2:28" x14ac:dyDescent="0.2">
      <c r="B161" s="23" t="s">
        <v>14</v>
      </c>
      <c r="D161" s="3">
        <v>2037</v>
      </c>
      <c r="F161" s="198">
        <f>'CCR Depr and ADFIT'!$C$2</f>
        <v>21087934.780000001</v>
      </c>
      <c r="H161" s="14">
        <f>'CCR Depr and ADFIT'!N159</f>
        <v>-17310344</v>
      </c>
      <c r="J161" s="14">
        <f>'CCR Depr and ADFIT'!U159</f>
        <v>622664</v>
      </c>
      <c r="L161" s="198">
        <f t="shared" si="20"/>
        <v>4400254.7800000012</v>
      </c>
      <c r="N161" s="20">
        <f>WACC!$S$16</f>
        <v>8.1600000000000006E-2</v>
      </c>
      <c r="P161" s="16">
        <f t="shared" si="21"/>
        <v>29921.732504000011</v>
      </c>
      <c r="R161" s="17">
        <v>0</v>
      </c>
      <c r="T161" s="17">
        <f>(ROUND(F161*'CCR Depr and ADFIT'!$N$6/12,0))</f>
        <v>85933</v>
      </c>
      <c r="V161" s="17">
        <f>F161*'Alloc. Factors and Property Tax'!$E$24*'Alloc. Factors and Property Tax'!$E$25*'Alloc. Factors and Property Tax'!$E$26/12</f>
        <v>1045.7506857402</v>
      </c>
      <c r="X161" s="17">
        <f t="shared" si="22"/>
        <v>116900.48318974022</v>
      </c>
      <c r="Z161" s="21">
        <f>'Alloc. Factors and Property Tax'!$C$18</f>
        <v>0.9604166666666667</v>
      </c>
      <c r="AB161" s="19">
        <f t="shared" si="23"/>
        <v>112273.17239681301</v>
      </c>
    </row>
    <row r="162" spans="2:28" x14ac:dyDescent="0.2">
      <c r="B162" s="23" t="s">
        <v>15</v>
      </c>
      <c r="D162" s="3">
        <v>2037</v>
      </c>
      <c r="F162" s="198">
        <f>'CCR Depr and ADFIT'!$C$2</f>
        <v>21087934.780000001</v>
      </c>
      <c r="H162" s="14">
        <f>'CCR Depr and ADFIT'!N160</f>
        <v>-17396277</v>
      </c>
      <c r="J162" s="14">
        <f>'CCR Depr and ADFIT'!U160</f>
        <v>624247</v>
      </c>
      <c r="L162" s="198">
        <f t="shared" si="20"/>
        <v>4315904.7800000012</v>
      </c>
      <c r="N162" s="20">
        <f>WACC!$S$16</f>
        <v>8.1600000000000006E-2</v>
      </c>
      <c r="P162" s="16">
        <f t="shared" si="21"/>
        <v>29348.152504000012</v>
      </c>
      <c r="R162" s="17">
        <v>0</v>
      </c>
      <c r="T162" s="17">
        <f>(ROUND(F162*'CCR Depr and ADFIT'!$N$6/12,0))</f>
        <v>85933</v>
      </c>
      <c r="V162" s="17">
        <f>F162*'Alloc. Factors and Property Tax'!$E$24*'Alloc. Factors and Property Tax'!$E$25*'Alloc. Factors and Property Tax'!$E$26/12</f>
        <v>1045.7506857402</v>
      </c>
      <c r="X162" s="17">
        <f t="shared" si="22"/>
        <v>116326.90318974022</v>
      </c>
      <c r="Z162" s="21">
        <f>'Alloc. Factors and Property Tax'!$C$18</f>
        <v>0.9604166666666667</v>
      </c>
      <c r="AB162" s="19">
        <f t="shared" si="23"/>
        <v>111722.29660514633</v>
      </c>
    </row>
    <row r="163" spans="2:28" x14ac:dyDescent="0.2">
      <c r="B163" s="23" t="s">
        <v>16</v>
      </c>
      <c r="D163" s="3">
        <v>2037</v>
      </c>
      <c r="F163" s="198">
        <f>'CCR Depr and ADFIT'!$C$2</f>
        <v>21087934.780000001</v>
      </c>
      <c r="H163" s="14">
        <f>'CCR Depr and ADFIT'!N161</f>
        <v>-17482210</v>
      </c>
      <c r="J163" s="14">
        <f>'CCR Depr and ADFIT'!U161</f>
        <v>625830</v>
      </c>
      <c r="L163" s="198">
        <f t="shared" si="20"/>
        <v>4231554.7800000012</v>
      </c>
      <c r="N163" s="20">
        <f>WACC!$S$16</f>
        <v>8.1600000000000006E-2</v>
      </c>
      <c r="P163" s="16">
        <f t="shared" si="21"/>
        <v>28774.572504000011</v>
      </c>
      <c r="R163" s="17">
        <v>0</v>
      </c>
      <c r="T163" s="17">
        <f>(ROUND(F163*'CCR Depr and ADFIT'!$N$6/12,0))</f>
        <v>85933</v>
      </c>
      <c r="V163" s="17">
        <f>F163*'Alloc. Factors and Property Tax'!$E$24*'Alloc. Factors and Property Tax'!$E$25*'Alloc. Factors and Property Tax'!$E$26/12</f>
        <v>1045.7506857402</v>
      </c>
      <c r="X163" s="17">
        <f t="shared" si="22"/>
        <v>115753.32318974021</v>
      </c>
      <c r="Z163" s="21">
        <f>'Alloc. Factors and Property Tax'!$C$18</f>
        <v>0.9604166666666667</v>
      </c>
      <c r="AB163" s="19">
        <f t="shared" si="23"/>
        <v>111171.42081347966</v>
      </c>
    </row>
    <row r="164" spans="2:28" x14ac:dyDescent="0.2">
      <c r="B164" s="23" t="s">
        <v>17</v>
      </c>
      <c r="D164" s="3">
        <v>2037</v>
      </c>
      <c r="F164" s="198">
        <f>'CCR Depr and ADFIT'!$C$2</f>
        <v>21087934.780000001</v>
      </c>
      <c r="H164" s="14">
        <f>'CCR Depr and ADFIT'!N162</f>
        <v>-17568143</v>
      </c>
      <c r="J164" s="14">
        <f>'CCR Depr and ADFIT'!U162</f>
        <v>627413</v>
      </c>
      <c r="L164" s="198">
        <f t="shared" si="20"/>
        <v>4147204.7800000012</v>
      </c>
      <c r="N164" s="20">
        <f>WACC!$S$16</f>
        <v>8.1600000000000006E-2</v>
      </c>
      <c r="P164" s="16">
        <f t="shared" si="21"/>
        <v>28200.992504000009</v>
      </c>
      <c r="R164" s="17">
        <v>0</v>
      </c>
      <c r="T164" s="17">
        <f>(ROUND(F164*'CCR Depr and ADFIT'!$N$6/12,0))</f>
        <v>85933</v>
      </c>
      <c r="V164" s="17">
        <f>F164*'Alloc. Factors and Property Tax'!$E$24*'Alloc. Factors and Property Tax'!$E$25*'Alloc. Factors and Property Tax'!$E$26/12</f>
        <v>1045.7506857402</v>
      </c>
      <c r="X164" s="17">
        <f t="shared" si="22"/>
        <v>115179.74318974021</v>
      </c>
      <c r="Z164" s="21">
        <f>'Alloc. Factors and Property Tax'!$C$18</f>
        <v>0.9604166666666667</v>
      </c>
      <c r="AB164" s="19">
        <f t="shared" si="23"/>
        <v>110620.545021813</v>
      </c>
    </row>
    <row r="165" spans="2:28" x14ac:dyDescent="0.2">
      <c r="B165" s="23" t="s">
        <v>18</v>
      </c>
      <c r="D165" s="3">
        <v>2037</v>
      </c>
      <c r="F165" s="198">
        <f>'CCR Depr and ADFIT'!$C$2</f>
        <v>21087934.780000001</v>
      </c>
      <c r="H165" s="14">
        <f>'CCR Depr and ADFIT'!N163</f>
        <v>-17654076</v>
      </c>
      <c r="J165" s="14">
        <f>'CCR Depr and ADFIT'!U163</f>
        <v>628996</v>
      </c>
      <c r="L165" s="198">
        <f t="shared" si="20"/>
        <v>4062854.7800000012</v>
      </c>
      <c r="N165" s="20">
        <f>WACC!$S$16</f>
        <v>8.1600000000000006E-2</v>
      </c>
      <c r="P165" s="16">
        <f t="shared" si="21"/>
        <v>27627.412504000011</v>
      </c>
      <c r="R165" s="17">
        <v>0</v>
      </c>
      <c r="T165" s="17">
        <f>(ROUND(F165*'CCR Depr and ADFIT'!$N$6/12,0))</f>
        <v>85933</v>
      </c>
      <c r="V165" s="17">
        <f>F165*'Alloc. Factors and Property Tax'!$E$24*'Alloc. Factors and Property Tax'!$E$25*'Alloc. Factors and Property Tax'!$E$26/12</f>
        <v>1045.7506857402</v>
      </c>
      <c r="X165" s="17">
        <f t="shared" si="22"/>
        <v>114606.16318974021</v>
      </c>
      <c r="Z165" s="21">
        <f>'Alloc. Factors and Property Tax'!$C$18</f>
        <v>0.9604166666666667</v>
      </c>
      <c r="AB165" s="19">
        <f t="shared" si="23"/>
        <v>110069.66923014633</v>
      </c>
    </row>
    <row r="166" spans="2:28" x14ac:dyDescent="0.2">
      <c r="B166" s="23" t="s">
        <v>19</v>
      </c>
      <c r="D166" s="3">
        <v>2037</v>
      </c>
      <c r="F166" s="198">
        <f>'CCR Depr and ADFIT'!$C$2</f>
        <v>21087934.780000001</v>
      </c>
      <c r="H166" s="14">
        <f>'CCR Depr and ADFIT'!N164</f>
        <v>-17740009</v>
      </c>
      <c r="J166" s="14">
        <f>'CCR Depr and ADFIT'!U164</f>
        <v>630579</v>
      </c>
      <c r="L166" s="198">
        <f t="shared" si="20"/>
        <v>3978504.7800000012</v>
      </c>
      <c r="N166" s="20">
        <f>WACC!$S$16</f>
        <v>8.1600000000000006E-2</v>
      </c>
      <c r="P166" s="16">
        <f t="shared" si="21"/>
        <v>27053.832504000009</v>
      </c>
      <c r="R166" s="17">
        <v>0</v>
      </c>
      <c r="T166" s="17">
        <f>(ROUND(F166*'CCR Depr and ADFIT'!$N$6/12,0))</f>
        <v>85933</v>
      </c>
      <c r="V166" s="17">
        <f>F166*'Alloc. Factors and Property Tax'!$E$24*'Alloc. Factors and Property Tax'!$E$25*'Alloc. Factors and Property Tax'!$E$26/12</f>
        <v>1045.7506857402</v>
      </c>
      <c r="X166" s="17">
        <f t="shared" si="22"/>
        <v>114032.58318974021</v>
      </c>
      <c r="Z166" s="21">
        <f>'Alloc. Factors and Property Tax'!$C$18</f>
        <v>0.9604166666666667</v>
      </c>
      <c r="AB166" s="19">
        <f t="shared" si="23"/>
        <v>109518.79343847967</v>
      </c>
    </row>
    <row r="167" spans="2:28" x14ac:dyDescent="0.2">
      <c r="B167" s="23" t="s">
        <v>8</v>
      </c>
      <c r="D167" s="3">
        <v>2037</v>
      </c>
      <c r="F167" s="198">
        <f>'CCR Depr and ADFIT'!$C$2</f>
        <v>21087934.780000001</v>
      </c>
      <c r="H167" s="14">
        <f>'CCR Depr and ADFIT'!N165</f>
        <v>-17825942</v>
      </c>
      <c r="J167" s="14">
        <f>'CCR Depr and ADFIT'!U165</f>
        <v>632162</v>
      </c>
      <c r="L167" s="198">
        <f t="shared" si="20"/>
        <v>3894154.7800000012</v>
      </c>
      <c r="N167" s="20">
        <f>WACC!$S$16</f>
        <v>8.1600000000000006E-2</v>
      </c>
      <c r="P167" s="16">
        <f t="shared" si="21"/>
        <v>26480.252504000007</v>
      </c>
      <c r="R167" s="17">
        <v>0</v>
      </c>
      <c r="T167" s="17">
        <f>(ROUND(F167*'CCR Depr and ADFIT'!$N$6/12,0))</f>
        <v>85933</v>
      </c>
      <c r="V167" s="17">
        <f>F167*'Alloc. Factors and Property Tax'!$E$24*'Alloc. Factors and Property Tax'!$E$25*'Alloc. Factors and Property Tax'!$E$26/12</f>
        <v>1045.7506857402</v>
      </c>
      <c r="X167" s="17">
        <f t="shared" si="22"/>
        <v>113459.00318974021</v>
      </c>
      <c r="Z167" s="21">
        <f>'Alloc. Factors and Property Tax'!$C$18</f>
        <v>0.9604166666666667</v>
      </c>
      <c r="AB167" s="19">
        <f t="shared" si="23"/>
        <v>108967.91764681299</v>
      </c>
    </row>
    <row r="168" spans="2:28" x14ac:dyDescent="0.2">
      <c r="B168" s="23" t="s">
        <v>9</v>
      </c>
      <c r="D168" s="3">
        <v>2037</v>
      </c>
      <c r="F168" s="198">
        <f>'CCR Depr and ADFIT'!$C$2</f>
        <v>21087934.780000001</v>
      </c>
      <c r="H168" s="14">
        <f>'CCR Depr and ADFIT'!N166</f>
        <v>-17911875</v>
      </c>
      <c r="J168" s="14">
        <f>'CCR Depr and ADFIT'!U166</f>
        <v>633745</v>
      </c>
      <c r="L168" s="198">
        <f t="shared" si="20"/>
        <v>3809804.7800000012</v>
      </c>
      <c r="N168" s="20">
        <f>WACC!$S$16</f>
        <v>8.1600000000000006E-2</v>
      </c>
      <c r="P168" s="16">
        <f t="shared" si="21"/>
        <v>25906.672504000013</v>
      </c>
      <c r="R168" s="17">
        <v>0</v>
      </c>
      <c r="T168" s="17">
        <f>(ROUND(F168*'CCR Depr and ADFIT'!$N$6/12,0))</f>
        <v>85933</v>
      </c>
      <c r="V168" s="17">
        <f>F168*'Alloc. Factors and Property Tax'!$E$24*'Alloc. Factors and Property Tax'!$E$25*'Alloc. Factors and Property Tax'!$E$26/12</f>
        <v>1045.7506857402</v>
      </c>
      <c r="X168" s="17">
        <f t="shared" si="22"/>
        <v>112885.42318974022</v>
      </c>
      <c r="Z168" s="21">
        <f>'Alloc. Factors and Property Tax'!$C$18</f>
        <v>0.9604166666666667</v>
      </c>
      <c r="AB168" s="19">
        <f t="shared" si="23"/>
        <v>108417.04185514634</v>
      </c>
    </row>
    <row r="169" spans="2:28" x14ac:dyDescent="0.2">
      <c r="B169" s="23" t="s">
        <v>10</v>
      </c>
      <c r="D169" s="3">
        <v>2037</v>
      </c>
      <c r="F169" s="198">
        <f>'CCR Depr and ADFIT'!$C$2</f>
        <v>21087934.780000001</v>
      </c>
      <c r="H169" s="14">
        <f>'CCR Depr and ADFIT'!N167</f>
        <v>-17997808</v>
      </c>
      <c r="J169" s="14">
        <f>'CCR Depr and ADFIT'!U167</f>
        <v>635329</v>
      </c>
      <c r="L169" s="198">
        <f t="shared" si="20"/>
        <v>3725455.7800000012</v>
      </c>
      <c r="N169" s="20">
        <f>WACC!$S$16</f>
        <v>8.1600000000000006E-2</v>
      </c>
      <c r="P169" s="16">
        <f t="shared" si="21"/>
        <v>25333.099304000007</v>
      </c>
      <c r="R169" s="17">
        <v>0</v>
      </c>
      <c r="T169" s="17">
        <f>(ROUND(F169*'CCR Depr and ADFIT'!$N$6/12,0))</f>
        <v>85933</v>
      </c>
      <c r="V169" s="17">
        <f>F169*'Alloc. Factors and Property Tax'!$E$24*'Alloc. Factors and Property Tax'!$E$25*'Alloc. Factors and Property Tax'!$E$26/12</f>
        <v>1045.7506857402</v>
      </c>
      <c r="X169" s="17">
        <f t="shared" si="22"/>
        <v>112311.84998974021</v>
      </c>
      <c r="Z169" s="21">
        <f>'Alloc. Factors and Property Tax'!$C$18</f>
        <v>0.9604166666666667</v>
      </c>
      <c r="AB169" s="19">
        <f t="shared" si="23"/>
        <v>107866.172594313</v>
      </c>
    </row>
    <row r="170" spans="2:28" x14ac:dyDescent="0.2">
      <c r="B170" s="23" t="s">
        <v>11</v>
      </c>
      <c r="D170" s="3">
        <v>2038</v>
      </c>
      <c r="F170" s="198">
        <f>'CCR Depr and ADFIT'!$C$2</f>
        <v>21087934.780000001</v>
      </c>
      <c r="H170" s="14">
        <f>'CCR Depr and ADFIT'!N168</f>
        <v>-18083741</v>
      </c>
      <c r="J170" s="14">
        <f>'CCR Depr and ADFIT'!U168</f>
        <v>636908</v>
      </c>
      <c r="L170" s="198">
        <f t="shared" si="20"/>
        <v>3641101.7800000012</v>
      </c>
      <c r="N170" s="20">
        <f>WACC!$S$16</f>
        <v>8.1600000000000006E-2</v>
      </c>
      <c r="P170" s="16">
        <f t="shared" si="21"/>
        <v>24759.492104000008</v>
      </c>
      <c r="R170" s="17">
        <v>0</v>
      </c>
      <c r="T170" s="17">
        <f>(ROUND(F170*'CCR Depr and ADFIT'!$N$6/12,0))</f>
        <v>85933</v>
      </c>
      <c r="V170" s="17">
        <f>F170*'Alloc. Factors and Property Tax'!$E$24*'Alloc. Factors and Property Tax'!$E$25*'Alloc. Factors and Property Tax'!$E$26/12</f>
        <v>1045.7506857402</v>
      </c>
      <c r="X170" s="17">
        <f t="shared" si="22"/>
        <v>111738.24278974021</v>
      </c>
      <c r="Z170" s="21">
        <f>'Alloc. Factors and Property Tax'!$C$18</f>
        <v>0.9604166666666667</v>
      </c>
      <c r="AB170" s="19">
        <f t="shared" si="23"/>
        <v>107315.27067931299</v>
      </c>
    </row>
    <row r="171" spans="2:28" x14ac:dyDescent="0.2">
      <c r="B171" s="23" t="s">
        <v>12</v>
      </c>
      <c r="D171" s="3">
        <v>2038</v>
      </c>
      <c r="F171" s="198">
        <f>'CCR Depr and ADFIT'!$C$2</f>
        <v>21087934.780000001</v>
      </c>
      <c r="H171" s="14">
        <f>'CCR Depr and ADFIT'!N169</f>
        <v>-18169674</v>
      </c>
      <c r="J171" s="14">
        <f>'CCR Depr and ADFIT'!U169</f>
        <v>638487</v>
      </c>
      <c r="L171" s="198">
        <f t="shared" si="20"/>
        <v>3556747.7800000012</v>
      </c>
      <c r="N171" s="20">
        <f>WACC!$S$16</f>
        <v>8.1600000000000006E-2</v>
      </c>
      <c r="P171" s="16">
        <f t="shared" si="21"/>
        <v>24185.88490400001</v>
      </c>
      <c r="R171" s="17">
        <v>0</v>
      </c>
      <c r="T171" s="17">
        <f>(ROUND(F171*'CCR Depr and ADFIT'!$N$6/12,0))</f>
        <v>85933</v>
      </c>
      <c r="V171" s="17">
        <f>F171*'Alloc. Factors and Property Tax'!$E$24*'Alloc. Factors and Property Tax'!$E$25*'Alloc. Factors and Property Tax'!$E$26/12</f>
        <v>1045.7506857402</v>
      </c>
      <c r="X171" s="17">
        <f t="shared" si="22"/>
        <v>111164.63558974021</v>
      </c>
      <c r="Z171" s="21">
        <f>'Alloc. Factors and Property Tax'!$C$18</f>
        <v>0.9604166666666667</v>
      </c>
      <c r="AB171" s="19">
        <f t="shared" si="23"/>
        <v>106764.368764313</v>
      </c>
    </row>
    <row r="172" spans="2:28" x14ac:dyDescent="0.2">
      <c r="B172" s="23" t="s">
        <v>13</v>
      </c>
      <c r="D172" s="3">
        <v>2038</v>
      </c>
      <c r="F172" s="198">
        <f>'CCR Depr and ADFIT'!$C$2</f>
        <v>21087934.780000001</v>
      </c>
      <c r="H172" s="14">
        <f>'CCR Depr and ADFIT'!N170</f>
        <v>-18255607</v>
      </c>
      <c r="J172" s="14">
        <f>'CCR Depr and ADFIT'!U170</f>
        <v>640067</v>
      </c>
      <c r="L172" s="198">
        <f t="shared" si="20"/>
        <v>3472394.7800000012</v>
      </c>
      <c r="N172" s="20">
        <f>WACC!$S$16</f>
        <v>8.1600000000000006E-2</v>
      </c>
      <c r="P172" s="16">
        <f t="shared" si="21"/>
        <v>23612.28450400001</v>
      </c>
      <c r="R172" s="17">
        <v>0</v>
      </c>
      <c r="T172" s="17">
        <f>(ROUND(F172*'CCR Depr and ADFIT'!$N$6/12,0))</f>
        <v>85933</v>
      </c>
      <c r="V172" s="17">
        <f>F172*'Alloc. Factors and Property Tax'!$E$24*'Alloc. Factors and Property Tax'!$E$25*'Alloc. Factors and Property Tax'!$E$26/12</f>
        <v>1045.7506857402</v>
      </c>
      <c r="X172" s="17">
        <f t="shared" si="22"/>
        <v>110591.03518974021</v>
      </c>
      <c r="Z172" s="21">
        <f>'Alloc. Factors and Property Tax'!$C$18</f>
        <v>0.9604166666666667</v>
      </c>
      <c r="AB172" s="19">
        <f t="shared" si="23"/>
        <v>106213.47338014633</v>
      </c>
    </row>
    <row r="173" spans="2:28" x14ac:dyDescent="0.2">
      <c r="B173" s="23" t="s">
        <v>14</v>
      </c>
      <c r="D173" s="3">
        <v>2038</v>
      </c>
      <c r="F173" s="198">
        <f>'CCR Depr and ADFIT'!$C$2</f>
        <v>21087934.780000001</v>
      </c>
      <c r="H173" s="14">
        <f>'CCR Depr and ADFIT'!N171</f>
        <v>-18341540</v>
      </c>
      <c r="J173" s="14">
        <f>'CCR Depr and ADFIT'!U171</f>
        <v>641646</v>
      </c>
      <c r="L173" s="198">
        <f t="shared" si="20"/>
        <v>3388040.7800000012</v>
      </c>
      <c r="N173" s="20">
        <f>WACC!$S$16</f>
        <v>8.1600000000000006E-2</v>
      </c>
      <c r="P173" s="16">
        <f t="shared" si="21"/>
        <v>23038.677304000012</v>
      </c>
      <c r="R173" s="17">
        <v>0</v>
      </c>
      <c r="T173" s="17">
        <f>(ROUND(F173*'CCR Depr and ADFIT'!$N$6/12,0))</f>
        <v>85933</v>
      </c>
      <c r="V173" s="17">
        <f>F173*'Alloc. Factors and Property Tax'!$E$24*'Alloc. Factors and Property Tax'!$E$25*'Alloc. Factors and Property Tax'!$E$26/12</f>
        <v>1045.7506857402</v>
      </c>
      <c r="X173" s="17">
        <f t="shared" si="22"/>
        <v>110017.42798974022</v>
      </c>
      <c r="Z173" s="21">
        <f>'Alloc. Factors and Property Tax'!$C$18</f>
        <v>0.9604166666666667</v>
      </c>
      <c r="AB173" s="19">
        <f t="shared" si="23"/>
        <v>105662.57146514633</v>
      </c>
    </row>
    <row r="174" spans="2:28" x14ac:dyDescent="0.2">
      <c r="B174" s="23" t="s">
        <v>15</v>
      </c>
      <c r="D174" s="3">
        <v>2038</v>
      </c>
      <c r="F174" s="198">
        <f>'CCR Depr and ADFIT'!$C$2</f>
        <v>21087934.780000001</v>
      </c>
      <c r="H174" s="14">
        <f>'CCR Depr and ADFIT'!N172</f>
        <v>-18427473</v>
      </c>
      <c r="J174" s="14">
        <f>'CCR Depr and ADFIT'!U172</f>
        <v>643226</v>
      </c>
      <c r="L174" s="198">
        <f t="shared" si="20"/>
        <v>3303687.7800000012</v>
      </c>
      <c r="N174" s="20">
        <f>WACC!$S$16</f>
        <v>8.1600000000000006E-2</v>
      </c>
      <c r="P174" s="16">
        <f t="shared" si="21"/>
        <v>22465.076904000012</v>
      </c>
      <c r="R174" s="17">
        <v>0</v>
      </c>
      <c r="T174" s="17">
        <f>(ROUND(F174*'CCR Depr and ADFIT'!$N$6/12,0))</f>
        <v>85933</v>
      </c>
      <c r="V174" s="17">
        <f>F174*'Alloc. Factors and Property Tax'!$E$24*'Alloc. Factors and Property Tax'!$E$25*'Alloc. Factors and Property Tax'!$E$26/12</f>
        <v>1045.7506857402</v>
      </c>
      <c r="X174" s="17">
        <f t="shared" si="22"/>
        <v>109443.82758974022</v>
      </c>
      <c r="Z174" s="21">
        <f>'Alloc. Factors and Property Tax'!$C$18</f>
        <v>0.9604166666666667</v>
      </c>
      <c r="AB174" s="19">
        <f t="shared" si="23"/>
        <v>105111.67608097967</v>
      </c>
    </row>
    <row r="175" spans="2:28" x14ac:dyDescent="0.2">
      <c r="B175" s="23" t="s">
        <v>16</v>
      </c>
      <c r="D175" s="3">
        <v>2038</v>
      </c>
      <c r="F175" s="198">
        <f>'CCR Depr and ADFIT'!$C$2</f>
        <v>21087934.780000001</v>
      </c>
      <c r="H175" s="14">
        <f>'CCR Depr and ADFIT'!N173</f>
        <v>-18513406</v>
      </c>
      <c r="J175" s="14">
        <f>'CCR Depr and ADFIT'!U173</f>
        <v>644805</v>
      </c>
      <c r="L175" s="198">
        <f t="shared" si="20"/>
        <v>3219333.7800000012</v>
      </c>
      <c r="N175" s="20">
        <f>WACC!$S$16</f>
        <v>8.1600000000000006E-2</v>
      </c>
      <c r="P175" s="16">
        <f t="shared" si="21"/>
        <v>21891.469704000006</v>
      </c>
      <c r="R175" s="17">
        <v>0</v>
      </c>
      <c r="T175" s="17">
        <f>(ROUND(F175*'CCR Depr and ADFIT'!$N$6/12,0))</f>
        <v>85933</v>
      </c>
      <c r="V175" s="17">
        <f>F175*'Alloc. Factors and Property Tax'!$E$24*'Alloc. Factors and Property Tax'!$E$25*'Alloc. Factors and Property Tax'!$E$26/12</f>
        <v>1045.7506857402</v>
      </c>
      <c r="X175" s="17">
        <f t="shared" si="22"/>
        <v>108870.22038974021</v>
      </c>
      <c r="Z175" s="21">
        <f>'Alloc. Factors and Property Tax'!$C$18</f>
        <v>0.9604166666666667</v>
      </c>
      <c r="AB175" s="19">
        <f t="shared" si="23"/>
        <v>104560.77416597966</v>
      </c>
    </row>
    <row r="176" spans="2:28" x14ac:dyDescent="0.2">
      <c r="B176" s="23" t="s">
        <v>17</v>
      </c>
      <c r="D176" s="3">
        <v>2038</v>
      </c>
      <c r="F176" s="198">
        <f>'CCR Depr and ADFIT'!$C$2</f>
        <v>21087934.780000001</v>
      </c>
      <c r="H176" s="14">
        <f>'CCR Depr and ADFIT'!N174</f>
        <v>-18599339</v>
      </c>
      <c r="J176" s="14">
        <f>'CCR Depr and ADFIT'!U174</f>
        <v>646385</v>
      </c>
      <c r="L176" s="198">
        <f t="shared" si="20"/>
        <v>3134980.7800000012</v>
      </c>
      <c r="N176" s="20">
        <f>WACC!$S$16</f>
        <v>8.1600000000000006E-2</v>
      </c>
      <c r="P176" s="16">
        <f t="shared" si="21"/>
        <v>21317.869304000011</v>
      </c>
      <c r="R176" s="17">
        <v>0</v>
      </c>
      <c r="T176" s="17">
        <f>(ROUND(F176*'CCR Depr and ADFIT'!$N$6/12,0))</f>
        <v>85933</v>
      </c>
      <c r="V176" s="17">
        <f>F176*'Alloc. Factors and Property Tax'!$E$24*'Alloc. Factors and Property Tax'!$E$25*'Alloc. Factors and Property Tax'!$E$26/12</f>
        <v>1045.7506857402</v>
      </c>
      <c r="X176" s="17">
        <f t="shared" si="22"/>
        <v>108296.61998974021</v>
      </c>
      <c r="Z176" s="21">
        <f>'Alloc. Factors and Property Tax'!$C$18</f>
        <v>0.9604166666666667</v>
      </c>
      <c r="AB176" s="19">
        <f t="shared" si="23"/>
        <v>104009.87878181299</v>
      </c>
    </row>
    <row r="177" spans="2:28" x14ac:dyDescent="0.2">
      <c r="B177" s="23" t="s">
        <v>18</v>
      </c>
      <c r="D177" s="3">
        <v>2038</v>
      </c>
      <c r="F177" s="198">
        <f>'CCR Depr and ADFIT'!$C$2</f>
        <v>21087934.780000001</v>
      </c>
      <c r="H177" s="14">
        <f>'CCR Depr and ADFIT'!N175</f>
        <v>-18685272</v>
      </c>
      <c r="J177" s="14">
        <f>'CCR Depr and ADFIT'!U175</f>
        <v>647964</v>
      </c>
      <c r="L177" s="198">
        <f t="shared" si="20"/>
        <v>3050626.7800000012</v>
      </c>
      <c r="N177" s="20">
        <f>WACC!$S$16</f>
        <v>8.1600000000000006E-2</v>
      </c>
      <c r="P177" s="16">
        <f t="shared" si="21"/>
        <v>20744.262104000009</v>
      </c>
      <c r="R177" s="17">
        <v>0</v>
      </c>
      <c r="T177" s="17">
        <f>(ROUND(F177*'CCR Depr and ADFIT'!$N$6/12,0))</f>
        <v>85933</v>
      </c>
      <c r="V177" s="17">
        <f>F177*'Alloc. Factors and Property Tax'!$E$24*'Alloc. Factors and Property Tax'!$E$25*'Alloc. Factors and Property Tax'!$E$26/12</f>
        <v>1045.7506857402</v>
      </c>
      <c r="X177" s="17">
        <f t="shared" si="22"/>
        <v>107723.01278974021</v>
      </c>
      <c r="Z177" s="21">
        <f>'Alloc. Factors and Property Tax'!$C$18</f>
        <v>0.9604166666666667</v>
      </c>
      <c r="AB177" s="19">
        <f t="shared" si="23"/>
        <v>103458.976866813</v>
      </c>
    </row>
    <row r="178" spans="2:28" x14ac:dyDescent="0.2">
      <c r="B178" s="23" t="s">
        <v>19</v>
      </c>
      <c r="D178" s="3">
        <v>2038</v>
      </c>
      <c r="F178" s="198">
        <f>'CCR Depr and ADFIT'!$C$2</f>
        <v>21087934.780000001</v>
      </c>
      <c r="H178" s="14">
        <f>'CCR Depr and ADFIT'!N176</f>
        <v>-18771205</v>
      </c>
      <c r="J178" s="14">
        <f>'CCR Depr and ADFIT'!U176</f>
        <v>649543</v>
      </c>
      <c r="L178" s="198">
        <f t="shared" si="20"/>
        <v>2966272.7800000012</v>
      </c>
      <c r="N178" s="20">
        <f>WACC!$S$16</f>
        <v>8.1600000000000006E-2</v>
      </c>
      <c r="P178" s="16">
        <f t="shared" si="21"/>
        <v>20170.65490400001</v>
      </c>
      <c r="R178" s="17">
        <v>0</v>
      </c>
      <c r="T178" s="17">
        <f>(ROUND(F178*'CCR Depr and ADFIT'!$N$6/12,0))</f>
        <v>85933</v>
      </c>
      <c r="V178" s="17">
        <f>F178*'Alloc. Factors and Property Tax'!$E$24*'Alloc. Factors and Property Tax'!$E$25*'Alloc. Factors and Property Tax'!$E$26/12</f>
        <v>1045.7506857402</v>
      </c>
      <c r="X178" s="17">
        <f t="shared" si="22"/>
        <v>107149.40558974021</v>
      </c>
      <c r="Z178" s="21">
        <f>'Alloc. Factors and Property Tax'!$C$18</f>
        <v>0.9604166666666667</v>
      </c>
      <c r="AB178" s="19">
        <f t="shared" si="23"/>
        <v>102908.074951813</v>
      </c>
    </row>
    <row r="179" spans="2:28" x14ac:dyDescent="0.2">
      <c r="B179" s="23" t="s">
        <v>8</v>
      </c>
      <c r="D179" s="3">
        <v>2038</v>
      </c>
      <c r="F179" s="198">
        <f>'CCR Depr and ADFIT'!$C$2</f>
        <v>21087934.780000001</v>
      </c>
      <c r="H179" s="14">
        <f>'CCR Depr and ADFIT'!N177</f>
        <v>-18857138</v>
      </c>
      <c r="J179" s="14">
        <f>'CCR Depr and ADFIT'!U177</f>
        <v>651123</v>
      </c>
      <c r="L179" s="198">
        <f t="shared" si="20"/>
        <v>2881919.7800000012</v>
      </c>
      <c r="N179" s="20">
        <f>WACC!$S$16</f>
        <v>8.1600000000000006E-2</v>
      </c>
      <c r="P179" s="16">
        <f t="shared" si="21"/>
        <v>19597.054504000011</v>
      </c>
      <c r="R179" s="17">
        <v>0</v>
      </c>
      <c r="T179" s="17">
        <f>(ROUND(F179*'CCR Depr and ADFIT'!$N$6/12,0))</f>
        <v>85933</v>
      </c>
      <c r="V179" s="17">
        <f>F179*'Alloc. Factors and Property Tax'!$E$24*'Alloc. Factors and Property Tax'!$E$25*'Alloc. Factors and Property Tax'!$E$26/12</f>
        <v>1045.7506857402</v>
      </c>
      <c r="X179" s="17">
        <f t="shared" si="22"/>
        <v>106575.80518974022</v>
      </c>
      <c r="Z179" s="21">
        <f>'Alloc. Factors and Property Tax'!$C$18</f>
        <v>0.9604166666666667</v>
      </c>
      <c r="AB179" s="19">
        <f t="shared" si="23"/>
        <v>102357.17956764634</v>
      </c>
    </row>
    <row r="180" spans="2:28" x14ac:dyDescent="0.2">
      <c r="B180" s="23" t="s">
        <v>9</v>
      </c>
      <c r="D180" s="3">
        <v>2038</v>
      </c>
      <c r="F180" s="198">
        <f>'CCR Depr and ADFIT'!$C$2</f>
        <v>21087934.780000001</v>
      </c>
      <c r="H180" s="14">
        <f>'CCR Depr and ADFIT'!N178</f>
        <v>-18943071</v>
      </c>
      <c r="J180" s="14">
        <f>'CCR Depr and ADFIT'!U178</f>
        <v>652702</v>
      </c>
      <c r="L180" s="198">
        <f t="shared" ref="L180:L205" si="24">SUM(F180:K180)</f>
        <v>2797565.7800000012</v>
      </c>
      <c r="N180" s="20">
        <f>WACC!$S$16</f>
        <v>8.1600000000000006E-2</v>
      </c>
      <c r="P180" s="16">
        <f t="shared" si="21"/>
        <v>19023.447304000008</v>
      </c>
      <c r="R180" s="17">
        <v>0</v>
      </c>
      <c r="T180" s="17">
        <f>(ROUND(F180*'CCR Depr and ADFIT'!$N$6/12,0))</f>
        <v>85933</v>
      </c>
      <c r="V180" s="17">
        <f>F180*'Alloc. Factors and Property Tax'!$E$24*'Alloc. Factors and Property Tax'!$E$25*'Alloc. Factors and Property Tax'!$E$26/12</f>
        <v>1045.7506857402</v>
      </c>
      <c r="X180" s="17">
        <f t="shared" si="22"/>
        <v>106002.19798974021</v>
      </c>
      <c r="Z180" s="21">
        <f>'Alloc. Factors and Property Tax'!$C$18</f>
        <v>0.9604166666666667</v>
      </c>
      <c r="AB180" s="19">
        <f t="shared" si="23"/>
        <v>101806.27765264633</v>
      </c>
    </row>
    <row r="181" spans="2:28" x14ac:dyDescent="0.2">
      <c r="B181" s="23" t="s">
        <v>10</v>
      </c>
      <c r="D181" s="3">
        <v>2038</v>
      </c>
      <c r="F181" s="198">
        <f>'CCR Depr and ADFIT'!$C$2</f>
        <v>21087934.780000001</v>
      </c>
      <c r="H181" s="14">
        <f>'CCR Depr and ADFIT'!N179</f>
        <v>-19029004</v>
      </c>
      <c r="J181" s="14">
        <f>'CCR Depr and ADFIT'!U179</f>
        <v>654282</v>
      </c>
      <c r="L181" s="198">
        <f t="shared" si="24"/>
        <v>2713212.7800000012</v>
      </c>
      <c r="N181" s="20">
        <f>WACC!$S$16</f>
        <v>8.1600000000000006E-2</v>
      </c>
      <c r="P181" s="16">
        <f t="shared" si="21"/>
        <v>18449.846904000009</v>
      </c>
      <c r="R181" s="17">
        <v>0</v>
      </c>
      <c r="T181" s="17">
        <f>(ROUND(F181*'CCR Depr and ADFIT'!$N$6/12,0))</f>
        <v>85933</v>
      </c>
      <c r="V181" s="17">
        <f>F181*'Alloc. Factors and Property Tax'!$E$24*'Alloc. Factors and Property Tax'!$E$25*'Alloc. Factors and Property Tax'!$E$26/12</f>
        <v>1045.7506857402</v>
      </c>
      <c r="X181" s="17">
        <f t="shared" si="22"/>
        <v>105428.59758974021</v>
      </c>
      <c r="Z181" s="21">
        <f>'Alloc. Factors and Property Tax'!$C$18</f>
        <v>0.9604166666666667</v>
      </c>
      <c r="AB181" s="19">
        <f t="shared" si="23"/>
        <v>101255.38226847966</v>
      </c>
    </row>
    <row r="182" spans="2:28" x14ac:dyDescent="0.2">
      <c r="B182" s="23" t="s">
        <v>11</v>
      </c>
      <c r="D182" s="3">
        <v>2039</v>
      </c>
      <c r="F182" s="198">
        <f>'CCR Depr and ADFIT'!$C$2</f>
        <v>21087934.780000001</v>
      </c>
      <c r="H182" s="14">
        <f>'CCR Depr and ADFIT'!N180</f>
        <v>-19114937</v>
      </c>
      <c r="J182" s="14">
        <f>'CCR Depr and ADFIT'!U180</f>
        <v>655865</v>
      </c>
      <c r="L182" s="198">
        <f t="shared" si="24"/>
        <v>2628862.7800000012</v>
      </c>
      <c r="N182" s="20">
        <f>WACC!$S$16</f>
        <v>8.1600000000000006E-2</v>
      </c>
      <c r="P182" s="16">
        <f t="shared" si="21"/>
        <v>17876.266904000007</v>
      </c>
      <c r="R182" s="17">
        <v>0</v>
      </c>
      <c r="T182" s="17">
        <f>(ROUND(F182*'CCR Depr and ADFIT'!$N$6/12,0))</f>
        <v>85933</v>
      </c>
      <c r="V182" s="17">
        <f>F182*'Alloc. Factors and Property Tax'!$E$24*'Alloc. Factors and Property Tax'!$E$25*'Alloc. Factors and Property Tax'!$E$26/12</f>
        <v>1045.7506857402</v>
      </c>
      <c r="X182" s="17">
        <f t="shared" si="22"/>
        <v>104855.01758974021</v>
      </c>
      <c r="Z182" s="21">
        <f>'Alloc. Factors and Property Tax'!$C$18</f>
        <v>0.9604166666666667</v>
      </c>
      <c r="AB182" s="19">
        <f t="shared" si="23"/>
        <v>100704.506476813</v>
      </c>
    </row>
    <row r="183" spans="2:28" x14ac:dyDescent="0.2">
      <c r="B183" s="23" t="s">
        <v>12</v>
      </c>
      <c r="D183" s="3">
        <v>2039</v>
      </c>
      <c r="F183" s="198">
        <f>'CCR Depr and ADFIT'!$C$2</f>
        <v>21087934.780000001</v>
      </c>
      <c r="H183" s="14">
        <f>'CCR Depr and ADFIT'!N181</f>
        <v>-19200870</v>
      </c>
      <c r="J183" s="14">
        <f>'CCR Depr and ADFIT'!U181</f>
        <v>657448</v>
      </c>
      <c r="L183" s="198">
        <f t="shared" si="24"/>
        <v>2544512.7800000012</v>
      </c>
      <c r="N183" s="20">
        <f>WACC!$S$16</f>
        <v>8.1600000000000006E-2</v>
      </c>
      <c r="P183" s="16">
        <f t="shared" si="21"/>
        <v>17302.686904000009</v>
      </c>
      <c r="R183" s="17">
        <v>0</v>
      </c>
      <c r="T183" s="17">
        <f>(ROUND(F183*'CCR Depr and ADFIT'!$N$6/12,0))</f>
        <v>85933</v>
      </c>
      <c r="V183" s="17">
        <f>F183*'Alloc. Factors and Property Tax'!$E$24*'Alloc. Factors and Property Tax'!$E$25*'Alloc. Factors and Property Tax'!$E$26/12</f>
        <v>1045.7506857402</v>
      </c>
      <c r="X183" s="17">
        <f t="shared" si="22"/>
        <v>104281.43758974021</v>
      </c>
      <c r="Z183" s="21">
        <f>'Alloc. Factors and Property Tax'!$C$18</f>
        <v>0.9604166666666667</v>
      </c>
      <c r="AB183" s="19">
        <f t="shared" si="23"/>
        <v>100153.63068514633</v>
      </c>
    </row>
    <row r="184" spans="2:28" x14ac:dyDescent="0.2">
      <c r="B184" s="23" t="s">
        <v>13</v>
      </c>
      <c r="D184" s="3">
        <v>2039</v>
      </c>
      <c r="F184" s="198">
        <f>'CCR Depr and ADFIT'!$C$2</f>
        <v>21087934.780000001</v>
      </c>
      <c r="H184" s="14">
        <f>'CCR Depr and ADFIT'!N182</f>
        <v>-19286803</v>
      </c>
      <c r="J184" s="14">
        <f>'CCR Depr and ADFIT'!U182</f>
        <v>659031</v>
      </c>
      <c r="L184" s="198">
        <f t="shared" si="24"/>
        <v>2460162.7800000012</v>
      </c>
      <c r="N184" s="20">
        <f>WACC!$S$16</f>
        <v>8.1600000000000006E-2</v>
      </c>
      <c r="P184" s="16">
        <f t="shared" si="21"/>
        <v>16729.106904000011</v>
      </c>
      <c r="R184" s="17">
        <v>0</v>
      </c>
      <c r="T184" s="17">
        <f>(ROUND(F184*'CCR Depr and ADFIT'!$N$6/12,0))</f>
        <v>85933</v>
      </c>
      <c r="V184" s="17">
        <f>F184*'Alloc. Factors and Property Tax'!$E$24*'Alloc. Factors and Property Tax'!$E$25*'Alloc. Factors and Property Tax'!$E$26/12</f>
        <v>1045.7506857402</v>
      </c>
      <c r="X184" s="17">
        <f t="shared" si="22"/>
        <v>103707.85758974022</v>
      </c>
      <c r="Z184" s="21">
        <f>'Alloc. Factors and Property Tax'!$C$18</f>
        <v>0.9604166666666667</v>
      </c>
      <c r="AB184" s="19">
        <f t="shared" si="23"/>
        <v>99602.754893479665</v>
      </c>
    </row>
    <row r="185" spans="2:28" x14ac:dyDescent="0.2">
      <c r="B185" s="23" t="s">
        <v>14</v>
      </c>
      <c r="D185" s="3">
        <v>2039</v>
      </c>
      <c r="F185" s="198">
        <f>'CCR Depr and ADFIT'!$C$2</f>
        <v>21087934.780000001</v>
      </c>
      <c r="H185" s="14">
        <f>'CCR Depr and ADFIT'!N183</f>
        <v>-19372736</v>
      </c>
      <c r="J185" s="14">
        <f>'CCR Depr and ADFIT'!U183</f>
        <v>660614</v>
      </c>
      <c r="L185" s="198">
        <f t="shared" si="24"/>
        <v>2375812.7800000012</v>
      </c>
      <c r="N185" s="20">
        <f>WACC!$S$16</f>
        <v>8.1600000000000006E-2</v>
      </c>
      <c r="P185" s="16">
        <f t="shared" si="21"/>
        <v>16155.526904000008</v>
      </c>
      <c r="R185" s="17">
        <v>0</v>
      </c>
      <c r="T185" s="17">
        <f>(ROUND(F185*'CCR Depr and ADFIT'!$N$6/12,0))</f>
        <v>85933</v>
      </c>
      <c r="V185" s="17">
        <f>F185*'Alloc. Factors and Property Tax'!$E$24*'Alloc. Factors and Property Tax'!$E$25*'Alloc. Factors and Property Tax'!$E$26/12</f>
        <v>1045.7506857402</v>
      </c>
      <c r="X185" s="17">
        <f t="shared" si="22"/>
        <v>103134.27758974022</v>
      </c>
      <c r="Z185" s="21">
        <f>'Alloc. Factors and Property Tax'!$C$18</f>
        <v>0.9604166666666667</v>
      </c>
      <c r="AB185" s="19">
        <f t="shared" si="23"/>
        <v>99051.879101813</v>
      </c>
    </row>
    <row r="186" spans="2:28" x14ac:dyDescent="0.2">
      <c r="B186" s="23" t="s">
        <v>15</v>
      </c>
      <c r="D186" s="3">
        <v>2039</v>
      </c>
      <c r="F186" s="198">
        <f>'CCR Depr and ADFIT'!$C$2</f>
        <v>21087934.780000001</v>
      </c>
      <c r="H186" s="14">
        <f>'CCR Depr and ADFIT'!N184</f>
        <v>-19458669</v>
      </c>
      <c r="J186" s="14">
        <f>'CCR Depr and ADFIT'!U184</f>
        <v>662197</v>
      </c>
      <c r="L186" s="198">
        <f t="shared" si="24"/>
        <v>2291462.7800000012</v>
      </c>
      <c r="N186" s="20">
        <f>WACC!$S$16</f>
        <v>8.1600000000000006E-2</v>
      </c>
      <c r="P186" s="16">
        <f t="shared" si="21"/>
        <v>15581.946904000009</v>
      </c>
      <c r="R186" s="17">
        <v>0</v>
      </c>
      <c r="T186" s="17">
        <f>(ROUND(F186*'CCR Depr and ADFIT'!$N$6/12,0))</f>
        <v>85933</v>
      </c>
      <c r="V186" s="17">
        <f>F186*'Alloc. Factors and Property Tax'!$E$24*'Alloc. Factors and Property Tax'!$E$25*'Alloc. Factors and Property Tax'!$E$26/12</f>
        <v>1045.7506857402</v>
      </c>
      <c r="X186" s="17">
        <f t="shared" ref="X186:X205" si="25">SUM(P186:W186)</f>
        <v>102560.69758974022</v>
      </c>
      <c r="Z186" s="21">
        <f>'Alloc. Factors and Property Tax'!$C$18</f>
        <v>0.9604166666666667</v>
      </c>
      <c r="AB186" s="19">
        <f t="shared" si="23"/>
        <v>98501.003310146334</v>
      </c>
    </row>
    <row r="187" spans="2:28" x14ac:dyDescent="0.2">
      <c r="B187" s="23" t="s">
        <v>16</v>
      </c>
      <c r="D187" s="3">
        <v>2039</v>
      </c>
      <c r="F187" s="198">
        <f>'CCR Depr and ADFIT'!$C$2</f>
        <v>21087934.780000001</v>
      </c>
      <c r="H187" s="14">
        <f>'CCR Depr and ADFIT'!N185</f>
        <v>-19544602</v>
      </c>
      <c r="J187" s="14">
        <f>'CCR Depr and ADFIT'!U185</f>
        <v>663780</v>
      </c>
      <c r="L187" s="198">
        <f t="shared" si="24"/>
        <v>2207112.7800000012</v>
      </c>
      <c r="N187" s="20">
        <f>WACC!$S$16</f>
        <v>8.1600000000000006E-2</v>
      </c>
      <c r="P187" s="16">
        <f t="shared" si="21"/>
        <v>15008.36690400001</v>
      </c>
      <c r="R187" s="17">
        <v>0</v>
      </c>
      <c r="T187" s="17">
        <f>(ROUND(F187*'CCR Depr and ADFIT'!$N$6/12,0))</f>
        <v>85933</v>
      </c>
      <c r="V187" s="17">
        <f>F187*'Alloc. Factors and Property Tax'!$E$24*'Alloc. Factors and Property Tax'!$E$25*'Alloc. Factors and Property Tax'!$E$26/12</f>
        <v>1045.7506857402</v>
      </c>
      <c r="X187" s="17">
        <f t="shared" si="25"/>
        <v>101987.11758974021</v>
      </c>
      <c r="Z187" s="21">
        <f>'Alloc. Factors and Property Tax'!$C$18</f>
        <v>0.9604166666666667</v>
      </c>
      <c r="AB187" s="19">
        <f t="shared" si="23"/>
        <v>97950.127518479669</v>
      </c>
    </row>
    <row r="188" spans="2:28" x14ac:dyDescent="0.2">
      <c r="B188" s="23" t="s">
        <v>17</v>
      </c>
      <c r="D188" s="3">
        <v>2039</v>
      </c>
      <c r="F188" s="198">
        <f>'CCR Depr and ADFIT'!$C$2</f>
        <v>21087934.780000001</v>
      </c>
      <c r="H188" s="14">
        <f>'CCR Depr and ADFIT'!N186</f>
        <v>-19630535</v>
      </c>
      <c r="J188" s="14">
        <f>'CCR Depr and ADFIT'!U186</f>
        <v>665363</v>
      </c>
      <c r="L188" s="198">
        <f t="shared" si="24"/>
        <v>2122762.7800000012</v>
      </c>
      <c r="N188" s="20">
        <f>WACC!$S$16</f>
        <v>8.1600000000000006E-2</v>
      </c>
      <c r="P188" s="16">
        <f t="shared" si="21"/>
        <v>14434.78690400001</v>
      </c>
      <c r="R188" s="17">
        <v>0</v>
      </c>
      <c r="T188" s="17">
        <f>(ROUND(F188*'CCR Depr and ADFIT'!$N$6/12,0))</f>
        <v>85933</v>
      </c>
      <c r="V188" s="17">
        <f>F188*'Alloc. Factors and Property Tax'!$E$24*'Alloc. Factors and Property Tax'!$E$25*'Alloc. Factors and Property Tax'!$E$26/12</f>
        <v>1045.7506857402</v>
      </c>
      <c r="X188" s="17">
        <f t="shared" si="25"/>
        <v>101413.53758974021</v>
      </c>
      <c r="Z188" s="21">
        <f>'Alloc. Factors and Property Tax'!$C$18</f>
        <v>0.9604166666666667</v>
      </c>
      <c r="AB188" s="19">
        <f t="shared" si="23"/>
        <v>97399.251726813003</v>
      </c>
    </row>
    <row r="189" spans="2:28" x14ac:dyDescent="0.2">
      <c r="B189" s="23" t="s">
        <v>18</v>
      </c>
      <c r="D189" s="3">
        <v>2039</v>
      </c>
      <c r="F189" s="198">
        <f>'CCR Depr and ADFIT'!$C$2</f>
        <v>21087934.780000001</v>
      </c>
      <c r="H189" s="14">
        <f>'CCR Depr and ADFIT'!N187</f>
        <v>-19716468</v>
      </c>
      <c r="J189" s="14">
        <f>'CCR Depr and ADFIT'!U187</f>
        <v>666946</v>
      </c>
      <c r="L189" s="198">
        <f t="shared" si="24"/>
        <v>2038412.7800000012</v>
      </c>
      <c r="N189" s="20">
        <f>WACC!$S$16</f>
        <v>8.1600000000000006E-2</v>
      </c>
      <c r="P189" s="16">
        <f t="shared" si="21"/>
        <v>13861.206904000008</v>
      </c>
      <c r="R189" s="17">
        <v>0</v>
      </c>
      <c r="T189" s="17">
        <f>(ROUND(F189*'CCR Depr and ADFIT'!$N$6/12,0))</f>
        <v>85933</v>
      </c>
      <c r="V189" s="17">
        <f>F189*'Alloc. Factors and Property Tax'!$E$24*'Alloc. Factors and Property Tax'!$E$25*'Alloc. Factors and Property Tax'!$E$26/12</f>
        <v>1045.7506857402</v>
      </c>
      <c r="X189" s="17">
        <f t="shared" si="25"/>
        <v>100839.95758974021</v>
      </c>
      <c r="Z189" s="21">
        <f>'Alloc. Factors and Property Tax'!$C$18</f>
        <v>0.9604166666666667</v>
      </c>
      <c r="AB189" s="19">
        <f t="shared" si="23"/>
        <v>96848.375935146323</v>
      </c>
    </row>
    <row r="190" spans="2:28" x14ac:dyDescent="0.2">
      <c r="B190" s="23" t="s">
        <v>19</v>
      </c>
      <c r="D190" s="3">
        <v>2039</v>
      </c>
      <c r="F190" s="198">
        <f>'CCR Depr and ADFIT'!$C$2</f>
        <v>21087934.780000001</v>
      </c>
      <c r="H190" s="14">
        <f>'CCR Depr and ADFIT'!N188</f>
        <v>-19802401</v>
      </c>
      <c r="J190" s="14">
        <f>'CCR Depr and ADFIT'!U188</f>
        <v>668530</v>
      </c>
      <c r="L190" s="198">
        <f t="shared" si="24"/>
        <v>1954063.7800000012</v>
      </c>
      <c r="N190" s="20">
        <f>WACC!$S$16</f>
        <v>8.1600000000000006E-2</v>
      </c>
      <c r="P190" s="16">
        <f t="shared" si="21"/>
        <v>13287.633704000009</v>
      </c>
      <c r="R190" s="17">
        <v>0</v>
      </c>
      <c r="T190" s="17">
        <f>(ROUND(F190*'CCR Depr and ADFIT'!$N$6/12,0))</f>
        <v>85933</v>
      </c>
      <c r="V190" s="17">
        <f>F190*'Alloc. Factors and Property Tax'!$E$24*'Alloc. Factors and Property Tax'!$E$25*'Alloc. Factors and Property Tax'!$E$26/12</f>
        <v>1045.7506857402</v>
      </c>
      <c r="X190" s="17">
        <f t="shared" si="25"/>
        <v>100266.38438974021</v>
      </c>
      <c r="Z190" s="21">
        <f>'Alloc. Factors and Property Tax'!$C$18</f>
        <v>0.9604166666666667</v>
      </c>
      <c r="AB190" s="19">
        <f t="shared" si="23"/>
        <v>96297.506674313001</v>
      </c>
    </row>
    <row r="191" spans="2:28" x14ac:dyDescent="0.2">
      <c r="B191" s="23" t="s">
        <v>8</v>
      </c>
      <c r="D191" s="3">
        <v>2039</v>
      </c>
      <c r="F191" s="198">
        <f>'CCR Depr and ADFIT'!$C$2</f>
        <v>21087934.780000001</v>
      </c>
      <c r="H191" s="14">
        <f>'CCR Depr and ADFIT'!N189</f>
        <v>-19888334</v>
      </c>
      <c r="J191" s="14">
        <f>'CCR Depr and ADFIT'!U189</f>
        <v>670113</v>
      </c>
      <c r="L191" s="198">
        <f t="shared" si="24"/>
        <v>1869713.7800000012</v>
      </c>
      <c r="N191" s="20">
        <f>WACC!$S$16</f>
        <v>8.1600000000000006E-2</v>
      </c>
      <c r="P191" s="16">
        <f t="shared" si="21"/>
        <v>12714.053704000011</v>
      </c>
      <c r="R191" s="17">
        <v>0</v>
      </c>
      <c r="T191" s="17">
        <f>(ROUND(F191*'CCR Depr and ADFIT'!$N$6/12,0))</f>
        <v>85933</v>
      </c>
      <c r="V191" s="17">
        <f>F191*'Alloc. Factors and Property Tax'!$E$24*'Alloc. Factors and Property Tax'!$E$25*'Alloc. Factors and Property Tax'!$E$26/12</f>
        <v>1045.7506857402</v>
      </c>
      <c r="X191" s="17">
        <f t="shared" si="25"/>
        <v>99692.804389740209</v>
      </c>
      <c r="Z191" s="21">
        <f>'Alloc. Factors and Property Tax'!$C$18</f>
        <v>0.9604166666666667</v>
      </c>
      <c r="AB191" s="19">
        <f t="shared" si="23"/>
        <v>95746.630882646336</v>
      </c>
    </row>
    <row r="192" spans="2:28" x14ac:dyDescent="0.2">
      <c r="B192" s="23" t="s">
        <v>9</v>
      </c>
      <c r="D192" s="3">
        <v>2039</v>
      </c>
      <c r="F192" s="198">
        <f>'CCR Depr and ADFIT'!$C$2</f>
        <v>21087934.780000001</v>
      </c>
      <c r="H192" s="14">
        <f>'CCR Depr and ADFIT'!N190</f>
        <v>-19974267</v>
      </c>
      <c r="J192" s="14">
        <f>'CCR Depr and ADFIT'!U190</f>
        <v>671696</v>
      </c>
      <c r="L192" s="198">
        <f t="shared" si="24"/>
        <v>1785363.7800000012</v>
      </c>
      <c r="N192" s="20">
        <f>WACC!$S$16</f>
        <v>8.1600000000000006E-2</v>
      </c>
      <c r="P192" s="16">
        <f t="shared" si="21"/>
        <v>12140.473704000009</v>
      </c>
      <c r="R192" s="17">
        <v>0</v>
      </c>
      <c r="T192" s="17">
        <f>(ROUND(F192*'CCR Depr and ADFIT'!$N$6/12,0))</f>
        <v>85933</v>
      </c>
      <c r="V192" s="17">
        <f>F192*'Alloc. Factors and Property Tax'!$E$24*'Alloc. Factors and Property Tax'!$E$25*'Alloc. Factors and Property Tax'!$E$26/12</f>
        <v>1045.7506857402</v>
      </c>
      <c r="X192" s="17">
        <f t="shared" si="25"/>
        <v>99119.224389740208</v>
      </c>
      <c r="Z192" s="21">
        <f>'Alloc. Factors and Property Tax'!$C$18</f>
        <v>0.9604166666666667</v>
      </c>
      <c r="AB192" s="19">
        <f t="shared" si="23"/>
        <v>95195.755090979656</v>
      </c>
    </row>
    <row r="193" spans="2:28" x14ac:dyDescent="0.2">
      <c r="B193" s="23" t="s">
        <v>10</v>
      </c>
      <c r="D193" s="3">
        <v>2039</v>
      </c>
      <c r="F193" s="198">
        <f>'CCR Depr and ADFIT'!$C$2</f>
        <v>21087934.780000001</v>
      </c>
      <c r="H193" s="14">
        <f>'CCR Depr and ADFIT'!N191</f>
        <v>-20060200</v>
      </c>
      <c r="J193" s="14">
        <f>'CCR Depr and ADFIT'!U191</f>
        <v>673279</v>
      </c>
      <c r="L193" s="198">
        <f t="shared" si="24"/>
        <v>1701013.7800000012</v>
      </c>
      <c r="N193" s="20">
        <f>WACC!$S$16</f>
        <v>8.1600000000000006E-2</v>
      </c>
      <c r="P193" s="16">
        <f t="shared" si="21"/>
        <v>11566.893704000009</v>
      </c>
      <c r="R193" s="17">
        <v>0</v>
      </c>
      <c r="T193" s="17">
        <f>(ROUND(F193*'CCR Depr and ADFIT'!$N$6/12,0))</f>
        <v>85933</v>
      </c>
      <c r="V193" s="17">
        <f>F193*'Alloc. Factors and Property Tax'!$E$24*'Alloc. Factors and Property Tax'!$E$25*'Alloc. Factors and Property Tax'!$E$26/12</f>
        <v>1045.7506857402</v>
      </c>
      <c r="X193" s="17">
        <f t="shared" si="25"/>
        <v>98545.644389740221</v>
      </c>
      <c r="Z193" s="21">
        <f>'Alloc. Factors and Property Tax'!$C$18</f>
        <v>0.9604166666666667</v>
      </c>
      <c r="AB193" s="19">
        <f t="shared" si="23"/>
        <v>94644.879299313005</v>
      </c>
    </row>
    <row r="194" spans="2:28" x14ac:dyDescent="0.2">
      <c r="B194" s="23" t="s">
        <v>11</v>
      </c>
      <c r="D194" s="3">
        <v>2040</v>
      </c>
      <c r="F194" s="198">
        <f>'CCR Depr and ADFIT'!$C$2</f>
        <v>21087934.780000001</v>
      </c>
      <c r="H194" s="14">
        <f>'CCR Depr and ADFIT'!N192</f>
        <v>-20146133</v>
      </c>
      <c r="J194" s="14">
        <f>'CCR Depr and ADFIT'!U192</f>
        <v>674858</v>
      </c>
      <c r="L194" s="198">
        <f t="shared" si="24"/>
        <v>1616659.7800000012</v>
      </c>
      <c r="N194" s="20">
        <f>WACC!$S$16</f>
        <v>8.1600000000000006E-2</v>
      </c>
      <c r="P194" s="16">
        <f t="shared" si="21"/>
        <v>10993.286504000009</v>
      </c>
      <c r="R194" s="17">
        <v>0</v>
      </c>
      <c r="T194" s="17">
        <f>(ROUND(F194*'CCR Depr and ADFIT'!$N$6/12,0))</f>
        <v>85933</v>
      </c>
      <c r="V194" s="17">
        <f>F194*'Alloc. Factors and Property Tax'!$E$24*'Alloc. Factors and Property Tax'!$E$25*'Alloc. Factors and Property Tax'!$E$26/12</f>
        <v>1045.7506857402</v>
      </c>
      <c r="X194" s="17">
        <f t="shared" si="25"/>
        <v>97972.037189740207</v>
      </c>
      <c r="Z194" s="21">
        <f>'Alloc. Factors and Property Tax'!$C$18</f>
        <v>0.9604166666666667</v>
      </c>
      <c r="AB194" s="19">
        <f t="shared" si="23"/>
        <v>94093.977384312995</v>
      </c>
    </row>
    <row r="195" spans="2:28" x14ac:dyDescent="0.2">
      <c r="B195" s="23" t="s">
        <v>12</v>
      </c>
      <c r="D195" s="3">
        <v>2040</v>
      </c>
      <c r="F195" s="198">
        <f>'CCR Depr and ADFIT'!$C$2</f>
        <v>21087934.780000001</v>
      </c>
      <c r="H195" s="14">
        <f>'CCR Depr and ADFIT'!N193</f>
        <v>-20232066</v>
      </c>
      <c r="J195" s="14">
        <f>'CCR Depr and ADFIT'!U193</f>
        <v>676438</v>
      </c>
      <c r="L195" s="198">
        <f t="shared" si="24"/>
        <v>1532306.7800000012</v>
      </c>
      <c r="N195" s="20">
        <f>WACC!$S$16</f>
        <v>8.1600000000000006E-2</v>
      </c>
      <c r="P195" s="16">
        <f t="shared" si="21"/>
        <v>10419.686104000009</v>
      </c>
      <c r="R195" s="17">
        <v>0</v>
      </c>
      <c r="T195" s="17">
        <f>(ROUND(F195*'CCR Depr and ADFIT'!$N$6/12,0))</f>
        <v>85933</v>
      </c>
      <c r="V195" s="17">
        <f>F195*'Alloc. Factors and Property Tax'!$E$24*'Alloc. Factors and Property Tax'!$E$25*'Alloc. Factors and Property Tax'!$E$26/12</f>
        <v>1045.7506857402</v>
      </c>
      <c r="X195" s="17">
        <f t="shared" si="25"/>
        <v>97398.436789740212</v>
      </c>
      <c r="Z195" s="21">
        <f>'Alloc. Factors and Property Tax'!$C$18</f>
        <v>0.9604166666666667</v>
      </c>
      <c r="AB195" s="19">
        <f t="shared" si="23"/>
        <v>93543.082000146329</v>
      </c>
    </row>
    <row r="196" spans="2:28" x14ac:dyDescent="0.2">
      <c r="B196" s="23" t="s">
        <v>13</v>
      </c>
      <c r="D196" s="3">
        <v>2040</v>
      </c>
      <c r="F196" s="198">
        <f>'CCR Depr and ADFIT'!$C$2</f>
        <v>21087934.780000001</v>
      </c>
      <c r="H196" s="14">
        <f>'CCR Depr and ADFIT'!N194</f>
        <v>-20317999</v>
      </c>
      <c r="J196" s="14">
        <f>'CCR Depr and ADFIT'!U194</f>
        <v>678017</v>
      </c>
      <c r="L196" s="198">
        <f t="shared" si="24"/>
        <v>1447952.7800000012</v>
      </c>
      <c r="N196" s="20">
        <f>WACC!$S$16</f>
        <v>8.1600000000000006E-2</v>
      </c>
      <c r="P196" s="16">
        <f t="shared" si="21"/>
        <v>9846.0789040000091</v>
      </c>
      <c r="R196" s="17">
        <v>0</v>
      </c>
      <c r="T196" s="17">
        <f>(ROUND(F196*'CCR Depr and ADFIT'!$N$6/12,0))</f>
        <v>85933</v>
      </c>
      <c r="V196" s="17">
        <f>F196*'Alloc. Factors and Property Tax'!$E$24*'Alloc. Factors and Property Tax'!$E$25*'Alloc. Factors and Property Tax'!$E$26/12</f>
        <v>1045.7506857402</v>
      </c>
      <c r="X196" s="17">
        <f t="shared" si="25"/>
        <v>96824.829589740213</v>
      </c>
      <c r="Z196" s="21">
        <f>'Alloc. Factors and Property Tax'!$C$18</f>
        <v>0.9604166666666667</v>
      </c>
      <c r="AB196" s="19">
        <f t="shared" si="23"/>
        <v>92992.180085146334</v>
      </c>
    </row>
    <row r="197" spans="2:28" x14ac:dyDescent="0.2">
      <c r="B197" s="23" t="s">
        <v>14</v>
      </c>
      <c r="D197" s="3">
        <v>2040</v>
      </c>
      <c r="F197" s="198">
        <f>'CCR Depr and ADFIT'!$C$2</f>
        <v>21087934.780000001</v>
      </c>
      <c r="H197" s="14">
        <f>'CCR Depr and ADFIT'!N195</f>
        <v>-20403932</v>
      </c>
      <c r="J197" s="14">
        <f>'CCR Depr and ADFIT'!U195</f>
        <v>679597</v>
      </c>
      <c r="L197" s="198">
        <f t="shared" si="24"/>
        <v>1363599.7800000012</v>
      </c>
      <c r="N197" s="20">
        <f>WACC!$S$16</f>
        <v>8.1600000000000006E-2</v>
      </c>
      <c r="P197" s="16">
        <f t="shared" si="21"/>
        <v>9272.4785040000079</v>
      </c>
      <c r="R197" s="17">
        <v>0</v>
      </c>
      <c r="T197" s="17">
        <f>(ROUND(F197*'CCR Depr and ADFIT'!$N$6/12,0))</f>
        <v>85933</v>
      </c>
      <c r="V197" s="17">
        <f>F197*'Alloc. Factors and Property Tax'!$E$24*'Alloc. Factors and Property Tax'!$E$25*'Alloc. Factors and Property Tax'!$E$26/12</f>
        <v>1045.7506857402</v>
      </c>
      <c r="X197" s="17">
        <f t="shared" si="25"/>
        <v>96251.229189740217</v>
      </c>
      <c r="Z197" s="21">
        <f>'Alloc. Factors and Property Tax'!$C$18</f>
        <v>0.9604166666666667</v>
      </c>
      <c r="AB197" s="19">
        <f t="shared" si="23"/>
        <v>92441.284700979668</v>
      </c>
    </row>
    <row r="198" spans="2:28" x14ac:dyDescent="0.2">
      <c r="B198" s="23" t="s">
        <v>15</v>
      </c>
      <c r="D198" s="3">
        <v>2040</v>
      </c>
      <c r="F198" s="198">
        <f>'CCR Depr and ADFIT'!$C$2</f>
        <v>21087934.780000001</v>
      </c>
      <c r="H198" s="14">
        <f>'CCR Depr and ADFIT'!N196</f>
        <v>-20489865</v>
      </c>
      <c r="J198" s="14">
        <f>'CCR Depr and ADFIT'!U196</f>
        <v>681176</v>
      </c>
      <c r="L198" s="198">
        <f t="shared" si="24"/>
        <v>1279245.7800000012</v>
      </c>
      <c r="N198" s="20">
        <f>WACC!$S$16</f>
        <v>8.1600000000000006E-2</v>
      </c>
      <c r="P198" s="16">
        <f t="shared" si="21"/>
        <v>8698.8713040000093</v>
      </c>
      <c r="R198" s="17">
        <v>0</v>
      </c>
      <c r="T198" s="17">
        <f>(ROUND(F198*'CCR Depr and ADFIT'!$N$6/12,0))</f>
        <v>85933</v>
      </c>
      <c r="V198" s="17">
        <f>F198*'Alloc. Factors and Property Tax'!$E$24*'Alloc. Factors and Property Tax'!$E$25*'Alloc. Factors and Property Tax'!$E$26/12</f>
        <v>1045.7506857402</v>
      </c>
      <c r="X198" s="17">
        <f t="shared" si="25"/>
        <v>95677.621989740219</v>
      </c>
      <c r="Z198" s="21">
        <f>'Alloc. Factors and Property Tax'!$C$18</f>
        <v>0.9604166666666667</v>
      </c>
      <c r="AB198" s="19">
        <f t="shared" si="23"/>
        <v>91890.382785979673</v>
      </c>
    </row>
    <row r="199" spans="2:28" x14ac:dyDescent="0.2">
      <c r="B199" s="23" t="s">
        <v>16</v>
      </c>
      <c r="D199" s="3">
        <v>2040</v>
      </c>
      <c r="F199" s="198">
        <f>'CCR Depr and ADFIT'!$C$2</f>
        <v>21087934.780000001</v>
      </c>
      <c r="H199" s="14">
        <f>'CCR Depr and ADFIT'!N197</f>
        <v>-20575798</v>
      </c>
      <c r="J199" s="14">
        <f>'CCR Depr and ADFIT'!U197</f>
        <v>682755</v>
      </c>
      <c r="L199" s="198">
        <f t="shared" si="24"/>
        <v>1194891.7800000012</v>
      </c>
      <c r="N199" s="20">
        <f>WACC!$S$16</f>
        <v>8.1600000000000006E-2</v>
      </c>
      <c r="P199" s="16">
        <f t="shared" si="21"/>
        <v>8125.264104000009</v>
      </c>
      <c r="R199" s="17">
        <v>0</v>
      </c>
      <c r="T199" s="17">
        <f>(ROUND(F199*'CCR Depr and ADFIT'!$N$6/12,0))</f>
        <v>85933</v>
      </c>
      <c r="V199" s="17">
        <f>F199*'Alloc. Factors and Property Tax'!$E$24*'Alloc. Factors and Property Tax'!$E$25*'Alloc. Factors and Property Tax'!$E$26/12</f>
        <v>1045.7506857402</v>
      </c>
      <c r="X199" s="17">
        <f t="shared" si="25"/>
        <v>95104.014789740206</v>
      </c>
      <c r="Z199" s="21">
        <f>'Alloc. Factors and Property Tax'!$C$18</f>
        <v>0.9604166666666667</v>
      </c>
      <c r="AB199" s="19">
        <f t="shared" si="23"/>
        <v>91339.480870979663</v>
      </c>
    </row>
    <row r="200" spans="2:28" x14ac:dyDescent="0.2">
      <c r="B200" s="23" t="s">
        <v>17</v>
      </c>
      <c r="D200" s="3">
        <v>2040</v>
      </c>
      <c r="F200" s="198">
        <f>'CCR Depr and ADFIT'!$C$2</f>
        <v>21087934.780000001</v>
      </c>
      <c r="H200" s="14">
        <f>'CCR Depr and ADFIT'!N198</f>
        <v>-20661731</v>
      </c>
      <c r="J200" s="14">
        <f>'CCR Depr and ADFIT'!U198</f>
        <v>684335</v>
      </c>
      <c r="L200" s="198">
        <f t="shared" si="24"/>
        <v>1110538.7800000012</v>
      </c>
      <c r="N200" s="20">
        <f>WACC!$S$16</f>
        <v>8.1600000000000006E-2</v>
      </c>
      <c r="P200" s="16">
        <f t="shared" si="21"/>
        <v>7551.6637040000087</v>
      </c>
      <c r="R200" s="17">
        <v>0</v>
      </c>
      <c r="T200" s="17">
        <f>(ROUND(F200*'CCR Depr and ADFIT'!$N$6/12,0))</f>
        <v>85933</v>
      </c>
      <c r="V200" s="17">
        <f>F200*'Alloc. Factors and Property Tax'!$E$24*'Alloc. Factors and Property Tax'!$E$25*'Alloc. Factors and Property Tax'!$E$26/12</f>
        <v>1045.7506857402</v>
      </c>
      <c r="X200" s="17">
        <f t="shared" si="25"/>
        <v>94530.41438974021</v>
      </c>
      <c r="Z200" s="21">
        <f>'Alloc. Factors and Property Tax'!$C$18</f>
        <v>0.9604166666666667</v>
      </c>
      <c r="AB200" s="19">
        <f t="shared" si="23"/>
        <v>90788.585486812997</v>
      </c>
    </row>
    <row r="201" spans="2:28" x14ac:dyDescent="0.2">
      <c r="B201" s="23" t="s">
        <v>18</v>
      </c>
      <c r="D201" s="3">
        <v>2040</v>
      </c>
      <c r="F201" s="198">
        <f>'CCR Depr and ADFIT'!$C$2</f>
        <v>21087934.780000001</v>
      </c>
      <c r="H201" s="14">
        <f>'CCR Depr and ADFIT'!N199</f>
        <v>-20747664</v>
      </c>
      <c r="J201" s="14">
        <f>'CCR Depr and ADFIT'!U199</f>
        <v>685914</v>
      </c>
      <c r="L201" s="198">
        <f t="shared" si="24"/>
        <v>1026184.7800000012</v>
      </c>
      <c r="N201" s="20">
        <f>WACC!$S$16</f>
        <v>8.1600000000000006E-2</v>
      </c>
      <c r="P201" s="16">
        <f t="shared" si="21"/>
        <v>6978.0565040000083</v>
      </c>
      <c r="R201" s="17">
        <v>0</v>
      </c>
      <c r="T201" s="17">
        <f>(ROUND(F201*'CCR Depr and ADFIT'!$N$6/12,0))</f>
        <v>85933</v>
      </c>
      <c r="V201" s="17">
        <f>F201*'Alloc. Factors and Property Tax'!$E$24*'Alloc. Factors and Property Tax'!$E$25*'Alloc. Factors and Property Tax'!$E$26/12</f>
        <v>1045.7506857402</v>
      </c>
      <c r="X201" s="17">
        <f t="shared" si="25"/>
        <v>93956.807189740211</v>
      </c>
      <c r="Z201" s="21">
        <f>'Alloc. Factors and Property Tax'!$C$18</f>
        <v>0.9604166666666667</v>
      </c>
      <c r="AB201" s="19">
        <f t="shared" si="23"/>
        <v>90237.683571813002</v>
      </c>
    </row>
    <row r="202" spans="2:28" x14ac:dyDescent="0.2">
      <c r="B202" s="23" t="s">
        <v>19</v>
      </c>
      <c r="D202" s="3">
        <v>2040</v>
      </c>
      <c r="F202" s="198">
        <f>'CCR Depr and ADFIT'!$C$2</f>
        <v>21087934.780000001</v>
      </c>
      <c r="H202" s="14">
        <f>'CCR Depr and ADFIT'!N200</f>
        <v>-20833597</v>
      </c>
      <c r="J202" s="14">
        <f>'CCR Depr and ADFIT'!U200</f>
        <v>687494</v>
      </c>
      <c r="L202" s="198">
        <f t="shared" si="24"/>
        <v>941831.78000000119</v>
      </c>
      <c r="N202" s="20">
        <f>WACC!$S$16</f>
        <v>8.1600000000000006E-2</v>
      </c>
      <c r="P202" s="16">
        <f t="shared" si="21"/>
        <v>6404.4561040000081</v>
      </c>
      <c r="R202" s="17">
        <v>0</v>
      </c>
      <c r="T202" s="17">
        <f>(ROUND(F202*'CCR Depr and ADFIT'!$N$6/12,0))</f>
        <v>85933</v>
      </c>
      <c r="V202" s="17">
        <f>F202*'Alloc. Factors and Property Tax'!$E$24*'Alloc. Factors and Property Tax'!$E$25*'Alloc. Factors and Property Tax'!$E$26/12</f>
        <v>1045.7506857402</v>
      </c>
      <c r="X202" s="17">
        <f t="shared" si="25"/>
        <v>93383.206789740216</v>
      </c>
      <c r="Z202" s="21">
        <f>'Alloc. Factors and Property Tax'!$C$18</f>
        <v>0.9604166666666667</v>
      </c>
      <c r="AB202" s="19">
        <f t="shared" si="23"/>
        <v>89686.788187646336</v>
      </c>
    </row>
    <row r="203" spans="2:28" x14ac:dyDescent="0.2">
      <c r="B203" s="23" t="s">
        <v>8</v>
      </c>
      <c r="D203" s="3">
        <v>2040</v>
      </c>
      <c r="F203" s="198">
        <f>'CCR Depr and ADFIT'!$C$2</f>
        <v>21087934.780000001</v>
      </c>
      <c r="H203" s="14">
        <f>'CCR Depr and ADFIT'!N201</f>
        <v>-20919530</v>
      </c>
      <c r="J203" s="14">
        <f>'CCR Depr and ADFIT'!U201</f>
        <v>689073</v>
      </c>
      <c r="L203" s="198">
        <f t="shared" si="24"/>
        <v>857477.78000000119</v>
      </c>
      <c r="N203" s="20">
        <f>WACC!$S$16</f>
        <v>8.1600000000000006E-2</v>
      </c>
      <c r="P203" s="16">
        <f t="shared" si="21"/>
        <v>5830.8489040000086</v>
      </c>
      <c r="R203" s="17">
        <v>0</v>
      </c>
      <c r="T203" s="17">
        <f>(ROUND(F203*'CCR Depr and ADFIT'!$N$6/12,0))</f>
        <v>85933</v>
      </c>
      <c r="V203" s="17">
        <f>F203*'Alloc. Factors and Property Tax'!$E$24*'Alloc. Factors and Property Tax'!$E$25*'Alloc. Factors and Property Tax'!$E$26/12</f>
        <v>1045.7506857402</v>
      </c>
      <c r="X203" s="17">
        <f t="shared" si="25"/>
        <v>92809.599589740217</v>
      </c>
      <c r="Z203" s="21">
        <f>'Alloc. Factors and Property Tax'!$C$18</f>
        <v>0.9604166666666667</v>
      </c>
      <c r="AB203" s="19">
        <f t="shared" si="23"/>
        <v>89135.886272646341</v>
      </c>
    </row>
    <row r="204" spans="2:28" x14ac:dyDescent="0.2">
      <c r="B204" s="23" t="s">
        <v>9</v>
      </c>
      <c r="D204" s="3">
        <v>2040</v>
      </c>
      <c r="F204" s="198">
        <f>'CCR Depr and ADFIT'!$C$2</f>
        <v>21087934.780000001</v>
      </c>
      <c r="H204" s="14">
        <f>'CCR Depr and ADFIT'!N202</f>
        <v>-21005463</v>
      </c>
      <c r="J204" s="14">
        <f>'CCR Depr and ADFIT'!U202</f>
        <v>690652</v>
      </c>
      <c r="L204" s="198">
        <f t="shared" si="24"/>
        <v>773123.78000000119</v>
      </c>
      <c r="N204" s="20">
        <f>WACC!$S$16</f>
        <v>8.1600000000000006E-2</v>
      </c>
      <c r="P204" s="16">
        <f t="shared" si="21"/>
        <v>5257.2417040000082</v>
      </c>
      <c r="R204" s="17">
        <v>0</v>
      </c>
      <c r="T204" s="17">
        <f>(ROUND(F204*'CCR Depr and ADFIT'!$N$6/12,0))</f>
        <v>85933</v>
      </c>
      <c r="V204" s="17">
        <f>F204*'Alloc. Factors and Property Tax'!$E$24*'Alloc. Factors and Property Tax'!$E$25*'Alloc. Factors and Property Tax'!$E$26/12</f>
        <v>1045.7506857402</v>
      </c>
      <c r="X204" s="17">
        <f t="shared" si="25"/>
        <v>92235.992389740219</v>
      </c>
      <c r="Z204" s="21">
        <f>'Alloc. Factors and Property Tax'!$C$18</f>
        <v>0.9604166666666667</v>
      </c>
      <c r="AB204" s="19">
        <f t="shared" si="23"/>
        <v>88584.984357646332</v>
      </c>
    </row>
    <row r="205" spans="2:28" x14ac:dyDescent="0.2">
      <c r="B205" s="23" t="s">
        <v>10</v>
      </c>
      <c r="D205" s="3">
        <v>2040</v>
      </c>
      <c r="F205" s="198">
        <f>'CCR Depr and ADFIT'!$C$2</f>
        <v>21087934.780000001</v>
      </c>
      <c r="H205" s="14">
        <f>'CCR Depr and ADFIT'!N203</f>
        <v>-21091396</v>
      </c>
      <c r="J205" s="14">
        <f>'CCR Depr and ADFIT'!U203</f>
        <v>692232</v>
      </c>
      <c r="L205" s="198">
        <f t="shared" si="24"/>
        <v>688770.78000000119</v>
      </c>
      <c r="N205" s="20">
        <f>WACC!$S$16</f>
        <v>8.1600000000000006E-2</v>
      </c>
      <c r="P205" s="16">
        <f t="shared" si="21"/>
        <v>4683.6413040000089</v>
      </c>
      <c r="R205" s="17">
        <v>0</v>
      </c>
      <c r="T205" s="17">
        <f>(ROUND(F205*'CCR Depr and ADFIT'!$N$6/12,0))</f>
        <v>85933</v>
      </c>
      <c r="V205" s="17">
        <f>F205*'Alloc. Factors and Property Tax'!$E$24*'Alloc. Factors and Property Tax'!$E$25*'Alloc. Factors and Property Tax'!$E$26/12</f>
        <v>1045.7506857402</v>
      </c>
      <c r="X205" s="17">
        <f t="shared" si="25"/>
        <v>91662.391989740208</v>
      </c>
      <c r="Z205" s="21">
        <f>'Alloc. Factors and Property Tax'!$C$18</f>
        <v>0.9604166666666667</v>
      </c>
      <c r="AB205" s="19">
        <f t="shared" si="23"/>
        <v>88034.088973479666</v>
      </c>
    </row>
  </sheetData>
  <mergeCells count="14">
    <mergeCell ref="P5:P6"/>
    <mergeCell ref="R5:R6"/>
    <mergeCell ref="T5:T6"/>
    <mergeCell ref="V5:V6"/>
    <mergeCell ref="B1:AB2"/>
    <mergeCell ref="X4:X6"/>
    <mergeCell ref="Z4:Z6"/>
    <mergeCell ref="AB4:AB6"/>
    <mergeCell ref="B5:B6"/>
    <mergeCell ref="F5:F6"/>
    <mergeCell ref="H5:H6"/>
    <mergeCell ref="J5:J6"/>
    <mergeCell ref="L5:L6"/>
    <mergeCell ref="N5:N6"/>
  </mergeCells>
  <pageMargins left="0.7" right="0.7" top="0.75" bottom="0.75" header="0.3" footer="0.3"/>
  <pageSetup scale="4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D80C-9834-4041-8983-4889B459E104}">
  <dimension ref="A1:U234"/>
  <sheetViews>
    <sheetView zoomScale="79" zoomScaleNormal="100" workbookViewId="0">
      <pane xSplit="3" ySplit="7" topLeftCell="H8" activePane="bottomRight" state="frozen"/>
      <selection pane="topRight" activeCell="D1" sqref="D1"/>
      <selection pane="bottomLeft" activeCell="A5" sqref="A5"/>
      <selection pane="bottomRight" activeCell="R6" sqref="R6"/>
    </sheetView>
  </sheetViews>
  <sheetFormatPr defaultColWidth="9.140625" defaultRowHeight="12.75" x14ac:dyDescent="0.2"/>
  <cols>
    <col min="1" max="1" width="9.140625" style="9"/>
    <col min="2" max="2" width="8.140625" style="9" customWidth="1"/>
    <col min="3" max="3" width="12.85546875" style="9" bestFit="1" customWidth="1"/>
    <col min="4" max="4" width="14.5703125" style="9" customWidth="1"/>
    <col min="5" max="5" width="14.5703125" style="36" customWidth="1"/>
    <col min="6" max="7" width="14.5703125" style="9" customWidth="1"/>
    <col min="8" max="8" width="12.85546875" style="36" bestFit="1" customWidth="1"/>
    <col min="9" max="9" width="12.140625" style="9" customWidth="1"/>
    <col min="10" max="10" width="12.85546875" style="9" customWidth="1"/>
    <col min="11" max="12" width="9.140625" style="9"/>
    <col min="13" max="13" width="8.140625" style="9" customWidth="1"/>
    <col min="14" max="14" width="12.85546875" style="9" bestFit="1" customWidth="1"/>
    <col min="15" max="15" width="14.5703125" style="9" customWidth="1"/>
    <col min="16" max="16" width="14.5703125" style="36" customWidth="1"/>
    <col min="17" max="17" width="20.7109375" style="9" bestFit="1" customWidth="1"/>
    <col min="18" max="18" width="14.5703125" style="9" customWidth="1"/>
    <col min="19" max="19" width="12.85546875" style="36" bestFit="1" customWidth="1"/>
    <col min="20" max="20" width="12.140625" style="9" customWidth="1"/>
    <col min="21" max="21" width="12.85546875" style="9" customWidth="1"/>
    <col min="22" max="16384" width="9.140625" style="9"/>
  </cols>
  <sheetData>
    <row r="1" spans="1:21" x14ac:dyDescent="0.2">
      <c r="A1" s="276" t="s">
        <v>237</v>
      </c>
      <c r="L1" s="276" t="s">
        <v>238</v>
      </c>
      <c r="Q1" s="187" t="s">
        <v>259</v>
      </c>
      <c r="R1" s="350">
        <f>N2</f>
        <v>21087934.780000001</v>
      </c>
      <c r="S1" s="351"/>
    </row>
    <row r="2" spans="1:21" x14ac:dyDescent="0.2">
      <c r="A2" s="15" t="s">
        <v>54</v>
      </c>
      <c r="C2" s="255">
        <v>21087934.780000001</v>
      </c>
      <c r="L2" s="15" t="s">
        <v>54</v>
      </c>
      <c r="N2" s="255">
        <f>C2</f>
        <v>21087934.780000001</v>
      </c>
      <c r="O2" s="9" t="s">
        <v>258</v>
      </c>
      <c r="Q2" s="186" t="s">
        <v>260</v>
      </c>
      <c r="R2" s="352">
        <f>N23</f>
        <v>-5623456</v>
      </c>
      <c r="S2" s="353"/>
    </row>
    <row r="3" spans="1:21" x14ac:dyDescent="0.2">
      <c r="A3" s="15" t="s">
        <v>60</v>
      </c>
      <c r="C3" s="221">
        <v>2024</v>
      </c>
      <c r="L3" s="15" t="s">
        <v>60</v>
      </c>
      <c r="N3" s="221">
        <v>2024</v>
      </c>
      <c r="Q3" s="186" t="s">
        <v>261</v>
      </c>
      <c r="R3" s="285">
        <f>R1+R2</f>
        <v>15464478.780000001</v>
      </c>
      <c r="S3" s="353"/>
    </row>
    <row r="4" spans="1:21" x14ac:dyDescent="0.2">
      <c r="A4" s="15" t="s">
        <v>64</v>
      </c>
      <c r="C4" s="190">
        <v>0.21</v>
      </c>
      <c r="L4" s="15" t="s">
        <v>64</v>
      </c>
      <c r="N4" s="190">
        <v>0.21</v>
      </c>
      <c r="Q4" s="186" t="s">
        <v>262</v>
      </c>
      <c r="R4" s="9">
        <v>15</v>
      </c>
      <c r="S4" s="353"/>
    </row>
    <row r="5" spans="1:21" x14ac:dyDescent="0.2">
      <c r="A5" s="15" t="s">
        <v>55</v>
      </c>
      <c r="C5" s="274">
        <v>0.2</v>
      </c>
      <c r="D5" s="254"/>
      <c r="L5" s="15" t="s">
        <v>235</v>
      </c>
      <c r="N5" s="274">
        <v>0.2</v>
      </c>
      <c r="O5" s="254"/>
      <c r="Q5" s="186" t="s">
        <v>263</v>
      </c>
      <c r="R5" s="354">
        <f>R3/R4</f>
        <v>1030965.2520000001</v>
      </c>
      <c r="S5" s="355">
        <f>R5/12</f>
        <v>85913.771000000008</v>
      </c>
    </row>
    <row r="6" spans="1:21" ht="13.5" thickBot="1" x14ac:dyDescent="0.25">
      <c r="B6" s="36"/>
      <c r="D6" s="36"/>
      <c r="L6" s="15" t="s">
        <v>236</v>
      </c>
      <c r="M6" s="36"/>
      <c r="N6" s="256">
        <f>R6</f>
        <v>4.8899999999999999E-2</v>
      </c>
      <c r="O6" s="349"/>
      <c r="Q6" s="356" t="s">
        <v>236</v>
      </c>
      <c r="R6" s="357">
        <f>ROUND((R5/R1),4)</f>
        <v>4.8899999999999999E-2</v>
      </c>
      <c r="S6" s="358"/>
    </row>
    <row r="7" spans="1:21" s="24" customFormat="1" ht="50.25" customHeight="1" thickBot="1" x14ac:dyDescent="0.3">
      <c r="A7" s="41" t="s">
        <v>7</v>
      </c>
      <c r="B7" s="41" t="s">
        <v>6</v>
      </c>
      <c r="C7" s="41" t="s">
        <v>58</v>
      </c>
      <c r="D7" s="41" t="s">
        <v>56</v>
      </c>
      <c r="E7" s="41" t="s">
        <v>57</v>
      </c>
      <c r="F7" s="41" t="s">
        <v>61</v>
      </c>
      <c r="G7" s="41" t="s">
        <v>59</v>
      </c>
      <c r="H7" s="41" t="s">
        <v>62</v>
      </c>
      <c r="I7" s="41" t="s">
        <v>63</v>
      </c>
      <c r="J7" s="41" t="s">
        <v>21</v>
      </c>
      <c r="L7" s="41" t="s">
        <v>7</v>
      </c>
      <c r="M7" s="41" t="s">
        <v>6</v>
      </c>
      <c r="N7" s="41" t="s">
        <v>58</v>
      </c>
      <c r="O7" s="41" t="s">
        <v>56</v>
      </c>
      <c r="P7" s="41" t="s">
        <v>57</v>
      </c>
      <c r="Q7" s="41" t="s">
        <v>61</v>
      </c>
      <c r="R7" s="41" t="s">
        <v>59</v>
      </c>
      <c r="S7" s="41" t="s">
        <v>62</v>
      </c>
      <c r="T7" s="41" t="s">
        <v>63</v>
      </c>
      <c r="U7" s="41" t="s">
        <v>21</v>
      </c>
    </row>
    <row r="8" spans="1:21" x14ac:dyDescent="0.2">
      <c r="A8" s="9">
        <v>2024</v>
      </c>
      <c r="B8" s="9">
        <v>9</v>
      </c>
      <c r="C8" s="275">
        <f>-(ROUND($C$2*$C$5/12,0))</f>
        <v>-351466</v>
      </c>
      <c r="D8" s="14">
        <f t="shared" ref="D8:D59" si="0">$C$2+C8</f>
        <v>20736468.780000001</v>
      </c>
      <c r="E8" s="117">
        <f t="shared" ref="E8:E39" si="1">VLOOKUP(A8-($C$3-1),$D$213:$G$234,4)</f>
        <v>3.7499999999999999E-2</v>
      </c>
      <c r="F8" s="14">
        <f t="shared" ref="F8:F9" si="2">-$C$2*E8/12*B8</f>
        <v>-593098.16568750003</v>
      </c>
      <c r="G8" s="14">
        <f t="shared" ref="G8:G59" si="3">$C$2+F8</f>
        <v>20494836.6143125</v>
      </c>
      <c r="H8" s="118">
        <f t="shared" ref="H8:H59" si="4">-(G8-$C$2)/$C$2</f>
        <v>2.8125000000000067E-2</v>
      </c>
      <c r="I8" s="14">
        <f t="shared" ref="I8:I59" si="5">G8-D8</f>
        <v>-241632.16568750143</v>
      </c>
      <c r="J8" s="14">
        <f t="shared" ref="J8:J59" si="6">ROUND(I8*$C$4,0)</f>
        <v>-50743</v>
      </c>
      <c r="L8" s="9">
        <v>2024</v>
      </c>
      <c r="M8" s="9">
        <v>9</v>
      </c>
      <c r="N8" s="275">
        <f>-(ROUND($N$2*$N$5/12,0))</f>
        <v>-351466</v>
      </c>
      <c r="O8" s="14">
        <f t="shared" ref="O8:O62" si="7">$C$2+N8</f>
        <v>20736468.780000001</v>
      </c>
      <c r="P8" s="117">
        <f t="shared" ref="P8:P39" si="8">VLOOKUP(L8-($C$3-1),$D$213:$G$234,4)</f>
        <v>3.7499999999999999E-2</v>
      </c>
      <c r="Q8" s="14">
        <f t="shared" ref="Q8:Q9" si="9">-$C$2*P8/12*M8</f>
        <v>-593098.16568750003</v>
      </c>
      <c r="R8" s="14">
        <f t="shared" ref="R8:R62" si="10">$C$2+Q8</f>
        <v>20494836.6143125</v>
      </c>
      <c r="S8" s="118">
        <f t="shared" ref="S8:S62" si="11">-(R8-$C$2)/$C$2</f>
        <v>2.8125000000000067E-2</v>
      </c>
      <c r="T8" s="14">
        <f t="shared" ref="T8:T62" si="12">R8-O8</f>
        <v>-241632.16568750143</v>
      </c>
      <c r="U8" s="14">
        <f t="shared" ref="U8:U62" si="13">ROUND(T8*$C$4,0)</f>
        <v>-50743</v>
      </c>
    </row>
    <row r="9" spans="1:21" x14ac:dyDescent="0.2">
      <c r="A9" s="9">
        <v>2024</v>
      </c>
      <c r="B9" s="9">
        <v>10</v>
      </c>
      <c r="C9" s="275">
        <f t="shared" ref="C9:C23" si="14">-(ROUND($C$2*$C$5/12,0)-C8)</f>
        <v>-702932</v>
      </c>
      <c r="D9" s="14">
        <f t="shared" si="0"/>
        <v>20385002.780000001</v>
      </c>
      <c r="E9" s="117">
        <f t="shared" si="1"/>
        <v>3.7499999999999999E-2</v>
      </c>
      <c r="F9" s="14">
        <f t="shared" si="2"/>
        <v>-658997.96187500004</v>
      </c>
      <c r="G9" s="14">
        <f t="shared" si="3"/>
        <v>20428936.818125002</v>
      </c>
      <c r="H9" s="118">
        <f t="shared" si="4"/>
        <v>3.1249999999999955E-2</v>
      </c>
      <c r="I9" s="14">
        <f t="shared" si="5"/>
        <v>43934.038125000894</v>
      </c>
      <c r="J9" s="14">
        <f t="shared" si="6"/>
        <v>9226</v>
      </c>
      <c r="L9" s="9">
        <v>2024</v>
      </c>
      <c r="M9" s="9">
        <v>10</v>
      </c>
      <c r="N9" s="275">
        <f t="shared" ref="N9:N23" si="15">-(ROUND($N$2*$N$5/12,0)-N8)</f>
        <v>-702932</v>
      </c>
      <c r="O9" s="14">
        <f t="shared" si="7"/>
        <v>20385002.780000001</v>
      </c>
      <c r="P9" s="117">
        <f t="shared" si="8"/>
        <v>3.7499999999999999E-2</v>
      </c>
      <c r="Q9" s="14">
        <f t="shared" si="9"/>
        <v>-658997.96187500004</v>
      </c>
      <c r="R9" s="14">
        <f t="shared" si="10"/>
        <v>20428936.818125002</v>
      </c>
      <c r="S9" s="118">
        <f t="shared" si="11"/>
        <v>3.1249999999999955E-2</v>
      </c>
      <c r="T9" s="14">
        <f t="shared" si="12"/>
        <v>43934.038125000894</v>
      </c>
      <c r="U9" s="14">
        <f t="shared" si="13"/>
        <v>9226</v>
      </c>
    </row>
    <row r="10" spans="1:21" x14ac:dyDescent="0.2">
      <c r="A10" s="9">
        <v>2024</v>
      </c>
      <c r="B10" s="9">
        <v>11</v>
      </c>
      <c r="C10" s="275">
        <f t="shared" si="14"/>
        <v>-1054398</v>
      </c>
      <c r="D10" s="14">
        <f t="shared" si="0"/>
        <v>20033536.780000001</v>
      </c>
      <c r="E10" s="117">
        <f t="shared" si="1"/>
        <v>3.7499999999999999E-2</v>
      </c>
      <c r="F10" s="14">
        <f>-$C$2*E10/12+F9</f>
        <v>-724897.75806250004</v>
      </c>
      <c r="G10" s="14">
        <f t="shared" si="3"/>
        <v>20363037.021937501</v>
      </c>
      <c r="H10" s="118">
        <f t="shared" si="4"/>
        <v>3.4375000000000024E-2</v>
      </c>
      <c r="I10" s="14">
        <f t="shared" si="5"/>
        <v>329500.24193749949</v>
      </c>
      <c r="J10" s="14">
        <f t="shared" si="6"/>
        <v>69195</v>
      </c>
      <c r="L10" s="9">
        <v>2024</v>
      </c>
      <c r="M10" s="9">
        <v>11</v>
      </c>
      <c r="N10" s="275">
        <f t="shared" si="15"/>
        <v>-1054398</v>
      </c>
      <c r="O10" s="14">
        <f t="shared" si="7"/>
        <v>20033536.780000001</v>
      </c>
      <c r="P10" s="117">
        <f t="shared" si="8"/>
        <v>3.7499999999999999E-2</v>
      </c>
      <c r="Q10" s="14">
        <f>-$C$2*P10/12+Q9</f>
        <v>-724897.75806250004</v>
      </c>
      <c r="R10" s="14">
        <f t="shared" si="10"/>
        <v>20363037.021937501</v>
      </c>
      <c r="S10" s="118">
        <f t="shared" si="11"/>
        <v>3.4375000000000024E-2</v>
      </c>
      <c r="T10" s="14">
        <f t="shared" si="12"/>
        <v>329500.24193749949</v>
      </c>
      <c r="U10" s="14">
        <f t="shared" si="13"/>
        <v>69195</v>
      </c>
    </row>
    <row r="11" spans="1:21" x14ac:dyDescent="0.2">
      <c r="A11" s="9">
        <v>2024</v>
      </c>
      <c r="B11" s="9">
        <v>12</v>
      </c>
      <c r="C11" s="275">
        <f t="shared" si="14"/>
        <v>-1405864</v>
      </c>
      <c r="D11" s="14">
        <f t="shared" si="0"/>
        <v>19682070.780000001</v>
      </c>
      <c r="E11" s="117">
        <f t="shared" si="1"/>
        <v>3.7499999999999999E-2</v>
      </c>
      <c r="F11" s="14">
        <f t="shared" ref="F11:F59" si="16">-$C$2*E11/12+F10</f>
        <v>-790797.55425000004</v>
      </c>
      <c r="G11" s="14">
        <f t="shared" si="3"/>
        <v>20297137.225749999</v>
      </c>
      <c r="H11" s="118">
        <f t="shared" si="4"/>
        <v>3.7500000000000089E-2</v>
      </c>
      <c r="I11" s="14">
        <f t="shared" si="5"/>
        <v>615066.44574999809</v>
      </c>
      <c r="J11" s="14">
        <f t="shared" si="6"/>
        <v>129164</v>
      </c>
      <c r="L11" s="9">
        <v>2024</v>
      </c>
      <c r="M11" s="9">
        <v>12</v>
      </c>
      <c r="N11" s="275">
        <f t="shared" si="15"/>
        <v>-1405864</v>
      </c>
      <c r="O11" s="14">
        <f t="shared" si="7"/>
        <v>19682070.780000001</v>
      </c>
      <c r="P11" s="117">
        <f t="shared" si="8"/>
        <v>3.7499999999999999E-2</v>
      </c>
      <c r="Q11" s="14">
        <f t="shared" ref="Q11:Q74" si="17">-$C$2*P11/12+Q10</f>
        <v>-790797.55425000004</v>
      </c>
      <c r="R11" s="14">
        <f t="shared" si="10"/>
        <v>20297137.225749999</v>
      </c>
      <c r="S11" s="118">
        <f t="shared" si="11"/>
        <v>3.7500000000000089E-2</v>
      </c>
      <c r="T11" s="14">
        <f t="shared" si="12"/>
        <v>615066.44574999809</v>
      </c>
      <c r="U11" s="14">
        <f t="shared" si="13"/>
        <v>129164</v>
      </c>
    </row>
    <row r="12" spans="1:21" x14ac:dyDescent="0.2">
      <c r="A12" s="9">
        <v>2025</v>
      </c>
      <c r="B12" s="9">
        <v>1</v>
      </c>
      <c r="C12" s="275">
        <f t="shared" si="14"/>
        <v>-1757330</v>
      </c>
      <c r="D12" s="14">
        <f t="shared" si="0"/>
        <v>19330604.780000001</v>
      </c>
      <c r="E12" s="117">
        <f t="shared" si="1"/>
        <v>7.2190000000000004E-2</v>
      </c>
      <c r="F12" s="14">
        <f t="shared" si="16"/>
        <v>-917659.05523068341</v>
      </c>
      <c r="G12" s="14">
        <f t="shared" si="3"/>
        <v>20170275.724769317</v>
      </c>
      <c r="H12" s="118">
        <f t="shared" si="4"/>
        <v>4.3515833333333392E-2</v>
      </c>
      <c r="I12" s="14">
        <f t="shared" si="5"/>
        <v>839670.94476931542</v>
      </c>
      <c r="J12" s="14">
        <f t="shared" si="6"/>
        <v>176331</v>
      </c>
      <c r="L12" s="9">
        <v>2025</v>
      </c>
      <c r="M12" s="9">
        <v>1</v>
      </c>
      <c r="N12" s="275">
        <f t="shared" si="15"/>
        <v>-1757330</v>
      </c>
      <c r="O12" s="14">
        <f t="shared" si="7"/>
        <v>19330604.780000001</v>
      </c>
      <c r="P12" s="117">
        <f t="shared" si="8"/>
        <v>7.2190000000000004E-2</v>
      </c>
      <c r="Q12" s="14">
        <f t="shared" si="17"/>
        <v>-917659.05523068341</v>
      </c>
      <c r="R12" s="14">
        <f t="shared" si="10"/>
        <v>20170275.724769317</v>
      </c>
      <c r="S12" s="118">
        <f t="shared" si="11"/>
        <v>4.3515833333333392E-2</v>
      </c>
      <c r="T12" s="14">
        <f t="shared" si="12"/>
        <v>839670.94476931542</v>
      </c>
      <c r="U12" s="14">
        <f t="shared" si="13"/>
        <v>176331</v>
      </c>
    </row>
    <row r="13" spans="1:21" x14ac:dyDescent="0.2">
      <c r="A13" s="9">
        <v>2025</v>
      </c>
      <c r="B13" s="9">
        <v>2</v>
      </c>
      <c r="C13" s="275">
        <f t="shared" si="14"/>
        <v>-2108796</v>
      </c>
      <c r="D13" s="14">
        <f t="shared" si="0"/>
        <v>18979138.780000001</v>
      </c>
      <c r="E13" s="117">
        <f t="shared" si="1"/>
        <v>7.2190000000000004E-2</v>
      </c>
      <c r="F13" s="14">
        <f t="shared" si="16"/>
        <v>-1044520.5562113668</v>
      </c>
      <c r="G13" s="14">
        <f t="shared" si="3"/>
        <v>20043414.223788634</v>
      </c>
      <c r="H13" s="118">
        <f t="shared" si="4"/>
        <v>4.9531666666666689E-2</v>
      </c>
      <c r="I13" s="14">
        <f t="shared" si="5"/>
        <v>1064275.4437886328</v>
      </c>
      <c r="J13" s="14">
        <f t="shared" si="6"/>
        <v>223498</v>
      </c>
      <c r="L13" s="9">
        <v>2025</v>
      </c>
      <c r="M13" s="9">
        <v>2</v>
      </c>
      <c r="N13" s="275">
        <f t="shared" si="15"/>
        <v>-2108796</v>
      </c>
      <c r="O13" s="14">
        <f t="shared" si="7"/>
        <v>18979138.780000001</v>
      </c>
      <c r="P13" s="117">
        <f t="shared" si="8"/>
        <v>7.2190000000000004E-2</v>
      </c>
      <c r="Q13" s="14">
        <f t="shared" si="17"/>
        <v>-1044520.5562113668</v>
      </c>
      <c r="R13" s="14">
        <f t="shared" si="10"/>
        <v>20043414.223788634</v>
      </c>
      <c r="S13" s="118">
        <f t="shared" si="11"/>
        <v>4.9531666666666689E-2</v>
      </c>
      <c r="T13" s="14">
        <f t="shared" si="12"/>
        <v>1064275.4437886328</v>
      </c>
      <c r="U13" s="14">
        <f t="shared" si="13"/>
        <v>223498</v>
      </c>
    </row>
    <row r="14" spans="1:21" x14ac:dyDescent="0.2">
      <c r="A14" s="9">
        <v>2025</v>
      </c>
      <c r="B14" s="9">
        <v>3</v>
      </c>
      <c r="C14" s="275">
        <f t="shared" si="14"/>
        <v>-2460262</v>
      </c>
      <c r="D14" s="14">
        <f t="shared" si="0"/>
        <v>18627672.780000001</v>
      </c>
      <c r="E14" s="117">
        <f t="shared" si="1"/>
        <v>7.2190000000000004E-2</v>
      </c>
      <c r="F14" s="14">
        <f t="shared" si="16"/>
        <v>-1171382.0571920502</v>
      </c>
      <c r="G14" s="14">
        <f t="shared" si="3"/>
        <v>19916552.722807951</v>
      </c>
      <c r="H14" s="118">
        <f t="shared" si="4"/>
        <v>5.5547499999999993E-2</v>
      </c>
      <c r="I14" s="14">
        <f t="shared" si="5"/>
        <v>1288879.9428079501</v>
      </c>
      <c r="J14" s="14">
        <f t="shared" si="6"/>
        <v>270665</v>
      </c>
      <c r="L14" s="9">
        <v>2025</v>
      </c>
      <c r="M14" s="9">
        <v>3</v>
      </c>
      <c r="N14" s="275">
        <f t="shared" si="15"/>
        <v>-2460262</v>
      </c>
      <c r="O14" s="14">
        <f t="shared" si="7"/>
        <v>18627672.780000001</v>
      </c>
      <c r="P14" s="117">
        <f t="shared" si="8"/>
        <v>7.2190000000000004E-2</v>
      </c>
      <c r="Q14" s="14">
        <f t="shared" si="17"/>
        <v>-1171382.0571920502</v>
      </c>
      <c r="R14" s="14">
        <f t="shared" si="10"/>
        <v>19916552.722807951</v>
      </c>
      <c r="S14" s="118">
        <f t="shared" si="11"/>
        <v>5.5547499999999993E-2</v>
      </c>
      <c r="T14" s="14">
        <f t="shared" si="12"/>
        <v>1288879.9428079501</v>
      </c>
      <c r="U14" s="14">
        <f t="shared" si="13"/>
        <v>270665</v>
      </c>
    </row>
    <row r="15" spans="1:21" x14ac:dyDescent="0.2">
      <c r="A15" s="9">
        <v>2025</v>
      </c>
      <c r="B15" s="9">
        <v>4</v>
      </c>
      <c r="C15" s="275">
        <f t="shared" si="14"/>
        <v>-2811728</v>
      </c>
      <c r="D15" s="14">
        <f t="shared" si="0"/>
        <v>18276206.780000001</v>
      </c>
      <c r="E15" s="117">
        <f t="shared" si="1"/>
        <v>7.2190000000000004E-2</v>
      </c>
      <c r="F15" s="14">
        <f t="shared" si="16"/>
        <v>-1298243.5581727335</v>
      </c>
      <c r="G15" s="14">
        <f t="shared" si="3"/>
        <v>19789691.221827269</v>
      </c>
      <c r="H15" s="118">
        <f t="shared" si="4"/>
        <v>6.1563333333333296E-2</v>
      </c>
      <c r="I15" s="14">
        <f t="shared" si="5"/>
        <v>1513484.4418272674</v>
      </c>
      <c r="J15" s="14">
        <f t="shared" si="6"/>
        <v>317832</v>
      </c>
      <c r="L15" s="9">
        <v>2025</v>
      </c>
      <c r="M15" s="9">
        <v>4</v>
      </c>
      <c r="N15" s="275">
        <f t="shared" si="15"/>
        <v>-2811728</v>
      </c>
      <c r="O15" s="14">
        <f t="shared" si="7"/>
        <v>18276206.780000001</v>
      </c>
      <c r="P15" s="117">
        <f t="shared" si="8"/>
        <v>7.2190000000000004E-2</v>
      </c>
      <c r="Q15" s="14">
        <f t="shared" si="17"/>
        <v>-1298243.5581727335</v>
      </c>
      <c r="R15" s="14">
        <f t="shared" si="10"/>
        <v>19789691.221827269</v>
      </c>
      <c r="S15" s="118">
        <f t="shared" si="11"/>
        <v>6.1563333333333296E-2</v>
      </c>
      <c r="T15" s="14">
        <f t="shared" si="12"/>
        <v>1513484.4418272674</v>
      </c>
      <c r="U15" s="14">
        <f t="shared" si="13"/>
        <v>317832</v>
      </c>
    </row>
    <row r="16" spans="1:21" x14ac:dyDescent="0.2">
      <c r="A16" s="9">
        <v>2025</v>
      </c>
      <c r="B16" s="9">
        <v>5</v>
      </c>
      <c r="C16" s="275">
        <f t="shared" si="14"/>
        <v>-3163194</v>
      </c>
      <c r="D16" s="14">
        <f t="shared" si="0"/>
        <v>17924740.780000001</v>
      </c>
      <c r="E16" s="117">
        <f t="shared" si="1"/>
        <v>7.2190000000000004E-2</v>
      </c>
      <c r="F16" s="14">
        <f t="shared" si="16"/>
        <v>-1425105.0591534169</v>
      </c>
      <c r="G16" s="14">
        <f t="shared" si="3"/>
        <v>19662829.720846586</v>
      </c>
      <c r="H16" s="118">
        <f t="shared" si="4"/>
        <v>6.7579166666666593E-2</v>
      </c>
      <c r="I16" s="14">
        <f t="shared" si="5"/>
        <v>1738088.9408465847</v>
      </c>
      <c r="J16" s="14">
        <f t="shared" si="6"/>
        <v>364999</v>
      </c>
      <c r="L16" s="9">
        <v>2025</v>
      </c>
      <c r="M16" s="9">
        <v>5</v>
      </c>
      <c r="N16" s="275">
        <f t="shared" si="15"/>
        <v>-3163194</v>
      </c>
      <c r="O16" s="14">
        <f t="shared" si="7"/>
        <v>17924740.780000001</v>
      </c>
      <c r="P16" s="117">
        <f t="shared" si="8"/>
        <v>7.2190000000000004E-2</v>
      </c>
      <c r="Q16" s="14">
        <f t="shared" si="17"/>
        <v>-1425105.0591534169</v>
      </c>
      <c r="R16" s="14">
        <f t="shared" si="10"/>
        <v>19662829.720846586</v>
      </c>
      <c r="S16" s="118">
        <f t="shared" si="11"/>
        <v>6.7579166666666593E-2</v>
      </c>
      <c r="T16" s="14">
        <f t="shared" si="12"/>
        <v>1738088.9408465847</v>
      </c>
      <c r="U16" s="14">
        <f t="shared" si="13"/>
        <v>364999</v>
      </c>
    </row>
    <row r="17" spans="1:21" x14ac:dyDescent="0.2">
      <c r="A17" s="9">
        <v>2025</v>
      </c>
      <c r="B17" s="9">
        <v>6</v>
      </c>
      <c r="C17" s="275">
        <f t="shared" si="14"/>
        <v>-3514660</v>
      </c>
      <c r="D17" s="14">
        <f t="shared" si="0"/>
        <v>17573274.780000001</v>
      </c>
      <c r="E17" s="117">
        <f t="shared" si="1"/>
        <v>7.2190000000000004E-2</v>
      </c>
      <c r="F17" s="14">
        <f t="shared" si="16"/>
        <v>-1551966.5601341003</v>
      </c>
      <c r="G17" s="14">
        <f t="shared" si="3"/>
        <v>19535968.2198659</v>
      </c>
      <c r="H17" s="118">
        <f t="shared" si="4"/>
        <v>7.3595000000000077E-2</v>
      </c>
      <c r="I17" s="14">
        <f t="shared" si="5"/>
        <v>1962693.4398658983</v>
      </c>
      <c r="J17" s="14">
        <f t="shared" si="6"/>
        <v>412166</v>
      </c>
      <c r="L17" s="9">
        <v>2025</v>
      </c>
      <c r="M17" s="9">
        <v>6</v>
      </c>
      <c r="N17" s="275">
        <f t="shared" si="15"/>
        <v>-3514660</v>
      </c>
      <c r="O17" s="14">
        <f t="shared" si="7"/>
        <v>17573274.780000001</v>
      </c>
      <c r="P17" s="117">
        <f t="shared" si="8"/>
        <v>7.2190000000000004E-2</v>
      </c>
      <c r="Q17" s="14">
        <f t="shared" si="17"/>
        <v>-1551966.5601341003</v>
      </c>
      <c r="R17" s="14">
        <f t="shared" si="10"/>
        <v>19535968.2198659</v>
      </c>
      <c r="S17" s="118">
        <f t="shared" si="11"/>
        <v>7.3595000000000077E-2</v>
      </c>
      <c r="T17" s="14">
        <f t="shared" si="12"/>
        <v>1962693.4398658983</v>
      </c>
      <c r="U17" s="14">
        <f t="shared" si="13"/>
        <v>412166</v>
      </c>
    </row>
    <row r="18" spans="1:21" x14ac:dyDescent="0.2">
      <c r="A18" s="9">
        <v>2025</v>
      </c>
      <c r="B18" s="9">
        <v>7</v>
      </c>
      <c r="C18" s="275">
        <f t="shared" si="14"/>
        <v>-3866126</v>
      </c>
      <c r="D18" s="14">
        <f t="shared" si="0"/>
        <v>17221808.780000001</v>
      </c>
      <c r="E18" s="117">
        <f t="shared" si="1"/>
        <v>7.2190000000000004E-2</v>
      </c>
      <c r="F18" s="14">
        <f t="shared" si="16"/>
        <v>-1678828.0611147836</v>
      </c>
      <c r="G18" s="14">
        <f t="shared" si="3"/>
        <v>19409106.718885217</v>
      </c>
      <c r="H18" s="118">
        <f t="shared" si="4"/>
        <v>7.9610833333333381E-2</v>
      </c>
      <c r="I18" s="14">
        <f t="shared" si="5"/>
        <v>2187297.9388852157</v>
      </c>
      <c r="J18" s="14">
        <f t="shared" si="6"/>
        <v>459333</v>
      </c>
      <c r="L18" s="9">
        <v>2025</v>
      </c>
      <c r="M18" s="9">
        <v>7</v>
      </c>
      <c r="N18" s="275">
        <f t="shared" si="15"/>
        <v>-3866126</v>
      </c>
      <c r="O18" s="14">
        <f t="shared" si="7"/>
        <v>17221808.780000001</v>
      </c>
      <c r="P18" s="117">
        <f t="shared" si="8"/>
        <v>7.2190000000000004E-2</v>
      </c>
      <c r="Q18" s="14">
        <f t="shared" si="17"/>
        <v>-1678828.0611147836</v>
      </c>
      <c r="R18" s="14">
        <f t="shared" si="10"/>
        <v>19409106.718885217</v>
      </c>
      <c r="S18" s="118">
        <f t="shared" si="11"/>
        <v>7.9610833333333381E-2</v>
      </c>
      <c r="T18" s="14">
        <f t="shared" si="12"/>
        <v>2187297.9388852157</v>
      </c>
      <c r="U18" s="14">
        <f t="shared" si="13"/>
        <v>459333</v>
      </c>
    </row>
    <row r="19" spans="1:21" x14ac:dyDescent="0.2">
      <c r="A19" s="9">
        <v>2025</v>
      </c>
      <c r="B19" s="9">
        <v>8</v>
      </c>
      <c r="C19" s="275">
        <f t="shared" si="14"/>
        <v>-4217592</v>
      </c>
      <c r="D19" s="14">
        <f t="shared" si="0"/>
        <v>16870342.780000001</v>
      </c>
      <c r="E19" s="117">
        <f t="shared" si="1"/>
        <v>7.2190000000000004E-2</v>
      </c>
      <c r="F19" s="14">
        <f t="shared" si="16"/>
        <v>-1805689.562095467</v>
      </c>
      <c r="G19" s="14">
        <f t="shared" si="3"/>
        <v>19282245.217904534</v>
      </c>
      <c r="H19" s="118">
        <f t="shared" si="4"/>
        <v>8.5626666666666684E-2</v>
      </c>
      <c r="I19" s="14">
        <f t="shared" si="5"/>
        <v>2411902.437904533</v>
      </c>
      <c r="J19" s="14">
        <f t="shared" si="6"/>
        <v>506500</v>
      </c>
      <c r="L19" s="9">
        <v>2025</v>
      </c>
      <c r="M19" s="9">
        <v>8</v>
      </c>
      <c r="N19" s="275">
        <f t="shared" si="15"/>
        <v>-4217592</v>
      </c>
      <c r="O19" s="14">
        <f t="shared" si="7"/>
        <v>16870342.780000001</v>
      </c>
      <c r="P19" s="117">
        <f t="shared" si="8"/>
        <v>7.2190000000000004E-2</v>
      </c>
      <c r="Q19" s="14">
        <f t="shared" si="17"/>
        <v>-1805689.562095467</v>
      </c>
      <c r="R19" s="14">
        <f t="shared" si="10"/>
        <v>19282245.217904534</v>
      </c>
      <c r="S19" s="118">
        <f t="shared" si="11"/>
        <v>8.5626666666666684E-2</v>
      </c>
      <c r="T19" s="14">
        <f t="shared" si="12"/>
        <v>2411902.437904533</v>
      </c>
      <c r="U19" s="14">
        <f t="shared" si="13"/>
        <v>506500</v>
      </c>
    </row>
    <row r="20" spans="1:21" x14ac:dyDescent="0.2">
      <c r="A20" s="9">
        <v>2025</v>
      </c>
      <c r="B20" s="9">
        <v>9</v>
      </c>
      <c r="C20" s="275">
        <f t="shared" si="14"/>
        <v>-4569058</v>
      </c>
      <c r="D20" s="14">
        <f t="shared" si="0"/>
        <v>16518876.780000001</v>
      </c>
      <c r="E20" s="117">
        <f t="shared" si="1"/>
        <v>7.2190000000000004E-2</v>
      </c>
      <c r="F20" s="14">
        <f t="shared" si="16"/>
        <v>-1932551.0630761504</v>
      </c>
      <c r="G20" s="14">
        <f t="shared" si="3"/>
        <v>19155383.716923852</v>
      </c>
      <c r="H20" s="118">
        <f t="shared" si="4"/>
        <v>9.1642499999999974E-2</v>
      </c>
      <c r="I20" s="14">
        <f t="shared" si="5"/>
        <v>2636506.9369238503</v>
      </c>
      <c r="J20" s="14">
        <f t="shared" si="6"/>
        <v>553666</v>
      </c>
      <c r="L20" s="9">
        <v>2025</v>
      </c>
      <c r="M20" s="9">
        <v>9</v>
      </c>
      <c r="N20" s="275">
        <f t="shared" si="15"/>
        <v>-4569058</v>
      </c>
      <c r="O20" s="14">
        <f t="shared" si="7"/>
        <v>16518876.780000001</v>
      </c>
      <c r="P20" s="117">
        <f t="shared" si="8"/>
        <v>7.2190000000000004E-2</v>
      </c>
      <c r="Q20" s="14">
        <f t="shared" si="17"/>
        <v>-1932551.0630761504</v>
      </c>
      <c r="R20" s="14">
        <f t="shared" si="10"/>
        <v>19155383.716923852</v>
      </c>
      <c r="S20" s="118">
        <f t="shared" si="11"/>
        <v>9.1642499999999974E-2</v>
      </c>
      <c r="T20" s="14">
        <f t="shared" si="12"/>
        <v>2636506.9369238503</v>
      </c>
      <c r="U20" s="14">
        <f t="shared" si="13"/>
        <v>553666</v>
      </c>
    </row>
    <row r="21" spans="1:21" x14ac:dyDescent="0.2">
      <c r="A21" s="9">
        <v>2025</v>
      </c>
      <c r="B21" s="9">
        <v>10</v>
      </c>
      <c r="C21" s="275">
        <f t="shared" si="14"/>
        <v>-4920524</v>
      </c>
      <c r="D21" s="14">
        <f t="shared" si="0"/>
        <v>16167410.780000001</v>
      </c>
      <c r="E21" s="117">
        <f t="shared" si="1"/>
        <v>7.2190000000000004E-2</v>
      </c>
      <c r="F21" s="14">
        <f t="shared" si="16"/>
        <v>-2059412.5640568337</v>
      </c>
      <c r="G21" s="14">
        <f t="shared" si="3"/>
        <v>19028522.215943169</v>
      </c>
      <c r="H21" s="118">
        <f t="shared" si="4"/>
        <v>9.7658333333333278E-2</v>
      </c>
      <c r="I21" s="14">
        <f t="shared" si="5"/>
        <v>2861111.4359431677</v>
      </c>
      <c r="J21" s="14">
        <f t="shared" si="6"/>
        <v>600833</v>
      </c>
      <c r="L21" s="9">
        <v>2025</v>
      </c>
      <c r="M21" s="9">
        <v>10</v>
      </c>
      <c r="N21" s="275">
        <f t="shared" si="15"/>
        <v>-4920524</v>
      </c>
      <c r="O21" s="14">
        <f t="shared" si="7"/>
        <v>16167410.780000001</v>
      </c>
      <c r="P21" s="117">
        <f t="shared" si="8"/>
        <v>7.2190000000000004E-2</v>
      </c>
      <c r="Q21" s="14">
        <f t="shared" si="17"/>
        <v>-2059412.5640568337</v>
      </c>
      <c r="R21" s="14">
        <f t="shared" si="10"/>
        <v>19028522.215943169</v>
      </c>
      <c r="S21" s="118">
        <f t="shared" si="11"/>
        <v>9.7658333333333278E-2</v>
      </c>
      <c r="T21" s="14">
        <f t="shared" si="12"/>
        <v>2861111.4359431677</v>
      </c>
      <c r="U21" s="14">
        <f t="shared" si="13"/>
        <v>600833</v>
      </c>
    </row>
    <row r="22" spans="1:21" x14ac:dyDescent="0.2">
      <c r="A22" s="9">
        <v>2025</v>
      </c>
      <c r="B22" s="9">
        <v>11</v>
      </c>
      <c r="C22" s="275">
        <f t="shared" si="14"/>
        <v>-5271990</v>
      </c>
      <c r="D22" s="14">
        <f t="shared" si="0"/>
        <v>15815944.780000001</v>
      </c>
      <c r="E22" s="117">
        <f t="shared" si="1"/>
        <v>7.2190000000000004E-2</v>
      </c>
      <c r="F22" s="14">
        <f t="shared" si="16"/>
        <v>-2186274.0650375169</v>
      </c>
      <c r="G22" s="14">
        <f t="shared" si="3"/>
        <v>18901660.714962482</v>
      </c>
      <c r="H22" s="118">
        <f t="shared" si="4"/>
        <v>0.10367416666666676</v>
      </c>
      <c r="I22" s="14">
        <f t="shared" si="5"/>
        <v>3085715.9349624813</v>
      </c>
      <c r="J22" s="14">
        <f t="shared" si="6"/>
        <v>648000</v>
      </c>
      <c r="L22" s="9">
        <v>2025</v>
      </c>
      <c r="M22" s="9">
        <v>11</v>
      </c>
      <c r="N22" s="275">
        <f t="shared" si="15"/>
        <v>-5271990</v>
      </c>
      <c r="O22" s="14">
        <f t="shared" si="7"/>
        <v>15815944.780000001</v>
      </c>
      <c r="P22" s="117">
        <f t="shared" si="8"/>
        <v>7.2190000000000004E-2</v>
      </c>
      <c r="Q22" s="14">
        <f t="shared" si="17"/>
        <v>-2186274.0650375169</v>
      </c>
      <c r="R22" s="14">
        <f t="shared" si="10"/>
        <v>18901660.714962482</v>
      </c>
      <c r="S22" s="118">
        <f t="shared" si="11"/>
        <v>0.10367416666666676</v>
      </c>
      <c r="T22" s="14">
        <f t="shared" si="12"/>
        <v>3085715.9349624813</v>
      </c>
      <c r="U22" s="14">
        <f t="shared" si="13"/>
        <v>648000</v>
      </c>
    </row>
    <row r="23" spans="1:21" x14ac:dyDescent="0.2">
      <c r="A23" s="9">
        <v>2025</v>
      </c>
      <c r="B23" s="9">
        <v>12</v>
      </c>
      <c r="C23" s="275">
        <f t="shared" si="14"/>
        <v>-5623456</v>
      </c>
      <c r="D23" s="14">
        <f t="shared" si="0"/>
        <v>15464478.780000001</v>
      </c>
      <c r="E23" s="117">
        <f t="shared" si="1"/>
        <v>7.2190000000000004E-2</v>
      </c>
      <c r="F23" s="14">
        <f t="shared" si="16"/>
        <v>-2313135.5660182</v>
      </c>
      <c r="G23" s="14">
        <f t="shared" si="3"/>
        <v>18774799.2139818</v>
      </c>
      <c r="H23" s="118">
        <f t="shared" si="4"/>
        <v>0.10969000000000007</v>
      </c>
      <c r="I23" s="14">
        <f t="shared" si="5"/>
        <v>3310320.4339817986</v>
      </c>
      <c r="J23" s="14">
        <f t="shared" si="6"/>
        <v>695167</v>
      </c>
      <c r="L23" s="9">
        <v>2025</v>
      </c>
      <c r="M23" s="9">
        <v>12</v>
      </c>
      <c r="N23" s="275">
        <f t="shared" si="15"/>
        <v>-5623456</v>
      </c>
      <c r="O23" s="14">
        <f t="shared" si="7"/>
        <v>15464478.780000001</v>
      </c>
      <c r="P23" s="117">
        <f t="shared" si="8"/>
        <v>7.2190000000000004E-2</v>
      </c>
      <c r="Q23" s="14">
        <f t="shared" si="17"/>
        <v>-2313135.5660182</v>
      </c>
      <c r="R23" s="14">
        <f t="shared" si="10"/>
        <v>18774799.2139818</v>
      </c>
      <c r="S23" s="118">
        <f t="shared" si="11"/>
        <v>0.10969000000000007</v>
      </c>
      <c r="T23" s="14">
        <f t="shared" si="12"/>
        <v>3310320.4339817986</v>
      </c>
      <c r="U23" s="14">
        <f t="shared" si="13"/>
        <v>695167</v>
      </c>
    </row>
    <row r="24" spans="1:21" x14ac:dyDescent="0.2">
      <c r="A24" s="9">
        <v>2026</v>
      </c>
      <c r="B24" s="9">
        <v>1</v>
      </c>
      <c r="C24" s="275">
        <f t="shared" ref="C24:C59" si="18">-(ROUND($C$2*$C$5/12,0)-C23)</f>
        <v>-5974922</v>
      </c>
      <c r="D24" s="14">
        <f t="shared" si="0"/>
        <v>15113012.780000001</v>
      </c>
      <c r="E24" s="117">
        <f t="shared" si="1"/>
        <v>6.6769999999999996E-2</v>
      </c>
      <c r="F24" s="14">
        <f t="shared" si="16"/>
        <v>-2430472.3497899165</v>
      </c>
      <c r="G24" s="14">
        <f t="shared" si="3"/>
        <v>18657462.430210084</v>
      </c>
      <c r="H24" s="118">
        <f t="shared" si="4"/>
        <v>0.1152541666666667</v>
      </c>
      <c r="I24" s="14">
        <f t="shared" si="5"/>
        <v>3544449.6502100825</v>
      </c>
      <c r="J24" s="14">
        <f t="shared" si="6"/>
        <v>744334</v>
      </c>
      <c r="L24" s="9">
        <v>2026</v>
      </c>
      <c r="M24" s="9">
        <v>1</v>
      </c>
      <c r="N24" s="259">
        <f>-(ROUND($N$2*$N$6/12,0)-N23)</f>
        <v>-5709389</v>
      </c>
      <c r="O24" s="14">
        <f t="shared" si="7"/>
        <v>15378545.780000001</v>
      </c>
      <c r="P24" s="117">
        <f t="shared" si="8"/>
        <v>6.6769999999999996E-2</v>
      </c>
      <c r="Q24" s="14">
        <f t="shared" si="17"/>
        <v>-2430472.3497899165</v>
      </c>
      <c r="R24" s="14">
        <f t="shared" si="10"/>
        <v>18657462.430210084</v>
      </c>
      <c r="S24" s="118">
        <f t="shared" si="11"/>
        <v>0.1152541666666667</v>
      </c>
      <c r="T24" s="14">
        <f t="shared" si="12"/>
        <v>3278916.6502100825</v>
      </c>
      <c r="U24" s="14">
        <f t="shared" si="13"/>
        <v>688572</v>
      </c>
    </row>
    <row r="25" spans="1:21" x14ac:dyDescent="0.2">
      <c r="A25" s="9">
        <v>2026</v>
      </c>
      <c r="B25" s="9">
        <v>2</v>
      </c>
      <c r="C25" s="275">
        <f t="shared" si="18"/>
        <v>-6326388</v>
      </c>
      <c r="D25" s="14">
        <f t="shared" si="0"/>
        <v>14761546.780000001</v>
      </c>
      <c r="E25" s="117">
        <f t="shared" si="1"/>
        <v>6.6769999999999996E-2</v>
      </c>
      <c r="F25" s="14">
        <f t="shared" si="16"/>
        <v>-2547809.1335616331</v>
      </c>
      <c r="G25" s="14">
        <f t="shared" si="3"/>
        <v>18540125.646438368</v>
      </c>
      <c r="H25" s="118">
        <f t="shared" si="4"/>
        <v>0.12081833333333333</v>
      </c>
      <c r="I25" s="14">
        <f t="shared" si="5"/>
        <v>3778578.8664383665</v>
      </c>
      <c r="J25" s="14">
        <f t="shared" si="6"/>
        <v>793502</v>
      </c>
      <c r="L25" s="9">
        <v>2026</v>
      </c>
      <c r="M25" s="9">
        <v>2</v>
      </c>
      <c r="N25" s="259">
        <f t="shared" ref="N25:N88" si="19">-(ROUND($N$2*$N$6/12,0)-N24)</f>
        <v>-5795322</v>
      </c>
      <c r="O25" s="14">
        <f t="shared" si="7"/>
        <v>15292612.780000001</v>
      </c>
      <c r="P25" s="117">
        <f t="shared" si="8"/>
        <v>6.6769999999999996E-2</v>
      </c>
      <c r="Q25" s="14">
        <f t="shared" si="17"/>
        <v>-2547809.1335616331</v>
      </c>
      <c r="R25" s="14">
        <f t="shared" si="10"/>
        <v>18540125.646438368</v>
      </c>
      <c r="S25" s="118">
        <f t="shared" si="11"/>
        <v>0.12081833333333333</v>
      </c>
      <c r="T25" s="14">
        <f t="shared" si="12"/>
        <v>3247512.8664383665</v>
      </c>
      <c r="U25" s="14">
        <f t="shared" si="13"/>
        <v>681978</v>
      </c>
    </row>
    <row r="26" spans="1:21" x14ac:dyDescent="0.2">
      <c r="A26" s="9">
        <v>2026</v>
      </c>
      <c r="B26" s="9">
        <v>3</v>
      </c>
      <c r="C26" s="275">
        <f t="shared" si="18"/>
        <v>-6677854</v>
      </c>
      <c r="D26" s="14">
        <f t="shared" si="0"/>
        <v>14410080.780000001</v>
      </c>
      <c r="E26" s="117">
        <f t="shared" si="1"/>
        <v>6.6769999999999996E-2</v>
      </c>
      <c r="F26" s="14">
        <f t="shared" si="16"/>
        <v>-2665145.9173333496</v>
      </c>
      <c r="G26" s="14">
        <f t="shared" si="3"/>
        <v>18422788.862666652</v>
      </c>
      <c r="H26" s="118">
        <f t="shared" si="4"/>
        <v>0.12638249999999998</v>
      </c>
      <c r="I26" s="14">
        <f t="shared" si="5"/>
        <v>4012708.0826666504</v>
      </c>
      <c r="J26" s="14">
        <f t="shared" si="6"/>
        <v>842669</v>
      </c>
      <c r="L26" s="9">
        <v>2026</v>
      </c>
      <c r="M26" s="9">
        <v>3</v>
      </c>
      <c r="N26" s="259">
        <f t="shared" si="19"/>
        <v>-5881255</v>
      </c>
      <c r="O26" s="14">
        <f t="shared" si="7"/>
        <v>15206679.780000001</v>
      </c>
      <c r="P26" s="117">
        <f t="shared" si="8"/>
        <v>6.6769999999999996E-2</v>
      </c>
      <c r="Q26" s="14">
        <f t="shared" si="17"/>
        <v>-2665145.9173333496</v>
      </c>
      <c r="R26" s="14">
        <f t="shared" si="10"/>
        <v>18422788.862666652</v>
      </c>
      <c r="S26" s="118">
        <f t="shared" si="11"/>
        <v>0.12638249999999998</v>
      </c>
      <c r="T26" s="14">
        <f t="shared" si="12"/>
        <v>3216109.0826666504</v>
      </c>
      <c r="U26" s="14">
        <f t="shared" si="13"/>
        <v>675383</v>
      </c>
    </row>
    <row r="27" spans="1:21" x14ac:dyDescent="0.2">
      <c r="A27" s="9">
        <v>2026</v>
      </c>
      <c r="B27" s="9">
        <v>4</v>
      </c>
      <c r="C27" s="275">
        <f t="shared" si="18"/>
        <v>-7029320</v>
      </c>
      <c r="D27" s="14">
        <f t="shared" si="0"/>
        <v>14058614.780000001</v>
      </c>
      <c r="E27" s="117">
        <f t="shared" si="1"/>
        <v>6.6769999999999996E-2</v>
      </c>
      <c r="F27" s="14">
        <f t="shared" si="16"/>
        <v>-2782482.7011050661</v>
      </c>
      <c r="G27" s="14">
        <f t="shared" si="3"/>
        <v>18305452.078894936</v>
      </c>
      <c r="H27" s="118">
        <f t="shared" si="4"/>
        <v>0.1319466666666666</v>
      </c>
      <c r="I27" s="14">
        <f t="shared" si="5"/>
        <v>4246837.2988949344</v>
      </c>
      <c r="J27" s="14">
        <f t="shared" si="6"/>
        <v>891836</v>
      </c>
      <c r="L27" s="9">
        <v>2026</v>
      </c>
      <c r="M27" s="9">
        <v>4</v>
      </c>
      <c r="N27" s="259">
        <f t="shared" si="19"/>
        <v>-5967188</v>
      </c>
      <c r="O27" s="14">
        <f t="shared" si="7"/>
        <v>15120746.780000001</v>
      </c>
      <c r="P27" s="117">
        <f t="shared" si="8"/>
        <v>6.6769999999999996E-2</v>
      </c>
      <c r="Q27" s="14">
        <f t="shared" si="17"/>
        <v>-2782482.7011050661</v>
      </c>
      <c r="R27" s="14">
        <f t="shared" si="10"/>
        <v>18305452.078894936</v>
      </c>
      <c r="S27" s="118">
        <f t="shared" si="11"/>
        <v>0.1319466666666666</v>
      </c>
      <c r="T27" s="14">
        <f t="shared" si="12"/>
        <v>3184705.2988949344</v>
      </c>
      <c r="U27" s="14">
        <f t="shared" si="13"/>
        <v>668788</v>
      </c>
    </row>
    <row r="28" spans="1:21" x14ac:dyDescent="0.2">
      <c r="A28" s="9">
        <v>2026</v>
      </c>
      <c r="B28" s="9">
        <v>5</v>
      </c>
      <c r="C28" s="275">
        <f t="shared" si="18"/>
        <v>-7380786</v>
      </c>
      <c r="D28" s="14">
        <f t="shared" si="0"/>
        <v>13707148.780000001</v>
      </c>
      <c r="E28" s="117">
        <f t="shared" si="1"/>
        <v>6.6769999999999996E-2</v>
      </c>
      <c r="F28" s="14">
        <f t="shared" si="16"/>
        <v>-2899819.4848767826</v>
      </c>
      <c r="G28" s="14">
        <f t="shared" si="3"/>
        <v>18188115.295123219</v>
      </c>
      <c r="H28" s="118">
        <f t="shared" si="4"/>
        <v>0.13751083333333325</v>
      </c>
      <c r="I28" s="14">
        <f t="shared" si="5"/>
        <v>4480966.5151232183</v>
      </c>
      <c r="J28" s="14">
        <f t="shared" si="6"/>
        <v>941003</v>
      </c>
      <c r="L28" s="9">
        <v>2026</v>
      </c>
      <c r="M28" s="9">
        <v>5</v>
      </c>
      <c r="N28" s="259">
        <f t="shared" si="19"/>
        <v>-6053121</v>
      </c>
      <c r="O28" s="14">
        <f t="shared" si="7"/>
        <v>15034813.780000001</v>
      </c>
      <c r="P28" s="117">
        <f t="shared" si="8"/>
        <v>6.6769999999999996E-2</v>
      </c>
      <c r="Q28" s="14">
        <f t="shared" si="17"/>
        <v>-2899819.4848767826</v>
      </c>
      <c r="R28" s="14">
        <f t="shared" si="10"/>
        <v>18188115.295123219</v>
      </c>
      <c r="S28" s="118">
        <f t="shared" si="11"/>
        <v>0.13751083333333325</v>
      </c>
      <c r="T28" s="14">
        <f t="shared" si="12"/>
        <v>3153301.5151232183</v>
      </c>
      <c r="U28" s="14">
        <f t="shared" si="13"/>
        <v>662193</v>
      </c>
    </row>
    <row r="29" spans="1:21" x14ac:dyDescent="0.2">
      <c r="A29" s="9">
        <v>2026</v>
      </c>
      <c r="B29" s="9">
        <v>6</v>
      </c>
      <c r="C29" s="275">
        <f t="shared" si="18"/>
        <v>-7732252</v>
      </c>
      <c r="D29" s="14">
        <f t="shared" si="0"/>
        <v>13355682.780000001</v>
      </c>
      <c r="E29" s="117">
        <f t="shared" si="1"/>
        <v>6.6769999999999996E-2</v>
      </c>
      <c r="F29" s="14">
        <f t="shared" si="16"/>
        <v>-3017156.2686484992</v>
      </c>
      <c r="G29" s="14">
        <f t="shared" si="3"/>
        <v>18070778.511351503</v>
      </c>
      <c r="H29" s="118">
        <f t="shared" si="4"/>
        <v>0.1430749999999999</v>
      </c>
      <c r="I29" s="14">
        <f t="shared" si="5"/>
        <v>4715095.7313515022</v>
      </c>
      <c r="J29" s="14">
        <f t="shared" si="6"/>
        <v>990170</v>
      </c>
      <c r="L29" s="9">
        <v>2026</v>
      </c>
      <c r="M29" s="9">
        <v>6</v>
      </c>
      <c r="N29" s="259">
        <f t="shared" si="19"/>
        <v>-6139054</v>
      </c>
      <c r="O29" s="14">
        <f t="shared" si="7"/>
        <v>14948880.780000001</v>
      </c>
      <c r="P29" s="117">
        <f t="shared" si="8"/>
        <v>6.6769999999999996E-2</v>
      </c>
      <c r="Q29" s="14">
        <f t="shared" si="17"/>
        <v>-3017156.2686484992</v>
      </c>
      <c r="R29" s="14">
        <f t="shared" si="10"/>
        <v>18070778.511351503</v>
      </c>
      <c r="S29" s="118">
        <f t="shared" si="11"/>
        <v>0.1430749999999999</v>
      </c>
      <c r="T29" s="14">
        <f t="shared" si="12"/>
        <v>3121897.7313515022</v>
      </c>
      <c r="U29" s="14">
        <f t="shared" si="13"/>
        <v>655599</v>
      </c>
    </row>
    <row r="30" spans="1:21" x14ac:dyDescent="0.2">
      <c r="A30" s="9">
        <v>2026</v>
      </c>
      <c r="B30" s="9">
        <v>7</v>
      </c>
      <c r="C30" s="275">
        <f t="shared" si="18"/>
        <v>-8083718</v>
      </c>
      <c r="D30" s="14">
        <f t="shared" si="0"/>
        <v>13004216.780000001</v>
      </c>
      <c r="E30" s="117">
        <f t="shared" si="1"/>
        <v>6.6769999999999996E-2</v>
      </c>
      <c r="F30" s="14">
        <f t="shared" si="16"/>
        <v>-3134493.0524202157</v>
      </c>
      <c r="G30" s="14">
        <f t="shared" si="3"/>
        <v>17953441.727579787</v>
      </c>
      <c r="H30" s="118">
        <f t="shared" si="4"/>
        <v>0.14863916666666652</v>
      </c>
      <c r="I30" s="14">
        <f t="shared" si="5"/>
        <v>4949224.9475797862</v>
      </c>
      <c r="J30" s="14">
        <f t="shared" si="6"/>
        <v>1039337</v>
      </c>
      <c r="L30" s="9">
        <v>2026</v>
      </c>
      <c r="M30" s="9">
        <v>7</v>
      </c>
      <c r="N30" s="259">
        <f t="shared" si="19"/>
        <v>-6224987</v>
      </c>
      <c r="O30" s="14">
        <f t="shared" si="7"/>
        <v>14862947.780000001</v>
      </c>
      <c r="P30" s="117">
        <f t="shared" si="8"/>
        <v>6.6769999999999996E-2</v>
      </c>
      <c r="Q30" s="14">
        <f t="shared" si="17"/>
        <v>-3134493.0524202157</v>
      </c>
      <c r="R30" s="14">
        <f t="shared" si="10"/>
        <v>17953441.727579787</v>
      </c>
      <c r="S30" s="118">
        <f t="shared" si="11"/>
        <v>0.14863916666666652</v>
      </c>
      <c r="T30" s="14">
        <f t="shared" si="12"/>
        <v>3090493.9475797862</v>
      </c>
      <c r="U30" s="14">
        <f t="shared" si="13"/>
        <v>649004</v>
      </c>
    </row>
    <row r="31" spans="1:21" x14ac:dyDescent="0.2">
      <c r="A31" s="9">
        <v>2026</v>
      </c>
      <c r="B31" s="9">
        <v>8</v>
      </c>
      <c r="C31" s="275">
        <f t="shared" si="18"/>
        <v>-8435184</v>
      </c>
      <c r="D31" s="14">
        <f t="shared" si="0"/>
        <v>12652750.780000001</v>
      </c>
      <c r="E31" s="117">
        <f t="shared" si="1"/>
        <v>6.6769999999999996E-2</v>
      </c>
      <c r="F31" s="14">
        <f t="shared" si="16"/>
        <v>-3251829.8361919322</v>
      </c>
      <c r="G31" s="14">
        <f t="shared" si="3"/>
        <v>17836104.943808068</v>
      </c>
      <c r="H31" s="118">
        <f t="shared" si="4"/>
        <v>0.15420333333333333</v>
      </c>
      <c r="I31" s="14">
        <f t="shared" si="5"/>
        <v>5183354.1638080664</v>
      </c>
      <c r="J31" s="14">
        <f t="shared" si="6"/>
        <v>1088504</v>
      </c>
      <c r="L31" s="9">
        <v>2026</v>
      </c>
      <c r="M31" s="9">
        <v>8</v>
      </c>
      <c r="N31" s="259">
        <f t="shared" si="19"/>
        <v>-6310920</v>
      </c>
      <c r="O31" s="14">
        <f t="shared" si="7"/>
        <v>14777014.780000001</v>
      </c>
      <c r="P31" s="117">
        <f t="shared" si="8"/>
        <v>6.6769999999999996E-2</v>
      </c>
      <c r="Q31" s="14">
        <f t="shared" si="17"/>
        <v>-3251829.8361919322</v>
      </c>
      <c r="R31" s="14">
        <f t="shared" si="10"/>
        <v>17836104.943808068</v>
      </c>
      <c r="S31" s="118">
        <f t="shared" si="11"/>
        <v>0.15420333333333333</v>
      </c>
      <c r="T31" s="14">
        <f t="shared" si="12"/>
        <v>3059090.1638080664</v>
      </c>
      <c r="U31" s="14">
        <f t="shared" si="13"/>
        <v>642409</v>
      </c>
    </row>
    <row r="32" spans="1:21" x14ac:dyDescent="0.2">
      <c r="A32" s="9">
        <v>2026</v>
      </c>
      <c r="B32" s="9">
        <v>9</v>
      </c>
      <c r="C32" s="275">
        <f t="shared" si="18"/>
        <v>-8786650</v>
      </c>
      <c r="D32" s="14">
        <f t="shared" si="0"/>
        <v>12301284.780000001</v>
      </c>
      <c r="E32" s="117">
        <f t="shared" si="1"/>
        <v>6.6769999999999996E-2</v>
      </c>
      <c r="F32" s="14">
        <f t="shared" si="16"/>
        <v>-3369166.6199636487</v>
      </c>
      <c r="G32" s="14">
        <f t="shared" si="3"/>
        <v>17718768.160036352</v>
      </c>
      <c r="H32" s="118">
        <f t="shared" si="4"/>
        <v>0.15976749999999998</v>
      </c>
      <c r="I32" s="14">
        <f t="shared" si="5"/>
        <v>5417483.3800363503</v>
      </c>
      <c r="J32" s="14">
        <f t="shared" si="6"/>
        <v>1137672</v>
      </c>
      <c r="L32" s="9">
        <v>2026</v>
      </c>
      <c r="M32" s="9">
        <v>9</v>
      </c>
      <c r="N32" s="259">
        <f t="shared" si="19"/>
        <v>-6396853</v>
      </c>
      <c r="O32" s="14">
        <f t="shared" si="7"/>
        <v>14691081.780000001</v>
      </c>
      <c r="P32" s="117">
        <f t="shared" si="8"/>
        <v>6.6769999999999996E-2</v>
      </c>
      <c r="Q32" s="14">
        <f t="shared" si="17"/>
        <v>-3369166.6199636487</v>
      </c>
      <c r="R32" s="14">
        <f t="shared" si="10"/>
        <v>17718768.160036352</v>
      </c>
      <c r="S32" s="118">
        <f t="shared" si="11"/>
        <v>0.15976749999999998</v>
      </c>
      <c r="T32" s="14">
        <f t="shared" si="12"/>
        <v>3027686.3800363503</v>
      </c>
      <c r="U32" s="14">
        <f t="shared" si="13"/>
        <v>635814</v>
      </c>
    </row>
    <row r="33" spans="1:21" x14ac:dyDescent="0.2">
      <c r="A33" s="9">
        <v>2026</v>
      </c>
      <c r="B33" s="9">
        <v>10</v>
      </c>
      <c r="C33" s="275">
        <f t="shared" si="18"/>
        <v>-9138116</v>
      </c>
      <c r="D33" s="14">
        <f t="shared" si="0"/>
        <v>11949818.780000001</v>
      </c>
      <c r="E33" s="117">
        <f t="shared" si="1"/>
        <v>6.6769999999999996E-2</v>
      </c>
      <c r="F33" s="14">
        <f t="shared" si="16"/>
        <v>-3486503.4037353653</v>
      </c>
      <c r="G33" s="14">
        <f t="shared" si="3"/>
        <v>17601431.376264635</v>
      </c>
      <c r="H33" s="118">
        <f t="shared" si="4"/>
        <v>0.1653316666666666</v>
      </c>
      <c r="I33" s="14">
        <f t="shared" si="5"/>
        <v>5651612.5962646343</v>
      </c>
      <c r="J33" s="14">
        <f t="shared" si="6"/>
        <v>1186839</v>
      </c>
      <c r="L33" s="9">
        <v>2026</v>
      </c>
      <c r="M33" s="9">
        <v>10</v>
      </c>
      <c r="N33" s="259">
        <f t="shared" si="19"/>
        <v>-6482786</v>
      </c>
      <c r="O33" s="14">
        <f t="shared" si="7"/>
        <v>14605148.780000001</v>
      </c>
      <c r="P33" s="117">
        <f t="shared" si="8"/>
        <v>6.6769999999999996E-2</v>
      </c>
      <c r="Q33" s="14">
        <f t="shared" si="17"/>
        <v>-3486503.4037353653</v>
      </c>
      <c r="R33" s="14">
        <f t="shared" si="10"/>
        <v>17601431.376264635</v>
      </c>
      <c r="S33" s="118">
        <f t="shared" si="11"/>
        <v>0.1653316666666666</v>
      </c>
      <c r="T33" s="14">
        <f t="shared" si="12"/>
        <v>2996282.5962646343</v>
      </c>
      <c r="U33" s="14">
        <f t="shared" si="13"/>
        <v>629219</v>
      </c>
    </row>
    <row r="34" spans="1:21" x14ac:dyDescent="0.2">
      <c r="A34" s="9">
        <v>2026</v>
      </c>
      <c r="B34" s="9">
        <v>11</v>
      </c>
      <c r="C34" s="275">
        <f t="shared" si="18"/>
        <v>-9489582</v>
      </c>
      <c r="D34" s="14">
        <f t="shared" si="0"/>
        <v>11598352.780000001</v>
      </c>
      <c r="E34" s="117">
        <f t="shared" si="1"/>
        <v>6.6769999999999996E-2</v>
      </c>
      <c r="F34" s="14">
        <f t="shared" si="16"/>
        <v>-3603840.1875070818</v>
      </c>
      <c r="G34" s="14">
        <f t="shared" si="3"/>
        <v>17484094.592492919</v>
      </c>
      <c r="H34" s="118">
        <f t="shared" si="4"/>
        <v>0.17089583333333325</v>
      </c>
      <c r="I34" s="14">
        <f t="shared" si="5"/>
        <v>5885741.8124929182</v>
      </c>
      <c r="J34" s="14">
        <f t="shared" si="6"/>
        <v>1236006</v>
      </c>
      <c r="L34" s="9">
        <v>2026</v>
      </c>
      <c r="M34" s="9">
        <v>11</v>
      </c>
      <c r="N34" s="259">
        <f t="shared" si="19"/>
        <v>-6568719</v>
      </c>
      <c r="O34" s="14">
        <f t="shared" si="7"/>
        <v>14519215.780000001</v>
      </c>
      <c r="P34" s="117">
        <f t="shared" si="8"/>
        <v>6.6769999999999996E-2</v>
      </c>
      <c r="Q34" s="14">
        <f t="shared" si="17"/>
        <v>-3603840.1875070818</v>
      </c>
      <c r="R34" s="14">
        <f t="shared" si="10"/>
        <v>17484094.592492919</v>
      </c>
      <c r="S34" s="118">
        <f t="shared" si="11"/>
        <v>0.17089583333333325</v>
      </c>
      <c r="T34" s="14">
        <f t="shared" si="12"/>
        <v>2964878.8124929182</v>
      </c>
      <c r="U34" s="14">
        <f t="shared" si="13"/>
        <v>622625</v>
      </c>
    </row>
    <row r="35" spans="1:21" x14ac:dyDescent="0.2">
      <c r="A35" s="9">
        <v>2026</v>
      </c>
      <c r="B35" s="9">
        <v>12</v>
      </c>
      <c r="C35" s="275">
        <f t="shared" si="18"/>
        <v>-9841048</v>
      </c>
      <c r="D35" s="14">
        <f t="shared" si="0"/>
        <v>11246886.780000001</v>
      </c>
      <c r="E35" s="117">
        <f t="shared" si="1"/>
        <v>6.6769999999999996E-2</v>
      </c>
      <c r="F35" s="14">
        <f t="shared" si="16"/>
        <v>-3721176.9712787983</v>
      </c>
      <c r="G35" s="14">
        <f t="shared" si="3"/>
        <v>17366757.808721203</v>
      </c>
      <c r="H35" s="118">
        <f t="shared" si="4"/>
        <v>0.17645999999999989</v>
      </c>
      <c r="I35" s="14">
        <f t="shared" si="5"/>
        <v>6119871.0287212022</v>
      </c>
      <c r="J35" s="14">
        <f t="shared" si="6"/>
        <v>1285173</v>
      </c>
      <c r="L35" s="9">
        <v>2026</v>
      </c>
      <c r="M35" s="9">
        <v>12</v>
      </c>
      <c r="N35" s="259">
        <f t="shared" si="19"/>
        <v>-6654652</v>
      </c>
      <c r="O35" s="14">
        <f t="shared" si="7"/>
        <v>14433282.780000001</v>
      </c>
      <c r="P35" s="117">
        <f t="shared" si="8"/>
        <v>6.6769999999999996E-2</v>
      </c>
      <c r="Q35" s="14">
        <f t="shared" si="17"/>
        <v>-3721176.9712787983</v>
      </c>
      <c r="R35" s="14">
        <f t="shared" si="10"/>
        <v>17366757.808721203</v>
      </c>
      <c r="S35" s="118">
        <f t="shared" si="11"/>
        <v>0.17645999999999989</v>
      </c>
      <c r="T35" s="14">
        <f t="shared" si="12"/>
        <v>2933475.0287212022</v>
      </c>
      <c r="U35" s="14">
        <f t="shared" si="13"/>
        <v>616030</v>
      </c>
    </row>
    <row r="36" spans="1:21" x14ac:dyDescent="0.2">
      <c r="A36" s="9">
        <v>2027</v>
      </c>
      <c r="B36" s="9">
        <v>1</v>
      </c>
      <c r="C36" s="275">
        <f t="shared" si="18"/>
        <v>-10192514</v>
      </c>
      <c r="D36" s="14">
        <f t="shared" si="0"/>
        <v>10895420.780000001</v>
      </c>
      <c r="E36" s="117">
        <f t="shared" si="1"/>
        <v>6.1769999999999999E-2</v>
      </c>
      <c r="F36" s="14">
        <f t="shared" si="16"/>
        <v>-3829727.1155588483</v>
      </c>
      <c r="G36" s="14">
        <f t="shared" si="3"/>
        <v>17258207.664441153</v>
      </c>
      <c r="H36" s="118">
        <f t="shared" si="4"/>
        <v>0.18160749999999989</v>
      </c>
      <c r="I36" s="14">
        <f t="shared" si="5"/>
        <v>6362786.8844411522</v>
      </c>
      <c r="J36" s="14">
        <f t="shared" si="6"/>
        <v>1336185</v>
      </c>
      <c r="L36" s="9">
        <v>2027</v>
      </c>
      <c r="M36" s="9">
        <v>1</v>
      </c>
      <c r="N36" s="259">
        <f t="shared" si="19"/>
        <v>-6740585</v>
      </c>
      <c r="O36" s="14">
        <f t="shared" si="7"/>
        <v>14347349.780000001</v>
      </c>
      <c r="P36" s="117">
        <f t="shared" si="8"/>
        <v>6.1769999999999999E-2</v>
      </c>
      <c r="Q36" s="14">
        <f t="shared" si="17"/>
        <v>-3829727.1155588483</v>
      </c>
      <c r="R36" s="14">
        <f t="shared" si="10"/>
        <v>17258207.664441153</v>
      </c>
      <c r="S36" s="118">
        <f t="shared" si="11"/>
        <v>0.18160749999999989</v>
      </c>
      <c r="T36" s="14">
        <f t="shared" si="12"/>
        <v>2910857.8844411522</v>
      </c>
      <c r="U36" s="14">
        <f t="shared" si="13"/>
        <v>611280</v>
      </c>
    </row>
    <row r="37" spans="1:21" x14ac:dyDescent="0.2">
      <c r="A37" s="9">
        <v>2027</v>
      </c>
      <c r="B37" s="9">
        <v>2</v>
      </c>
      <c r="C37" s="275">
        <f t="shared" si="18"/>
        <v>-10543980</v>
      </c>
      <c r="D37" s="14">
        <f t="shared" si="0"/>
        <v>10543954.780000001</v>
      </c>
      <c r="E37" s="117">
        <f t="shared" si="1"/>
        <v>6.1769999999999999E-2</v>
      </c>
      <c r="F37" s="14">
        <f t="shared" si="16"/>
        <v>-3938277.2598388982</v>
      </c>
      <c r="G37" s="14">
        <f t="shared" si="3"/>
        <v>17149657.520161103</v>
      </c>
      <c r="H37" s="118">
        <f t="shared" si="4"/>
        <v>0.18675499999999989</v>
      </c>
      <c r="I37" s="14">
        <f t="shared" si="5"/>
        <v>6605702.7401611023</v>
      </c>
      <c r="J37" s="14">
        <f t="shared" si="6"/>
        <v>1387198</v>
      </c>
      <c r="L37" s="9">
        <v>2027</v>
      </c>
      <c r="M37" s="9">
        <v>2</v>
      </c>
      <c r="N37" s="259">
        <f t="shared" si="19"/>
        <v>-6826518</v>
      </c>
      <c r="O37" s="14">
        <f t="shared" si="7"/>
        <v>14261416.780000001</v>
      </c>
      <c r="P37" s="117">
        <f t="shared" si="8"/>
        <v>6.1769999999999999E-2</v>
      </c>
      <c r="Q37" s="14">
        <f t="shared" si="17"/>
        <v>-3938277.2598388982</v>
      </c>
      <c r="R37" s="14">
        <f t="shared" si="10"/>
        <v>17149657.520161103</v>
      </c>
      <c r="S37" s="118">
        <f t="shared" si="11"/>
        <v>0.18675499999999989</v>
      </c>
      <c r="T37" s="14">
        <f t="shared" si="12"/>
        <v>2888240.7401611023</v>
      </c>
      <c r="U37" s="14">
        <f t="shared" si="13"/>
        <v>606531</v>
      </c>
    </row>
    <row r="38" spans="1:21" x14ac:dyDescent="0.2">
      <c r="A38" s="9">
        <v>2027</v>
      </c>
      <c r="B38" s="9">
        <v>3</v>
      </c>
      <c r="C38" s="275">
        <f t="shared" si="18"/>
        <v>-10895446</v>
      </c>
      <c r="D38" s="14">
        <f t="shared" si="0"/>
        <v>10192488.780000001</v>
      </c>
      <c r="E38" s="117">
        <f t="shared" si="1"/>
        <v>6.1769999999999999E-2</v>
      </c>
      <c r="F38" s="14">
        <f t="shared" si="16"/>
        <v>-4046827.4041189482</v>
      </c>
      <c r="G38" s="14">
        <f t="shared" si="3"/>
        <v>17041107.375881054</v>
      </c>
      <c r="H38" s="118">
        <f t="shared" si="4"/>
        <v>0.19190249999999989</v>
      </c>
      <c r="I38" s="14">
        <f t="shared" si="5"/>
        <v>6848618.5958810523</v>
      </c>
      <c r="J38" s="14">
        <f t="shared" si="6"/>
        <v>1438210</v>
      </c>
      <c r="L38" s="9">
        <v>2027</v>
      </c>
      <c r="M38" s="9">
        <v>3</v>
      </c>
      <c r="N38" s="259">
        <f t="shared" si="19"/>
        <v>-6912451</v>
      </c>
      <c r="O38" s="14">
        <f t="shared" si="7"/>
        <v>14175483.780000001</v>
      </c>
      <c r="P38" s="117">
        <f t="shared" si="8"/>
        <v>6.1769999999999999E-2</v>
      </c>
      <c r="Q38" s="14">
        <f t="shared" si="17"/>
        <v>-4046827.4041189482</v>
      </c>
      <c r="R38" s="14">
        <f t="shared" si="10"/>
        <v>17041107.375881054</v>
      </c>
      <c r="S38" s="118">
        <f t="shared" si="11"/>
        <v>0.19190249999999989</v>
      </c>
      <c r="T38" s="14">
        <f t="shared" si="12"/>
        <v>2865623.5958810523</v>
      </c>
      <c r="U38" s="14">
        <f t="shared" si="13"/>
        <v>601781</v>
      </c>
    </row>
    <row r="39" spans="1:21" x14ac:dyDescent="0.2">
      <c r="A39" s="9">
        <v>2027</v>
      </c>
      <c r="B39" s="9">
        <v>4</v>
      </c>
      <c r="C39" s="275">
        <f t="shared" si="18"/>
        <v>-11246912</v>
      </c>
      <c r="D39" s="14">
        <f t="shared" si="0"/>
        <v>9841022.7800000012</v>
      </c>
      <c r="E39" s="117">
        <f t="shared" si="1"/>
        <v>6.1769999999999999E-2</v>
      </c>
      <c r="F39" s="14">
        <f t="shared" si="16"/>
        <v>-4155377.5483989981</v>
      </c>
      <c r="G39" s="14">
        <f t="shared" si="3"/>
        <v>16932557.231601004</v>
      </c>
      <c r="H39" s="118">
        <f t="shared" si="4"/>
        <v>0.19704999999999986</v>
      </c>
      <c r="I39" s="14">
        <f t="shared" si="5"/>
        <v>7091534.4516010024</v>
      </c>
      <c r="J39" s="14">
        <f t="shared" si="6"/>
        <v>1489222</v>
      </c>
      <c r="L39" s="9">
        <v>2027</v>
      </c>
      <c r="M39" s="9">
        <v>4</v>
      </c>
      <c r="N39" s="259">
        <f t="shared" si="19"/>
        <v>-6998384</v>
      </c>
      <c r="O39" s="14">
        <f t="shared" si="7"/>
        <v>14089550.780000001</v>
      </c>
      <c r="P39" s="117">
        <f t="shared" si="8"/>
        <v>6.1769999999999999E-2</v>
      </c>
      <c r="Q39" s="14">
        <f t="shared" si="17"/>
        <v>-4155377.5483989981</v>
      </c>
      <c r="R39" s="14">
        <f t="shared" si="10"/>
        <v>16932557.231601004</v>
      </c>
      <c r="S39" s="118">
        <f t="shared" si="11"/>
        <v>0.19704999999999986</v>
      </c>
      <c r="T39" s="14">
        <f t="shared" si="12"/>
        <v>2843006.4516010024</v>
      </c>
      <c r="U39" s="14">
        <f t="shared" si="13"/>
        <v>597031</v>
      </c>
    </row>
    <row r="40" spans="1:21" x14ac:dyDescent="0.2">
      <c r="A40" s="9">
        <v>2027</v>
      </c>
      <c r="B40" s="9">
        <v>5</v>
      </c>
      <c r="C40" s="275">
        <f t="shared" si="18"/>
        <v>-11598378</v>
      </c>
      <c r="D40" s="14">
        <f t="shared" si="0"/>
        <v>9489556.7800000012</v>
      </c>
      <c r="E40" s="117">
        <f t="shared" ref="E40:E59" si="20">VLOOKUP(A40-($C$3-1),$D$213:$G$234,4)</f>
        <v>6.1769999999999999E-2</v>
      </c>
      <c r="F40" s="14">
        <f t="shared" si="16"/>
        <v>-4263927.6926790485</v>
      </c>
      <c r="G40" s="14">
        <f t="shared" si="3"/>
        <v>16824007.087320954</v>
      </c>
      <c r="H40" s="118">
        <f t="shared" si="4"/>
        <v>0.20219749999999986</v>
      </c>
      <c r="I40" s="14">
        <f t="shared" si="5"/>
        <v>7334450.3073209524</v>
      </c>
      <c r="J40" s="14">
        <f t="shared" si="6"/>
        <v>1540235</v>
      </c>
      <c r="L40" s="9">
        <v>2027</v>
      </c>
      <c r="M40" s="9">
        <v>5</v>
      </c>
      <c r="N40" s="259">
        <f t="shared" si="19"/>
        <v>-7084317</v>
      </c>
      <c r="O40" s="14">
        <f t="shared" si="7"/>
        <v>14003617.780000001</v>
      </c>
      <c r="P40" s="117">
        <f t="shared" ref="P40:P71" si="21">VLOOKUP(L40-($C$3-1),$D$213:$G$234,4)</f>
        <v>6.1769999999999999E-2</v>
      </c>
      <c r="Q40" s="14">
        <f t="shared" si="17"/>
        <v>-4263927.6926790485</v>
      </c>
      <c r="R40" s="14">
        <f t="shared" si="10"/>
        <v>16824007.087320954</v>
      </c>
      <c r="S40" s="118">
        <f t="shared" si="11"/>
        <v>0.20219749999999986</v>
      </c>
      <c r="T40" s="14">
        <f t="shared" si="12"/>
        <v>2820389.3073209524</v>
      </c>
      <c r="U40" s="14">
        <f t="shared" si="13"/>
        <v>592282</v>
      </c>
    </row>
    <row r="41" spans="1:21" x14ac:dyDescent="0.2">
      <c r="A41" s="9">
        <v>2027</v>
      </c>
      <c r="B41" s="9">
        <v>6</v>
      </c>
      <c r="C41" s="275">
        <f t="shared" si="18"/>
        <v>-11949844</v>
      </c>
      <c r="D41" s="14">
        <f t="shared" si="0"/>
        <v>9138090.7800000012</v>
      </c>
      <c r="E41" s="117">
        <f t="shared" si="20"/>
        <v>6.1769999999999999E-2</v>
      </c>
      <c r="F41" s="14">
        <f t="shared" si="16"/>
        <v>-4372477.8369590985</v>
      </c>
      <c r="G41" s="14">
        <f t="shared" si="3"/>
        <v>16715456.943040904</v>
      </c>
      <c r="H41" s="118">
        <f t="shared" si="4"/>
        <v>0.20734499999999986</v>
      </c>
      <c r="I41" s="14">
        <f t="shared" si="5"/>
        <v>7577366.1630409025</v>
      </c>
      <c r="J41" s="14">
        <f t="shared" si="6"/>
        <v>1591247</v>
      </c>
      <c r="L41" s="9">
        <v>2027</v>
      </c>
      <c r="M41" s="9">
        <v>6</v>
      </c>
      <c r="N41" s="259">
        <f t="shared" si="19"/>
        <v>-7170250</v>
      </c>
      <c r="O41" s="14">
        <f t="shared" si="7"/>
        <v>13917684.780000001</v>
      </c>
      <c r="P41" s="117">
        <f t="shared" si="21"/>
        <v>6.1769999999999999E-2</v>
      </c>
      <c r="Q41" s="14">
        <f t="shared" si="17"/>
        <v>-4372477.8369590985</v>
      </c>
      <c r="R41" s="14">
        <f t="shared" si="10"/>
        <v>16715456.943040904</v>
      </c>
      <c r="S41" s="118">
        <f t="shared" si="11"/>
        <v>0.20734499999999986</v>
      </c>
      <c r="T41" s="14">
        <f t="shared" si="12"/>
        <v>2797772.1630409025</v>
      </c>
      <c r="U41" s="14">
        <f t="shared" si="13"/>
        <v>587532</v>
      </c>
    </row>
    <row r="42" spans="1:21" x14ac:dyDescent="0.2">
      <c r="A42" s="9">
        <v>2027</v>
      </c>
      <c r="B42" s="9">
        <v>7</v>
      </c>
      <c r="C42" s="275">
        <f t="shared" si="18"/>
        <v>-12301310</v>
      </c>
      <c r="D42" s="14">
        <f t="shared" si="0"/>
        <v>8786624.7800000012</v>
      </c>
      <c r="E42" s="117">
        <f t="shared" si="20"/>
        <v>6.1769999999999999E-2</v>
      </c>
      <c r="F42" s="14">
        <f t="shared" si="16"/>
        <v>-4481027.9812391484</v>
      </c>
      <c r="G42" s="14">
        <f t="shared" si="3"/>
        <v>16606906.798760854</v>
      </c>
      <c r="H42" s="118">
        <f t="shared" si="4"/>
        <v>0.21249249999999986</v>
      </c>
      <c r="I42" s="14">
        <f t="shared" si="5"/>
        <v>7820282.0187608525</v>
      </c>
      <c r="J42" s="14">
        <f t="shared" si="6"/>
        <v>1642259</v>
      </c>
      <c r="L42" s="9">
        <v>2027</v>
      </c>
      <c r="M42" s="9">
        <v>7</v>
      </c>
      <c r="N42" s="259">
        <f t="shared" si="19"/>
        <v>-7256183</v>
      </c>
      <c r="O42" s="14">
        <f t="shared" si="7"/>
        <v>13831751.780000001</v>
      </c>
      <c r="P42" s="117">
        <f t="shared" si="21"/>
        <v>6.1769999999999999E-2</v>
      </c>
      <c r="Q42" s="14">
        <f t="shared" si="17"/>
        <v>-4481027.9812391484</v>
      </c>
      <c r="R42" s="14">
        <f t="shared" si="10"/>
        <v>16606906.798760854</v>
      </c>
      <c r="S42" s="118">
        <f t="shared" si="11"/>
        <v>0.21249249999999986</v>
      </c>
      <c r="T42" s="14">
        <f t="shared" si="12"/>
        <v>2775155.0187608525</v>
      </c>
      <c r="U42" s="14">
        <f t="shared" si="13"/>
        <v>582783</v>
      </c>
    </row>
    <row r="43" spans="1:21" x14ac:dyDescent="0.2">
      <c r="A43" s="9">
        <v>2027</v>
      </c>
      <c r="B43" s="9">
        <v>8</v>
      </c>
      <c r="C43" s="275">
        <f t="shared" si="18"/>
        <v>-12652776</v>
      </c>
      <c r="D43" s="14">
        <f t="shared" si="0"/>
        <v>8435158.7800000012</v>
      </c>
      <c r="E43" s="117">
        <f t="shared" si="20"/>
        <v>6.1769999999999999E-2</v>
      </c>
      <c r="F43" s="14">
        <f t="shared" si="16"/>
        <v>-4589578.1255191984</v>
      </c>
      <c r="G43" s="14">
        <f t="shared" si="3"/>
        <v>16498356.654480804</v>
      </c>
      <c r="H43" s="118">
        <f t="shared" si="4"/>
        <v>0.21763999999999986</v>
      </c>
      <c r="I43" s="14">
        <f t="shared" si="5"/>
        <v>8063197.8744808026</v>
      </c>
      <c r="J43" s="14">
        <f t="shared" si="6"/>
        <v>1693272</v>
      </c>
      <c r="L43" s="9">
        <v>2027</v>
      </c>
      <c r="M43" s="9">
        <v>8</v>
      </c>
      <c r="N43" s="259">
        <f t="shared" si="19"/>
        <v>-7342116</v>
      </c>
      <c r="O43" s="14">
        <f t="shared" si="7"/>
        <v>13745818.780000001</v>
      </c>
      <c r="P43" s="117">
        <f t="shared" si="21"/>
        <v>6.1769999999999999E-2</v>
      </c>
      <c r="Q43" s="14">
        <f t="shared" si="17"/>
        <v>-4589578.1255191984</v>
      </c>
      <c r="R43" s="14">
        <f t="shared" si="10"/>
        <v>16498356.654480804</v>
      </c>
      <c r="S43" s="118">
        <f t="shared" si="11"/>
        <v>0.21763999999999986</v>
      </c>
      <c r="T43" s="14">
        <f t="shared" si="12"/>
        <v>2752537.8744808026</v>
      </c>
      <c r="U43" s="14">
        <f t="shared" si="13"/>
        <v>578033</v>
      </c>
    </row>
    <row r="44" spans="1:21" x14ac:dyDescent="0.2">
      <c r="A44" s="9">
        <v>2027</v>
      </c>
      <c r="B44" s="9">
        <v>9</v>
      </c>
      <c r="C44" s="275">
        <f t="shared" si="18"/>
        <v>-13004242</v>
      </c>
      <c r="D44" s="14">
        <f t="shared" si="0"/>
        <v>8083692.7800000012</v>
      </c>
      <c r="E44" s="117">
        <f t="shared" si="20"/>
        <v>6.1769999999999999E-2</v>
      </c>
      <c r="F44" s="14">
        <f t="shared" si="16"/>
        <v>-4698128.2697992483</v>
      </c>
      <c r="G44" s="14">
        <f t="shared" si="3"/>
        <v>16389806.510200754</v>
      </c>
      <c r="H44" s="118">
        <f t="shared" si="4"/>
        <v>0.22278749999999986</v>
      </c>
      <c r="I44" s="14">
        <f t="shared" si="5"/>
        <v>8306113.7302007526</v>
      </c>
      <c r="J44" s="14">
        <f t="shared" si="6"/>
        <v>1744284</v>
      </c>
      <c r="L44" s="9">
        <v>2027</v>
      </c>
      <c r="M44" s="9">
        <v>9</v>
      </c>
      <c r="N44" s="259">
        <f t="shared" si="19"/>
        <v>-7428049</v>
      </c>
      <c r="O44" s="14">
        <f t="shared" si="7"/>
        <v>13659885.780000001</v>
      </c>
      <c r="P44" s="117">
        <f t="shared" si="21"/>
        <v>6.1769999999999999E-2</v>
      </c>
      <c r="Q44" s="14">
        <f t="shared" si="17"/>
        <v>-4698128.2697992483</v>
      </c>
      <c r="R44" s="14">
        <f t="shared" si="10"/>
        <v>16389806.510200754</v>
      </c>
      <c r="S44" s="118">
        <f t="shared" si="11"/>
        <v>0.22278749999999986</v>
      </c>
      <c r="T44" s="14">
        <f t="shared" si="12"/>
        <v>2729920.7302007526</v>
      </c>
      <c r="U44" s="14">
        <f t="shared" si="13"/>
        <v>573283</v>
      </c>
    </row>
    <row r="45" spans="1:21" x14ac:dyDescent="0.2">
      <c r="A45" s="9">
        <v>2027</v>
      </c>
      <c r="B45" s="9">
        <v>10</v>
      </c>
      <c r="C45" s="275">
        <f t="shared" si="18"/>
        <v>-13355708</v>
      </c>
      <c r="D45" s="14">
        <f t="shared" si="0"/>
        <v>7732226.7800000012</v>
      </c>
      <c r="E45" s="117">
        <f t="shared" si="20"/>
        <v>6.1769999999999999E-2</v>
      </c>
      <c r="F45" s="14">
        <f t="shared" si="16"/>
        <v>-4806678.4140792983</v>
      </c>
      <c r="G45" s="14">
        <f t="shared" si="3"/>
        <v>16281256.365920704</v>
      </c>
      <c r="H45" s="118">
        <f t="shared" si="4"/>
        <v>0.22793499999999986</v>
      </c>
      <c r="I45" s="14">
        <f t="shared" si="5"/>
        <v>8549029.5859207027</v>
      </c>
      <c r="J45" s="14">
        <f t="shared" si="6"/>
        <v>1795296</v>
      </c>
      <c r="L45" s="9">
        <v>2027</v>
      </c>
      <c r="M45" s="9">
        <v>10</v>
      </c>
      <c r="N45" s="259">
        <f t="shared" si="19"/>
        <v>-7513982</v>
      </c>
      <c r="O45" s="14">
        <f t="shared" si="7"/>
        <v>13573952.780000001</v>
      </c>
      <c r="P45" s="117">
        <f t="shared" si="21"/>
        <v>6.1769999999999999E-2</v>
      </c>
      <c r="Q45" s="14">
        <f t="shared" si="17"/>
        <v>-4806678.4140792983</v>
      </c>
      <c r="R45" s="14">
        <f t="shared" si="10"/>
        <v>16281256.365920704</v>
      </c>
      <c r="S45" s="118">
        <f t="shared" si="11"/>
        <v>0.22793499999999986</v>
      </c>
      <c r="T45" s="14">
        <f t="shared" si="12"/>
        <v>2707303.5859207027</v>
      </c>
      <c r="U45" s="14">
        <f t="shared" si="13"/>
        <v>568534</v>
      </c>
    </row>
    <row r="46" spans="1:21" x14ac:dyDescent="0.2">
      <c r="A46" s="9">
        <v>2027</v>
      </c>
      <c r="B46" s="9">
        <v>11</v>
      </c>
      <c r="C46" s="275">
        <f t="shared" si="18"/>
        <v>-13707174</v>
      </c>
      <c r="D46" s="14">
        <f t="shared" si="0"/>
        <v>7380760.7800000012</v>
      </c>
      <c r="E46" s="117">
        <f t="shared" si="20"/>
        <v>6.1769999999999999E-2</v>
      </c>
      <c r="F46" s="14">
        <f t="shared" si="16"/>
        <v>-4915228.5583593482</v>
      </c>
      <c r="G46" s="14">
        <f t="shared" si="3"/>
        <v>16172706.221640654</v>
      </c>
      <c r="H46" s="118">
        <f t="shared" si="4"/>
        <v>0.23308249999999986</v>
      </c>
      <c r="I46" s="14">
        <f t="shared" si="5"/>
        <v>8791945.4416406527</v>
      </c>
      <c r="J46" s="14">
        <f t="shared" si="6"/>
        <v>1846309</v>
      </c>
      <c r="L46" s="9">
        <v>2027</v>
      </c>
      <c r="M46" s="9">
        <v>11</v>
      </c>
      <c r="N46" s="259">
        <f t="shared" si="19"/>
        <v>-7599915</v>
      </c>
      <c r="O46" s="14">
        <f t="shared" si="7"/>
        <v>13488019.780000001</v>
      </c>
      <c r="P46" s="117">
        <f t="shared" si="21"/>
        <v>6.1769999999999999E-2</v>
      </c>
      <c r="Q46" s="14">
        <f t="shared" si="17"/>
        <v>-4915228.5583593482</v>
      </c>
      <c r="R46" s="14">
        <f t="shared" si="10"/>
        <v>16172706.221640654</v>
      </c>
      <c r="S46" s="118">
        <f t="shared" si="11"/>
        <v>0.23308249999999986</v>
      </c>
      <c r="T46" s="14">
        <f t="shared" si="12"/>
        <v>2684686.4416406527</v>
      </c>
      <c r="U46" s="14">
        <f t="shared" si="13"/>
        <v>563784</v>
      </c>
    </row>
    <row r="47" spans="1:21" x14ac:dyDescent="0.2">
      <c r="A47" s="9">
        <v>2027</v>
      </c>
      <c r="B47" s="9">
        <v>12</v>
      </c>
      <c r="C47" s="275">
        <f t="shared" si="18"/>
        <v>-14058640</v>
      </c>
      <c r="D47" s="14">
        <f t="shared" si="0"/>
        <v>7029294.7800000012</v>
      </c>
      <c r="E47" s="117">
        <f t="shared" si="20"/>
        <v>6.1769999999999999E-2</v>
      </c>
      <c r="F47" s="14">
        <f t="shared" si="16"/>
        <v>-5023778.7026393982</v>
      </c>
      <c r="G47" s="14">
        <f t="shared" si="3"/>
        <v>16064156.077360604</v>
      </c>
      <c r="H47" s="118">
        <f t="shared" si="4"/>
        <v>0.23822999999999986</v>
      </c>
      <c r="I47" s="14">
        <f t="shared" si="5"/>
        <v>9034861.2973606028</v>
      </c>
      <c r="J47" s="14">
        <f t="shared" si="6"/>
        <v>1897321</v>
      </c>
      <c r="L47" s="9">
        <v>2027</v>
      </c>
      <c r="M47" s="9">
        <v>12</v>
      </c>
      <c r="N47" s="259">
        <f t="shared" si="19"/>
        <v>-7685848</v>
      </c>
      <c r="O47" s="14">
        <f t="shared" si="7"/>
        <v>13402086.780000001</v>
      </c>
      <c r="P47" s="117">
        <f t="shared" si="21"/>
        <v>6.1769999999999999E-2</v>
      </c>
      <c r="Q47" s="14">
        <f t="shared" si="17"/>
        <v>-5023778.7026393982</v>
      </c>
      <c r="R47" s="14">
        <f t="shared" si="10"/>
        <v>16064156.077360604</v>
      </c>
      <c r="S47" s="118">
        <f t="shared" si="11"/>
        <v>0.23822999999999986</v>
      </c>
      <c r="T47" s="14">
        <f t="shared" si="12"/>
        <v>2662069.2973606028</v>
      </c>
      <c r="U47" s="14">
        <f t="shared" si="13"/>
        <v>559035</v>
      </c>
    </row>
    <row r="48" spans="1:21" x14ac:dyDescent="0.2">
      <c r="A48" s="9">
        <v>2028</v>
      </c>
      <c r="B48" s="9">
        <v>1</v>
      </c>
      <c r="C48" s="275">
        <f t="shared" si="18"/>
        <v>-14410106</v>
      </c>
      <c r="D48" s="14">
        <f t="shared" si="0"/>
        <v>6677828.7800000012</v>
      </c>
      <c r="E48" s="117">
        <f t="shared" si="20"/>
        <v>5.713E-2</v>
      </c>
      <c r="F48" s="14">
        <f t="shared" si="16"/>
        <v>-5124174.8454711819</v>
      </c>
      <c r="G48" s="14">
        <f t="shared" si="3"/>
        <v>15963759.93452882</v>
      </c>
      <c r="H48" s="118">
        <f t="shared" si="4"/>
        <v>0.24299083333333321</v>
      </c>
      <c r="I48" s="14">
        <f t="shared" si="5"/>
        <v>9285931.154528819</v>
      </c>
      <c r="J48" s="14">
        <f t="shared" si="6"/>
        <v>1950046</v>
      </c>
      <c r="L48" s="9">
        <v>2028</v>
      </c>
      <c r="M48" s="9">
        <v>1</v>
      </c>
      <c r="N48" s="259">
        <f t="shared" si="19"/>
        <v>-7771781</v>
      </c>
      <c r="O48" s="14">
        <f t="shared" si="7"/>
        <v>13316153.780000001</v>
      </c>
      <c r="P48" s="117">
        <f t="shared" si="21"/>
        <v>5.713E-2</v>
      </c>
      <c r="Q48" s="14">
        <f t="shared" si="17"/>
        <v>-5124174.8454711819</v>
      </c>
      <c r="R48" s="14">
        <f t="shared" si="10"/>
        <v>15963759.93452882</v>
      </c>
      <c r="S48" s="118">
        <f t="shared" si="11"/>
        <v>0.24299083333333321</v>
      </c>
      <c r="T48" s="14">
        <f t="shared" si="12"/>
        <v>2647606.154528819</v>
      </c>
      <c r="U48" s="14">
        <f t="shared" si="13"/>
        <v>555997</v>
      </c>
    </row>
    <row r="49" spans="1:21" x14ac:dyDescent="0.2">
      <c r="A49" s="9">
        <v>2028</v>
      </c>
      <c r="B49" s="9">
        <v>2</v>
      </c>
      <c r="C49" s="275">
        <f t="shared" si="18"/>
        <v>-14761572</v>
      </c>
      <c r="D49" s="14">
        <f t="shared" si="0"/>
        <v>6326362.7800000012</v>
      </c>
      <c r="E49" s="117">
        <f t="shared" si="20"/>
        <v>5.713E-2</v>
      </c>
      <c r="F49" s="14">
        <f t="shared" si="16"/>
        <v>-5224570.9883029656</v>
      </c>
      <c r="G49" s="14">
        <f t="shared" si="3"/>
        <v>15863363.791697036</v>
      </c>
      <c r="H49" s="118">
        <f t="shared" si="4"/>
        <v>0.24775166666666656</v>
      </c>
      <c r="I49" s="14">
        <f t="shared" si="5"/>
        <v>9537001.0116970353</v>
      </c>
      <c r="J49" s="14">
        <f t="shared" si="6"/>
        <v>2002770</v>
      </c>
      <c r="L49" s="9">
        <v>2028</v>
      </c>
      <c r="M49" s="9">
        <v>2</v>
      </c>
      <c r="N49" s="259">
        <f t="shared" si="19"/>
        <v>-7857714</v>
      </c>
      <c r="O49" s="14">
        <f t="shared" si="7"/>
        <v>13230220.780000001</v>
      </c>
      <c r="P49" s="117">
        <f t="shared" si="21"/>
        <v>5.713E-2</v>
      </c>
      <c r="Q49" s="14">
        <f t="shared" si="17"/>
        <v>-5224570.9883029656</v>
      </c>
      <c r="R49" s="14">
        <f t="shared" si="10"/>
        <v>15863363.791697036</v>
      </c>
      <c r="S49" s="118">
        <f t="shared" si="11"/>
        <v>0.24775166666666656</v>
      </c>
      <c r="T49" s="14">
        <f t="shared" si="12"/>
        <v>2633143.0116970353</v>
      </c>
      <c r="U49" s="14">
        <f t="shared" si="13"/>
        <v>552960</v>
      </c>
    </row>
    <row r="50" spans="1:21" x14ac:dyDescent="0.2">
      <c r="A50" s="9">
        <v>2028</v>
      </c>
      <c r="B50" s="9">
        <v>3</v>
      </c>
      <c r="C50" s="275">
        <f t="shared" si="18"/>
        <v>-15113038</v>
      </c>
      <c r="D50" s="14">
        <f t="shared" si="0"/>
        <v>5974896.7800000012</v>
      </c>
      <c r="E50" s="117">
        <f t="shared" si="20"/>
        <v>5.713E-2</v>
      </c>
      <c r="F50" s="14">
        <f t="shared" si="16"/>
        <v>-5324967.1311347494</v>
      </c>
      <c r="G50" s="14">
        <f t="shared" si="3"/>
        <v>15762967.648865253</v>
      </c>
      <c r="H50" s="118">
        <f t="shared" si="4"/>
        <v>0.25251249999999992</v>
      </c>
      <c r="I50" s="14">
        <f t="shared" si="5"/>
        <v>9788070.8688652515</v>
      </c>
      <c r="J50" s="14">
        <f t="shared" si="6"/>
        <v>2055495</v>
      </c>
      <c r="L50" s="9">
        <v>2028</v>
      </c>
      <c r="M50" s="9">
        <v>3</v>
      </c>
      <c r="N50" s="259">
        <f t="shared" si="19"/>
        <v>-7943647</v>
      </c>
      <c r="O50" s="14">
        <f t="shared" si="7"/>
        <v>13144287.780000001</v>
      </c>
      <c r="P50" s="117">
        <f t="shared" si="21"/>
        <v>5.713E-2</v>
      </c>
      <c r="Q50" s="14">
        <f t="shared" si="17"/>
        <v>-5324967.1311347494</v>
      </c>
      <c r="R50" s="14">
        <f t="shared" si="10"/>
        <v>15762967.648865253</v>
      </c>
      <c r="S50" s="118">
        <f t="shared" si="11"/>
        <v>0.25251249999999992</v>
      </c>
      <c r="T50" s="14">
        <f t="shared" si="12"/>
        <v>2618679.8688652515</v>
      </c>
      <c r="U50" s="14">
        <f t="shared" si="13"/>
        <v>549923</v>
      </c>
    </row>
    <row r="51" spans="1:21" x14ac:dyDescent="0.2">
      <c r="A51" s="9">
        <v>2028</v>
      </c>
      <c r="B51" s="9">
        <v>4</v>
      </c>
      <c r="C51" s="275">
        <f t="shared" si="18"/>
        <v>-15464504</v>
      </c>
      <c r="D51" s="14">
        <f t="shared" si="0"/>
        <v>5623430.7800000012</v>
      </c>
      <c r="E51" s="117">
        <f t="shared" si="20"/>
        <v>5.713E-2</v>
      </c>
      <c r="F51" s="14">
        <f t="shared" si="16"/>
        <v>-5425363.2739665331</v>
      </c>
      <c r="G51" s="14">
        <f t="shared" si="3"/>
        <v>15662571.506033469</v>
      </c>
      <c r="H51" s="118">
        <f t="shared" si="4"/>
        <v>0.25727333333333324</v>
      </c>
      <c r="I51" s="14">
        <f t="shared" si="5"/>
        <v>10039140.726033468</v>
      </c>
      <c r="J51" s="14">
        <f t="shared" si="6"/>
        <v>2108220</v>
      </c>
      <c r="L51" s="9">
        <v>2028</v>
      </c>
      <c r="M51" s="9">
        <v>4</v>
      </c>
      <c r="N51" s="259">
        <f t="shared" si="19"/>
        <v>-8029580</v>
      </c>
      <c r="O51" s="14">
        <f t="shared" si="7"/>
        <v>13058354.780000001</v>
      </c>
      <c r="P51" s="117">
        <f t="shared" si="21"/>
        <v>5.713E-2</v>
      </c>
      <c r="Q51" s="14">
        <f t="shared" si="17"/>
        <v>-5425363.2739665331</v>
      </c>
      <c r="R51" s="14">
        <f t="shared" si="10"/>
        <v>15662571.506033469</v>
      </c>
      <c r="S51" s="118">
        <f t="shared" si="11"/>
        <v>0.25727333333333324</v>
      </c>
      <c r="T51" s="14">
        <f t="shared" si="12"/>
        <v>2604216.7260334678</v>
      </c>
      <c r="U51" s="14">
        <f t="shared" si="13"/>
        <v>546886</v>
      </c>
    </row>
    <row r="52" spans="1:21" x14ac:dyDescent="0.2">
      <c r="A52" s="9">
        <v>2028</v>
      </c>
      <c r="B52" s="9">
        <v>5</v>
      </c>
      <c r="C52" s="275">
        <f t="shared" si="18"/>
        <v>-15815970</v>
      </c>
      <c r="D52" s="14">
        <f t="shared" si="0"/>
        <v>5271964.7800000012</v>
      </c>
      <c r="E52" s="117">
        <f t="shared" si="20"/>
        <v>5.713E-2</v>
      </c>
      <c r="F52" s="14">
        <f t="shared" si="16"/>
        <v>-5525759.4167983169</v>
      </c>
      <c r="G52" s="14">
        <f t="shared" si="3"/>
        <v>15562175.363201685</v>
      </c>
      <c r="H52" s="118">
        <f t="shared" si="4"/>
        <v>0.26203416666666662</v>
      </c>
      <c r="I52" s="14">
        <f t="shared" si="5"/>
        <v>10290210.583201684</v>
      </c>
      <c r="J52" s="14">
        <f t="shared" si="6"/>
        <v>2160944</v>
      </c>
      <c r="L52" s="9">
        <v>2028</v>
      </c>
      <c r="M52" s="9">
        <v>5</v>
      </c>
      <c r="N52" s="259">
        <f t="shared" si="19"/>
        <v>-8115513</v>
      </c>
      <c r="O52" s="14">
        <f t="shared" si="7"/>
        <v>12972421.780000001</v>
      </c>
      <c r="P52" s="117">
        <f t="shared" si="21"/>
        <v>5.713E-2</v>
      </c>
      <c r="Q52" s="14">
        <f t="shared" si="17"/>
        <v>-5525759.4167983169</v>
      </c>
      <c r="R52" s="14">
        <f t="shared" si="10"/>
        <v>15562175.363201685</v>
      </c>
      <c r="S52" s="118">
        <f t="shared" si="11"/>
        <v>0.26203416666666662</v>
      </c>
      <c r="T52" s="14">
        <f t="shared" si="12"/>
        <v>2589753.5832016841</v>
      </c>
      <c r="U52" s="14">
        <f t="shared" si="13"/>
        <v>543848</v>
      </c>
    </row>
    <row r="53" spans="1:21" x14ac:dyDescent="0.2">
      <c r="A53" s="9">
        <v>2028</v>
      </c>
      <c r="B53" s="9">
        <v>6</v>
      </c>
      <c r="C53" s="275">
        <f t="shared" si="18"/>
        <v>-16167436</v>
      </c>
      <c r="D53" s="14">
        <f t="shared" si="0"/>
        <v>4920498.7800000012</v>
      </c>
      <c r="E53" s="117">
        <f t="shared" si="20"/>
        <v>5.713E-2</v>
      </c>
      <c r="F53" s="14">
        <f t="shared" si="16"/>
        <v>-5626155.5596301006</v>
      </c>
      <c r="G53" s="14">
        <f t="shared" si="3"/>
        <v>15461779.220369902</v>
      </c>
      <c r="H53" s="118">
        <f t="shared" si="4"/>
        <v>0.26679499999999995</v>
      </c>
      <c r="I53" s="14">
        <f t="shared" si="5"/>
        <v>10541280.4403699</v>
      </c>
      <c r="J53" s="14">
        <f t="shared" si="6"/>
        <v>2213669</v>
      </c>
      <c r="L53" s="9">
        <v>2028</v>
      </c>
      <c r="M53" s="9">
        <v>6</v>
      </c>
      <c r="N53" s="259">
        <f t="shared" si="19"/>
        <v>-8201446</v>
      </c>
      <c r="O53" s="14">
        <f t="shared" si="7"/>
        <v>12886488.780000001</v>
      </c>
      <c r="P53" s="117">
        <f t="shared" si="21"/>
        <v>5.713E-2</v>
      </c>
      <c r="Q53" s="14">
        <f t="shared" si="17"/>
        <v>-5626155.5596301006</v>
      </c>
      <c r="R53" s="14">
        <f t="shared" si="10"/>
        <v>15461779.220369902</v>
      </c>
      <c r="S53" s="118">
        <f t="shared" si="11"/>
        <v>0.26679499999999995</v>
      </c>
      <c r="T53" s="14">
        <f t="shared" si="12"/>
        <v>2575290.4403699003</v>
      </c>
      <c r="U53" s="14">
        <f t="shared" si="13"/>
        <v>540811</v>
      </c>
    </row>
    <row r="54" spans="1:21" x14ac:dyDescent="0.2">
      <c r="A54" s="9">
        <v>2028</v>
      </c>
      <c r="B54" s="9">
        <v>7</v>
      </c>
      <c r="C54" s="275">
        <f t="shared" si="18"/>
        <v>-16518902</v>
      </c>
      <c r="D54" s="14">
        <f t="shared" si="0"/>
        <v>4569032.7800000012</v>
      </c>
      <c r="E54" s="117">
        <f t="shared" si="20"/>
        <v>5.713E-2</v>
      </c>
      <c r="F54" s="14">
        <f t="shared" si="16"/>
        <v>-5726551.7024618844</v>
      </c>
      <c r="G54" s="14">
        <f t="shared" si="3"/>
        <v>15361383.077538118</v>
      </c>
      <c r="H54" s="118">
        <f t="shared" si="4"/>
        <v>0.27155583333333333</v>
      </c>
      <c r="I54" s="14">
        <f t="shared" si="5"/>
        <v>10792350.297538117</v>
      </c>
      <c r="J54" s="14">
        <f t="shared" si="6"/>
        <v>2266394</v>
      </c>
      <c r="L54" s="9">
        <v>2028</v>
      </c>
      <c r="M54" s="9">
        <v>7</v>
      </c>
      <c r="N54" s="259">
        <f t="shared" si="19"/>
        <v>-8287379</v>
      </c>
      <c r="O54" s="14">
        <f t="shared" si="7"/>
        <v>12800555.780000001</v>
      </c>
      <c r="P54" s="117">
        <f t="shared" si="21"/>
        <v>5.713E-2</v>
      </c>
      <c r="Q54" s="14">
        <f t="shared" si="17"/>
        <v>-5726551.7024618844</v>
      </c>
      <c r="R54" s="14">
        <f t="shared" si="10"/>
        <v>15361383.077538118</v>
      </c>
      <c r="S54" s="118">
        <f t="shared" si="11"/>
        <v>0.27155583333333333</v>
      </c>
      <c r="T54" s="14">
        <f t="shared" si="12"/>
        <v>2560827.2975381166</v>
      </c>
      <c r="U54" s="14">
        <f t="shared" si="13"/>
        <v>537774</v>
      </c>
    </row>
    <row r="55" spans="1:21" x14ac:dyDescent="0.2">
      <c r="A55" s="9">
        <v>2028</v>
      </c>
      <c r="B55" s="9">
        <v>8</v>
      </c>
      <c r="C55" s="275">
        <f t="shared" si="18"/>
        <v>-16870368</v>
      </c>
      <c r="D55" s="14">
        <f t="shared" si="0"/>
        <v>4217566.7800000012</v>
      </c>
      <c r="E55" s="117">
        <f t="shared" si="20"/>
        <v>5.713E-2</v>
      </c>
      <c r="F55" s="14">
        <f t="shared" si="16"/>
        <v>-5826947.8452936681</v>
      </c>
      <c r="G55" s="14">
        <f t="shared" si="3"/>
        <v>15260986.934706334</v>
      </c>
      <c r="H55" s="118">
        <f t="shared" si="4"/>
        <v>0.27631666666666665</v>
      </c>
      <c r="I55" s="14">
        <f t="shared" si="5"/>
        <v>11043420.154706333</v>
      </c>
      <c r="J55" s="14">
        <f t="shared" si="6"/>
        <v>2319118</v>
      </c>
      <c r="L55" s="9">
        <v>2028</v>
      </c>
      <c r="M55" s="9">
        <v>8</v>
      </c>
      <c r="N55" s="259">
        <f t="shared" si="19"/>
        <v>-8373312</v>
      </c>
      <c r="O55" s="14">
        <f t="shared" si="7"/>
        <v>12714622.780000001</v>
      </c>
      <c r="P55" s="117">
        <f t="shared" si="21"/>
        <v>5.713E-2</v>
      </c>
      <c r="Q55" s="14">
        <f t="shared" si="17"/>
        <v>-5826947.8452936681</v>
      </c>
      <c r="R55" s="14">
        <f t="shared" si="10"/>
        <v>15260986.934706334</v>
      </c>
      <c r="S55" s="118">
        <f t="shared" si="11"/>
        <v>0.27631666666666665</v>
      </c>
      <c r="T55" s="14">
        <f t="shared" si="12"/>
        <v>2546364.1547063328</v>
      </c>
      <c r="U55" s="14">
        <f t="shared" si="13"/>
        <v>534736</v>
      </c>
    </row>
    <row r="56" spans="1:21" x14ac:dyDescent="0.2">
      <c r="A56" s="9">
        <v>2028</v>
      </c>
      <c r="B56" s="9">
        <v>9</v>
      </c>
      <c r="C56" s="275">
        <f t="shared" si="18"/>
        <v>-17221834</v>
      </c>
      <c r="D56" s="14">
        <f t="shared" si="0"/>
        <v>3866100.7800000012</v>
      </c>
      <c r="E56" s="117">
        <f t="shared" si="20"/>
        <v>5.713E-2</v>
      </c>
      <c r="F56" s="14">
        <f t="shared" si="16"/>
        <v>-5927343.9881254518</v>
      </c>
      <c r="G56" s="14">
        <f t="shared" si="3"/>
        <v>15160590.79187455</v>
      </c>
      <c r="H56" s="118">
        <f t="shared" si="4"/>
        <v>0.28107750000000004</v>
      </c>
      <c r="I56" s="14">
        <f t="shared" si="5"/>
        <v>11294490.011874549</v>
      </c>
      <c r="J56" s="14">
        <f t="shared" si="6"/>
        <v>2371843</v>
      </c>
      <c r="L56" s="9">
        <v>2028</v>
      </c>
      <c r="M56" s="9">
        <v>9</v>
      </c>
      <c r="N56" s="259">
        <f t="shared" si="19"/>
        <v>-8459245</v>
      </c>
      <c r="O56" s="14">
        <f t="shared" si="7"/>
        <v>12628689.780000001</v>
      </c>
      <c r="P56" s="117">
        <f t="shared" si="21"/>
        <v>5.713E-2</v>
      </c>
      <c r="Q56" s="14">
        <f t="shared" si="17"/>
        <v>-5927343.9881254518</v>
      </c>
      <c r="R56" s="14">
        <f t="shared" si="10"/>
        <v>15160590.79187455</v>
      </c>
      <c r="S56" s="118">
        <f t="shared" si="11"/>
        <v>0.28107750000000004</v>
      </c>
      <c r="T56" s="14">
        <f t="shared" si="12"/>
        <v>2531901.0118745491</v>
      </c>
      <c r="U56" s="14">
        <f t="shared" si="13"/>
        <v>531699</v>
      </c>
    </row>
    <row r="57" spans="1:21" x14ac:dyDescent="0.2">
      <c r="A57" s="9">
        <v>2028</v>
      </c>
      <c r="B57" s="9">
        <v>10</v>
      </c>
      <c r="C57" s="275">
        <f t="shared" si="18"/>
        <v>-17573300</v>
      </c>
      <c r="D57" s="14">
        <f t="shared" si="0"/>
        <v>3514634.7800000012</v>
      </c>
      <c r="E57" s="117">
        <f t="shared" si="20"/>
        <v>5.713E-2</v>
      </c>
      <c r="F57" s="14">
        <f t="shared" si="16"/>
        <v>-6027740.1309572356</v>
      </c>
      <c r="G57" s="14">
        <f t="shared" si="3"/>
        <v>15060194.649042767</v>
      </c>
      <c r="H57" s="118">
        <f t="shared" si="4"/>
        <v>0.28583833333333336</v>
      </c>
      <c r="I57" s="14">
        <f t="shared" si="5"/>
        <v>11545559.869042765</v>
      </c>
      <c r="J57" s="14">
        <f t="shared" si="6"/>
        <v>2424568</v>
      </c>
      <c r="L57" s="9">
        <v>2028</v>
      </c>
      <c r="M57" s="9">
        <v>10</v>
      </c>
      <c r="N57" s="259">
        <f t="shared" si="19"/>
        <v>-8545178</v>
      </c>
      <c r="O57" s="14">
        <f t="shared" si="7"/>
        <v>12542756.780000001</v>
      </c>
      <c r="P57" s="117">
        <f t="shared" si="21"/>
        <v>5.713E-2</v>
      </c>
      <c r="Q57" s="14">
        <f t="shared" si="17"/>
        <v>-6027740.1309572356</v>
      </c>
      <c r="R57" s="14">
        <f t="shared" si="10"/>
        <v>15060194.649042767</v>
      </c>
      <c r="S57" s="118">
        <f t="shared" si="11"/>
        <v>0.28583833333333336</v>
      </c>
      <c r="T57" s="14">
        <f t="shared" si="12"/>
        <v>2517437.8690427653</v>
      </c>
      <c r="U57" s="14">
        <f t="shared" si="13"/>
        <v>528662</v>
      </c>
    </row>
    <row r="58" spans="1:21" x14ac:dyDescent="0.2">
      <c r="A58" s="9">
        <v>2028</v>
      </c>
      <c r="B58" s="9">
        <v>11</v>
      </c>
      <c r="C58" s="275">
        <f t="shared" si="18"/>
        <v>-17924766</v>
      </c>
      <c r="D58" s="14">
        <f t="shared" si="0"/>
        <v>3163168.7800000012</v>
      </c>
      <c r="E58" s="117">
        <f t="shared" si="20"/>
        <v>5.713E-2</v>
      </c>
      <c r="F58" s="14">
        <f t="shared" si="16"/>
        <v>-6128136.2737890193</v>
      </c>
      <c r="G58" s="14">
        <f t="shared" si="3"/>
        <v>14959798.506210983</v>
      </c>
      <c r="H58" s="118">
        <f t="shared" si="4"/>
        <v>0.29059916666666674</v>
      </c>
      <c r="I58" s="14">
        <f t="shared" si="5"/>
        <v>11796629.726210982</v>
      </c>
      <c r="J58" s="14">
        <f t="shared" si="6"/>
        <v>2477292</v>
      </c>
      <c r="L58" s="9">
        <v>2028</v>
      </c>
      <c r="M58" s="9">
        <v>11</v>
      </c>
      <c r="N58" s="259">
        <f t="shared" si="19"/>
        <v>-8631111</v>
      </c>
      <c r="O58" s="14">
        <f t="shared" si="7"/>
        <v>12456823.780000001</v>
      </c>
      <c r="P58" s="117">
        <f t="shared" si="21"/>
        <v>5.713E-2</v>
      </c>
      <c r="Q58" s="14">
        <f t="shared" si="17"/>
        <v>-6128136.2737890193</v>
      </c>
      <c r="R58" s="14">
        <f t="shared" si="10"/>
        <v>14959798.506210983</v>
      </c>
      <c r="S58" s="118">
        <f t="shared" si="11"/>
        <v>0.29059916666666674</v>
      </c>
      <c r="T58" s="14">
        <f t="shared" si="12"/>
        <v>2502974.7262109816</v>
      </c>
      <c r="U58" s="14">
        <f t="shared" si="13"/>
        <v>525625</v>
      </c>
    </row>
    <row r="59" spans="1:21" x14ac:dyDescent="0.2">
      <c r="A59" s="9">
        <v>2028</v>
      </c>
      <c r="B59" s="9">
        <v>12</v>
      </c>
      <c r="C59" s="275">
        <f t="shared" si="18"/>
        <v>-18276232</v>
      </c>
      <c r="D59" s="14">
        <f t="shared" si="0"/>
        <v>2811702.7800000012</v>
      </c>
      <c r="E59" s="117">
        <f t="shared" si="20"/>
        <v>5.713E-2</v>
      </c>
      <c r="F59" s="14">
        <f t="shared" si="16"/>
        <v>-6228532.4166208031</v>
      </c>
      <c r="G59" s="14">
        <f t="shared" si="3"/>
        <v>14859402.363379199</v>
      </c>
      <c r="H59" s="118">
        <f t="shared" si="4"/>
        <v>0.29536000000000007</v>
      </c>
      <c r="I59" s="14">
        <f t="shared" si="5"/>
        <v>12047699.583379198</v>
      </c>
      <c r="J59" s="14">
        <f t="shared" si="6"/>
        <v>2530017</v>
      </c>
      <c r="L59" s="9">
        <v>2028</v>
      </c>
      <c r="M59" s="9">
        <v>12</v>
      </c>
      <c r="N59" s="259">
        <f t="shared" si="19"/>
        <v>-8717044</v>
      </c>
      <c r="O59" s="14">
        <f t="shared" si="7"/>
        <v>12370890.780000001</v>
      </c>
      <c r="P59" s="117">
        <f t="shared" si="21"/>
        <v>5.713E-2</v>
      </c>
      <c r="Q59" s="14">
        <f t="shared" si="17"/>
        <v>-6228532.4166208031</v>
      </c>
      <c r="R59" s="14">
        <f t="shared" si="10"/>
        <v>14859402.363379199</v>
      </c>
      <c r="S59" s="118">
        <f t="shared" si="11"/>
        <v>0.29536000000000007</v>
      </c>
      <c r="T59" s="14">
        <f t="shared" si="12"/>
        <v>2488511.5833791979</v>
      </c>
      <c r="U59" s="14">
        <f t="shared" si="13"/>
        <v>522587</v>
      </c>
    </row>
    <row r="60" spans="1:21" x14ac:dyDescent="0.2">
      <c r="C60" s="14"/>
      <c r="D60" s="14"/>
      <c r="E60" s="117"/>
      <c r="F60" s="14"/>
      <c r="G60" s="14"/>
      <c r="H60" s="118"/>
      <c r="I60" s="14"/>
      <c r="J60" s="14"/>
      <c r="L60" s="9">
        <v>2029</v>
      </c>
      <c r="M60" s="9">
        <v>1</v>
      </c>
      <c r="N60" s="259">
        <f t="shared" si="19"/>
        <v>-8802977</v>
      </c>
      <c r="O60" s="14">
        <f t="shared" si="7"/>
        <v>12284957.780000001</v>
      </c>
      <c r="P60" s="117">
        <f t="shared" si="21"/>
        <v>5.2850000000000001E-2</v>
      </c>
      <c r="Q60" s="14">
        <f t="shared" si="17"/>
        <v>-6321407.1960477196</v>
      </c>
      <c r="R60" s="14">
        <f t="shared" si="10"/>
        <v>14766527.583952282</v>
      </c>
      <c r="S60" s="118">
        <f t="shared" si="11"/>
        <v>0.29976416666666678</v>
      </c>
      <c r="T60" s="14">
        <f t="shared" si="12"/>
        <v>2481569.8039522804</v>
      </c>
      <c r="U60" s="14">
        <f t="shared" si="13"/>
        <v>521130</v>
      </c>
    </row>
    <row r="61" spans="1:21" x14ac:dyDescent="0.2">
      <c r="C61" s="14"/>
      <c r="D61" s="14"/>
      <c r="E61" s="117"/>
      <c r="F61" s="14"/>
      <c r="G61" s="14"/>
      <c r="H61" s="118"/>
      <c r="I61" s="14"/>
      <c r="J61" s="14"/>
      <c r="L61" s="9">
        <v>2029</v>
      </c>
      <c r="M61" s="9">
        <v>2</v>
      </c>
      <c r="N61" s="259">
        <f t="shared" si="19"/>
        <v>-8888910</v>
      </c>
      <c r="O61" s="14">
        <f t="shared" si="7"/>
        <v>12199024.780000001</v>
      </c>
      <c r="P61" s="117">
        <f t="shared" si="21"/>
        <v>5.2850000000000001E-2</v>
      </c>
      <c r="Q61" s="14">
        <f t="shared" si="17"/>
        <v>-6414281.9754746361</v>
      </c>
      <c r="R61" s="14">
        <f t="shared" si="10"/>
        <v>14673652.804525364</v>
      </c>
      <c r="S61" s="118">
        <f t="shared" si="11"/>
        <v>0.30416833333333348</v>
      </c>
      <c r="T61" s="14">
        <f t="shared" si="12"/>
        <v>2474628.024525363</v>
      </c>
      <c r="U61" s="14">
        <f t="shared" si="13"/>
        <v>519672</v>
      </c>
    </row>
    <row r="62" spans="1:21" x14ac:dyDescent="0.2">
      <c r="C62" s="14"/>
      <c r="D62" s="14"/>
      <c r="E62" s="117"/>
      <c r="F62" s="14"/>
      <c r="G62" s="14"/>
      <c r="H62" s="118"/>
      <c r="I62" s="14"/>
      <c r="J62" s="14"/>
      <c r="L62" s="9">
        <v>2029</v>
      </c>
      <c r="M62" s="9">
        <v>3</v>
      </c>
      <c r="N62" s="259">
        <f t="shared" si="19"/>
        <v>-8974843</v>
      </c>
      <c r="O62" s="14">
        <f t="shared" si="7"/>
        <v>12113091.780000001</v>
      </c>
      <c r="P62" s="117">
        <f t="shared" si="21"/>
        <v>5.2850000000000001E-2</v>
      </c>
      <c r="Q62" s="14">
        <f t="shared" si="17"/>
        <v>-6507156.7549015526</v>
      </c>
      <c r="R62" s="14">
        <f t="shared" si="10"/>
        <v>14580778.025098449</v>
      </c>
      <c r="S62" s="118">
        <f t="shared" si="11"/>
        <v>0.30857250000000008</v>
      </c>
      <c r="T62" s="14">
        <f t="shared" si="12"/>
        <v>2467686.2450984474</v>
      </c>
      <c r="U62" s="14">
        <f t="shared" si="13"/>
        <v>518214</v>
      </c>
    </row>
    <row r="63" spans="1:21" x14ac:dyDescent="0.2">
      <c r="C63" s="14"/>
      <c r="D63" s="14"/>
      <c r="E63" s="117"/>
      <c r="F63" s="14"/>
      <c r="G63" s="14"/>
      <c r="H63" s="118"/>
      <c r="I63" s="14"/>
      <c r="J63" s="14"/>
      <c r="L63" s="9">
        <v>2029</v>
      </c>
      <c r="M63" s="9">
        <v>4</v>
      </c>
      <c r="N63" s="259">
        <f t="shared" si="19"/>
        <v>-9060776</v>
      </c>
      <c r="O63" s="14">
        <f t="shared" ref="O63:O126" si="22">$C$2+N63</f>
        <v>12027158.780000001</v>
      </c>
      <c r="P63" s="117">
        <f t="shared" si="21"/>
        <v>5.2850000000000001E-2</v>
      </c>
      <c r="Q63" s="14">
        <f t="shared" si="17"/>
        <v>-6600031.5343284691</v>
      </c>
      <c r="R63" s="14">
        <f t="shared" ref="R63:R126" si="23">$C$2+Q63</f>
        <v>14487903.245671533</v>
      </c>
      <c r="S63" s="118">
        <f t="shared" ref="S63:S126" si="24">-(R63-$C$2)/$C$2</f>
        <v>0.31297666666666674</v>
      </c>
      <c r="T63" s="14">
        <f t="shared" ref="T63:T126" si="25">R63-O63</f>
        <v>2460744.4656715319</v>
      </c>
      <c r="U63" s="14">
        <f t="shared" ref="U63:U126" si="26">ROUND(T63*$C$4,0)</f>
        <v>516756</v>
      </c>
    </row>
    <row r="64" spans="1:21" x14ac:dyDescent="0.2">
      <c r="C64" s="14"/>
      <c r="D64" s="14"/>
      <c r="E64" s="117"/>
      <c r="F64" s="14"/>
      <c r="G64" s="14"/>
      <c r="H64" s="118"/>
      <c r="I64" s="14"/>
      <c r="J64" s="14"/>
      <c r="L64" s="9">
        <v>2029</v>
      </c>
      <c r="M64" s="9">
        <v>5</v>
      </c>
      <c r="N64" s="259">
        <f t="shared" si="19"/>
        <v>-9146709</v>
      </c>
      <c r="O64" s="14">
        <f t="shared" si="22"/>
        <v>11941225.780000001</v>
      </c>
      <c r="P64" s="117">
        <f t="shared" si="21"/>
        <v>5.2850000000000001E-2</v>
      </c>
      <c r="Q64" s="14">
        <f t="shared" si="17"/>
        <v>-6692906.3137553856</v>
      </c>
      <c r="R64" s="14">
        <f t="shared" si="23"/>
        <v>14395028.466244616</v>
      </c>
      <c r="S64" s="118">
        <f t="shared" si="24"/>
        <v>0.31738083333333345</v>
      </c>
      <c r="T64" s="14">
        <f t="shared" si="25"/>
        <v>2453802.6862446144</v>
      </c>
      <c r="U64" s="14">
        <f t="shared" si="26"/>
        <v>515299</v>
      </c>
    </row>
    <row r="65" spans="3:21" x14ac:dyDescent="0.2">
      <c r="C65" s="14"/>
      <c r="D65" s="14"/>
      <c r="E65" s="117"/>
      <c r="F65" s="14"/>
      <c r="G65" s="14"/>
      <c r="H65" s="118"/>
      <c r="I65" s="14"/>
      <c r="J65" s="14"/>
      <c r="L65" s="9">
        <v>2029</v>
      </c>
      <c r="M65" s="9">
        <v>6</v>
      </c>
      <c r="N65" s="259">
        <f t="shared" si="19"/>
        <v>-9232642</v>
      </c>
      <c r="O65" s="14">
        <f t="shared" si="22"/>
        <v>11855292.780000001</v>
      </c>
      <c r="P65" s="117">
        <f t="shared" si="21"/>
        <v>5.2850000000000001E-2</v>
      </c>
      <c r="Q65" s="14">
        <f t="shared" si="17"/>
        <v>-6785781.0931823021</v>
      </c>
      <c r="R65" s="14">
        <f t="shared" si="23"/>
        <v>14302153.686817698</v>
      </c>
      <c r="S65" s="118">
        <f t="shared" si="24"/>
        <v>0.3217850000000001</v>
      </c>
      <c r="T65" s="14">
        <f t="shared" si="25"/>
        <v>2446860.906817697</v>
      </c>
      <c r="U65" s="14">
        <f t="shared" si="26"/>
        <v>513841</v>
      </c>
    </row>
    <row r="66" spans="3:21" x14ac:dyDescent="0.2">
      <c r="C66" s="14"/>
      <c r="D66" s="14"/>
      <c r="E66" s="117"/>
      <c r="F66" s="14"/>
      <c r="G66" s="14"/>
      <c r="H66" s="118"/>
      <c r="I66" s="14"/>
      <c r="J66" s="14"/>
      <c r="L66" s="9">
        <v>2029</v>
      </c>
      <c r="M66" s="9">
        <v>7</v>
      </c>
      <c r="N66" s="259">
        <f t="shared" si="19"/>
        <v>-9318575</v>
      </c>
      <c r="O66" s="14">
        <f t="shared" si="22"/>
        <v>11769359.780000001</v>
      </c>
      <c r="P66" s="117">
        <f t="shared" si="21"/>
        <v>5.2850000000000001E-2</v>
      </c>
      <c r="Q66" s="14">
        <f t="shared" si="17"/>
        <v>-6878655.8726092186</v>
      </c>
      <c r="R66" s="14">
        <f t="shared" si="23"/>
        <v>14209278.907390783</v>
      </c>
      <c r="S66" s="118">
        <f t="shared" si="24"/>
        <v>0.32618916666666675</v>
      </c>
      <c r="T66" s="14">
        <f t="shared" si="25"/>
        <v>2439919.1273907814</v>
      </c>
      <c r="U66" s="14">
        <f t="shared" si="26"/>
        <v>512383</v>
      </c>
    </row>
    <row r="67" spans="3:21" x14ac:dyDescent="0.2">
      <c r="C67" s="14"/>
      <c r="D67" s="14"/>
      <c r="E67" s="117"/>
      <c r="F67" s="14"/>
      <c r="G67" s="14"/>
      <c r="H67" s="118"/>
      <c r="I67" s="14"/>
      <c r="J67" s="14"/>
      <c r="L67" s="9">
        <v>2029</v>
      </c>
      <c r="M67" s="9">
        <v>8</v>
      </c>
      <c r="N67" s="259">
        <f t="shared" si="19"/>
        <v>-9404508</v>
      </c>
      <c r="O67" s="14">
        <f t="shared" si="22"/>
        <v>11683426.780000001</v>
      </c>
      <c r="P67" s="117">
        <f t="shared" si="21"/>
        <v>5.2850000000000001E-2</v>
      </c>
      <c r="Q67" s="14">
        <f t="shared" si="17"/>
        <v>-6971530.6520361351</v>
      </c>
      <c r="R67" s="14">
        <f t="shared" si="23"/>
        <v>14116404.127963867</v>
      </c>
      <c r="S67" s="118">
        <f t="shared" si="24"/>
        <v>0.33059333333333335</v>
      </c>
      <c r="T67" s="14">
        <f t="shared" si="25"/>
        <v>2432977.3479638658</v>
      </c>
      <c r="U67" s="14">
        <f t="shared" si="26"/>
        <v>510925</v>
      </c>
    </row>
    <row r="68" spans="3:21" x14ac:dyDescent="0.2">
      <c r="C68" s="14"/>
      <c r="D68" s="14"/>
      <c r="E68" s="117"/>
      <c r="F68" s="14"/>
      <c r="G68" s="14"/>
      <c r="H68" s="118"/>
      <c r="I68" s="14"/>
      <c r="J68" s="14"/>
      <c r="L68" s="9">
        <v>2029</v>
      </c>
      <c r="M68" s="9">
        <v>9</v>
      </c>
      <c r="N68" s="259">
        <f t="shared" si="19"/>
        <v>-9490441</v>
      </c>
      <c r="O68" s="14">
        <f t="shared" si="22"/>
        <v>11597493.780000001</v>
      </c>
      <c r="P68" s="117">
        <f t="shared" si="21"/>
        <v>5.2850000000000001E-2</v>
      </c>
      <c r="Q68" s="14">
        <f t="shared" si="17"/>
        <v>-7064405.4314630516</v>
      </c>
      <c r="R68" s="14">
        <f t="shared" si="23"/>
        <v>14023529.34853695</v>
      </c>
      <c r="S68" s="118">
        <f t="shared" si="24"/>
        <v>0.33499750000000006</v>
      </c>
      <c r="T68" s="14">
        <f t="shared" si="25"/>
        <v>2426035.5685369484</v>
      </c>
      <c r="U68" s="14">
        <f t="shared" si="26"/>
        <v>509467</v>
      </c>
    </row>
    <row r="69" spans="3:21" x14ac:dyDescent="0.2">
      <c r="C69" s="14"/>
      <c r="D69" s="14"/>
      <c r="E69" s="117"/>
      <c r="F69" s="14"/>
      <c r="G69" s="14"/>
      <c r="H69" s="118"/>
      <c r="I69" s="14"/>
      <c r="J69" s="14"/>
      <c r="L69" s="9">
        <v>2029</v>
      </c>
      <c r="M69" s="9">
        <v>10</v>
      </c>
      <c r="N69" s="259">
        <f t="shared" si="19"/>
        <v>-9576374</v>
      </c>
      <c r="O69" s="14">
        <f t="shared" si="22"/>
        <v>11511560.780000001</v>
      </c>
      <c r="P69" s="117">
        <f t="shared" si="21"/>
        <v>5.2850000000000001E-2</v>
      </c>
      <c r="Q69" s="14">
        <f t="shared" si="17"/>
        <v>-7157280.2108899681</v>
      </c>
      <c r="R69" s="14">
        <f t="shared" si="23"/>
        <v>13930654.569110032</v>
      </c>
      <c r="S69" s="118">
        <f t="shared" si="24"/>
        <v>0.33940166666666677</v>
      </c>
      <c r="T69" s="14">
        <f t="shared" si="25"/>
        <v>2419093.789110031</v>
      </c>
      <c r="U69" s="14">
        <f t="shared" si="26"/>
        <v>508010</v>
      </c>
    </row>
    <row r="70" spans="3:21" x14ac:dyDescent="0.2">
      <c r="C70" s="14"/>
      <c r="D70" s="14"/>
      <c r="E70" s="117"/>
      <c r="F70" s="14"/>
      <c r="G70" s="14"/>
      <c r="H70" s="118"/>
      <c r="I70" s="14"/>
      <c r="J70" s="14"/>
      <c r="L70" s="9">
        <v>2029</v>
      </c>
      <c r="M70" s="9">
        <v>11</v>
      </c>
      <c r="N70" s="259">
        <f t="shared" si="19"/>
        <v>-9662307</v>
      </c>
      <c r="O70" s="14">
        <f t="shared" si="22"/>
        <v>11425627.780000001</v>
      </c>
      <c r="P70" s="117">
        <f t="shared" si="21"/>
        <v>5.2850000000000001E-2</v>
      </c>
      <c r="Q70" s="14">
        <f t="shared" si="17"/>
        <v>-7250154.9903168846</v>
      </c>
      <c r="R70" s="14">
        <f t="shared" si="23"/>
        <v>13837779.789683117</v>
      </c>
      <c r="S70" s="118">
        <f t="shared" si="24"/>
        <v>0.34380583333333337</v>
      </c>
      <c r="T70" s="14">
        <f t="shared" si="25"/>
        <v>2412152.0096831154</v>
      </c>
      <c r="U70" s="14">
        <f t="shared" si="26"/>
        <v>506552</v>
      </c>
    </row>
    <row r="71" spans="3:21" x14ac:dyDescent="0.2">
      <c r="C71" s="14"/>
      <c r="D71" s="14"/>
      <c r="E71" s="117"/>
      <c r="F71" s="14"/>
      <c r="G71" s="14"/>
      <c r="H71" s="118"/>
      <c r="I71" s="14"/>
      <c r="J71" s="14"/>
      <c r="L71" s="9">
        <v>2029</v>
      </c>
      <c r="M71" s="9">
        <v>12</v>
      </c>
      <c r="N71" s="259">
        <f t="shared" si="19"/>
        <v>-9748240</v>
      </c>
      <c r="O71" s="14">
        <f t="shared" si="22"/>
        <v>11339694.780000001</v>
      </c>
      <c r="P71" s="117">
        <f t="shared" si="21"/>
        <v>5.2850000000000001E-2</v>
      </c>
      <c r="Q71" s="14">
        <f t="shared" si="17"/>
        <v>-7343029.7697438011</v>
      </c>
      <c r="R71" s="14">
        <f t="shared" si="23"/>
        <v>13744905.010256201</v>
      </c>
      <c r="S71" s="118">
        <f t="shared" si="24"/>
        <v>0.34820999999999996</v>
      </c>
      <c r="T71" s="14">
        <f t="shared" si="25"/>
        <v>2405210.2302561998</v>
      </c>
      <c r="U71" s="14">
        <f t="shared" si="26"/>
        <v>505094</v>
      </c>
    </row>
    <row r="72" spans="3:21" x14ac:dyDescent="0.2">
      <c r="C72" s="14"/>
      <c r="D72" s="14"/>
      <c r="E72" s="117"/>
      <c r="F72" s="14"/>
      <c r="G72" s="14"/>
      <c r="H72" s="118"/>
      <c r="I72" s="14"/>
      <c r="J72" s="14"/>
      <c r="L72" s="9">
        <v>2030</v>
      </c>
      <c r="M72" s="9">
        <v>1</v>
      </c>
      <c r="N72" s="259">
        <f t="shared" si="19"/>
        <v>-9834173</v>
      </c>
      <c r="O72" s="14">
        <f t="shared" si="22"/>
        <v>11253761.780000001</v>
      </c>
      <c r="P72" s="117">
        <f t="shared" ref="P72:P103" si="27">VLOOKUP(L72-($C$3-1),$D$213:$G$234,4)</f>
        <v>4.888E-2</v>
      </c>
      <c r="Q72" s="14">
        <f t="shared" si="17"/>
        <v>-7428927.9574143346</v>
      </c>
      <c r="R72" s="14">
        <f t="shared" si="23"/>
        <v>13659006.822585667</v>
      </c>
      <c r="S72" s="118">
        <f t="shared" si="24"/>
        <v>0.35228333333333339</v>
      </c>
      <c r="T72" s="14">
        <f t="shared" si="25"/>
        <v>2405245.0425856654</v>
      </c>
      <c r="U72" s="14">
        <f t="shared" si="26"/>
        <v>505101</v>
      </c>
    </row>
    <row r="73" spans="3:21" x14ac:dyDescent="0.2">
      <c r="C73" s="14"/>
      <c r="D73" s="14"/>
      <c r="E73" s="117"/>
      <c r="F73" s="14"/>
      <c r="G73" s="14"/>
      <c r="H73" s="118"/>
      <c r="I73" s="14"/>
      <c r="J73" s="14"/>
      <c r="L73" s="9">
        <v>2030</v>
      </c>
      <c r="M73" s="9">
        <v>2</v>
      </c>
      <c r="N73" s="259">
        <f t="shared" si="19"/>
        <v>-9920106</v>
      </c>
      <c r="O73" s="14">
        <f t="shared" si="22"/>
        <v>11167828.780000001</v>
      </c>
      <c r="P73" s="117">
        <f t="shared" si="27"/>
        <v>4.888E-2</v>
      </c>
      <c r="Q73" s="14">
        <f t="shared" si="17"/>
        <v>-7514826.1450848682</v>
      </c>
      <c r="R73" s="14">
        <f t="shared" si="23"/>
        <v>13573108.634915132</v>
      </c>
      <c r="S73" s="118">
        <f t="shared" si="24"/>
        <v>0.35635666666666677</v>
      </c>
      <c r="T73" s="14">
        <f t="shared" si="25"/>
        <v>2405279.8549151309</v>
      </c>
      <c r="U73" s="14">
        <f t="shared" si="26"/>
        <v>505109</v>
      </c>
    </row>
    <row r="74" spans="3:21" x14ac:dyDescent="0.2">
      <c r="C74" s="14"/>
      <c r="D74" s="14"/>
      <c r="E74" s="117"/>
      <c r="F74" s="14"/>
      <c r="G74" s="14"/>
      <c r="H74" s="118"/>
      <c r="I74" s="14"/>
      <c r="J74" s="14"/>
      <c r="L74" s="9">
        <v>2030</v>
      </c>
      <c r="M74" s="9">
        <v>3</v>
      </c>
      <c r="N74" s="259">
        <f t="shared" si="19"/>
        <v>-10006039</v>
      </c>
      <c r="O74" s="14">
        <f t="shared" si="22"/>
        <v>11081895.780000001</v>
      </c>
      <c r="P74" s="117">
        <f t="shared" si="27"/>
        <v>4.888E-2</v>
      </c>
      <c r="Q74" s="14">
        <f t="shared" si="17"/>
        <v>-7600724.3327554017</v>
      </c>
      <c r="R74" s="14">
        <f t="shared" si="23"/>
        <v>13487210.447244599</v>
      </c>
      <c r="S74" s="118">
        <f t="shared" si="24"/>
        <v>0.36043000000000008</v>
      </c>
      <c r="T74" s="14">
        <f t="shared" si="25"/>
        <v>2405314.6672445983</v>
      </c>
      <c r="U74" s="14">
        <f t="shared" si="26"/>
        <v>505116</v>
      </c>
    </row>
    <row r="75" spans="3:21" x14ac:dyDescent="0.2">
      <c r="C75" s="14"/>
      <c r="D75" s="14"/>
      <c r="E75" s="117"/>
      <c r="F75" s="14"/>
      <c r="G75" s="14"/>
      <c r="H75" s="118"/>
      <c r="I75" s="14"/>
      <c r="J75" s="14"/>
      <c r="L75" s="9">
        <v>2030</v>
      </c>
      <c r="M75" s="9">
        <v>4</v>
      </c>
      <c r="N75" s="259">
        <f t="shared" si="19"/>
        <v>-10091972</v>
      </c>
      <c r="O75" s="14">
        <f t="shared" si="22"/>
        <v>10995962.780000001</v>
      </c>
      <c r="P75" s="117">
        <f t="shared" si="27"/>
        <v>4.888E-2</v>
      </c>
      <c r="Q75" s="14">
        <f t="shared" ref="Q75:Q138" si="28">-$C$2*P75/12+Q74</f>
        <v>-7686622.5204259353</v>
      </c>
      <c r="R75" s="14">
        <f t="shared" si="23"/>
        <v>13401312.259574067</v>
      </c>
      <c r="S75" s="118">
        <f t="shared" si="24"/>
        <v>0.36450333333333335</v>
      </c>
      <c r="T75" s="14">
        <f t="shared" si="25"/>
        <v>2405349.4795740657</v>
      </c>
      <c r="U75" s="14">
        <f t="shared" si="26"/>
        <v>505123</v>
      </c>
    </row>
    <row r="76" spans="3:21" x14ac:dyDescent="0.2">
      <c r="C76" s="14"/>
      <c r="D76" s="14"/>
      <c r="E76" s="117"/>
      <c r="F76" s="14"/>
      <c r="G76" s="14"/>
      <c r="H76" s="118"/>
      <c r="I76" s="14"/>
      <c r="J76" s="14"/>
      <c r="L76" s="9">
        <v>2030</v>
      </c>
      <c r="M76" s="9">
        <v>5</v>
      </c>
      <c r="N76" s="259">
        <f t="shared" si="19"/>
        <v>-10177905</v>
      </c>
      <c r="O76" s="14">
        <f t="shared" si="22"/>
        <v>10910029.780000001</v>
      </c>
      <c r="P76" s="117">
        <f t="shared" si="27"/>
        <v>4.888E-2</v>
      </c>
      <c r="Q76" s="14">
        <f t="shared" si="28"/>
        <v>-7772520.7080964688</v>
      </c>
      <c r="R76" s="14">
        <f t="shared" si="23"/>
        <v>13315414.071903532</v>
      </c>
      <c r="S76" s="118">
        <f t="shared" si="24"/>
        <v>0.36857666666666677</v>
      </c>
      <c r="T76" s="14">
        <f t="shared" si="25"/>
        <v>2405384.2919035312</v>
      </c>
      <c r="U76" s="14">
        <f t="shared" si="26"/>
        <v>505131</v>
      </c>
    </row>
    <row r="77" spans="3:21" x14ac:dyDescent="0.2">
      <c r="C77" s="14"/>
      <c r="D77" s="14"/>
      <c r="E77" s="117"/>
      <c r="F77" s="14"/>
      <c r="G77" s="14"/>
      <c r="H77" s="118"/>
      <c r="I77" s="14"/>
      <c r="J77" s="14"/>
      <c r="L77" s="9">
        <v>2030</v>
      </c>
      <c r="M77" s="9">
        <v>6</v>
      </c>
      <c r="N77" s="259">
        <f t="shared" si="19"/>
        <v>-10263838</v>
      </c>
      <c r="O77" s="14">
        <f t="shared" si="22"/>
        <v>10824096.780000001</v>
      </c>
      <c r="P77" s="117">
        <f t="shared" si="27"/>
        <v>4.888E-2</v>
      </c>
      <c r="Q77" s="14">
        <f t="shared" si="28"/>
        <v>-7858418.8957670024</v>
      </c>
      <c r="R77" s="14">
        <f t="shared" si="23"/>
        <v>13229515.884232998</v>
      </c>
      <c r="S77" s="118">
        <f t="shared" si="24"/>
        <v>0.37265000000000015</v>
      </c>
      <c r="T77" s="14">
        <f t="shared" si="25"/>
        <v>2405419.1042329967</v>
      </c>
      <c r="U77" s="14">
        <f t="shared" si="26"/>
        <v>505138</v>
      </c>
    </row>
    <row r="78" spans="3:21" x14ac:dyDescent="0.2">
      <c r="C78" s="14"/>
      <c r="D78" s="14"/>
      <c r="E78" s="117"/>
      <c r="F78" s="14"/>
      <c r="G78" s="14"/>
      <c r="H78" s="118"/>
      <c r="I78" s="14"/>
      <c r="J78" s="14"/>
      <c r="L78" s="9">
        <v>2030</v>
      </c>
      <c r="M78" s="9">
        <v>7</v>
      </c>
      <c r="N78" s="259">
        <f t="shared" si="19"/>
        <v>-10349771</v>
      </c>
      <c r="O78" s="14">
        <f t="shared" si="22"/>
        <v>10738163.780000001</v>
      </c>
      <c r="P78" s="117">
        <f t="shared" si="27"/>
        <v>4.888E-2</v>
      </c>
      <c r="Q78" s="14">
        <f t="shared" si="28"/>
        <v>-7944317.0834375359</v>
      </c>
      <c r="R78" s="14">
        <f t="shared" si="23"/>
        <v>13143617.696562465</v>
      </c>
      <c r="S78" s="118">
        <f t="shared" si="24"/>
        <v>0.37672333333333341</v>
      </c>
      <c r="T78" s="14">
        <f t="shared" si="25"/>
        <v>2405453.9165624641</v>
      </c>
      <c r="U78" s="14">
        <f t="shared" si="26"/>
        <v>505145</v>
      </c>
    </row>
    <row r="79" spans="3:21" x14ac:dyDescent="0.2">
      <c r="C79" s="14"/>
      <c r="D79" s="14"/>
      <c r="E79" s="117"/>
      <c r="F79" s="14"/>
      <c r="G79" s="14"/>
      <c r="H79" s="118"/>
      <c r="I79" s="14"/>
      <c r="J79" s="14"/>
      <c r="L79" s="9">
        <v>2030</v>
      </c>
      <c r="M79" s="9">
        <v>8</v>
      </c>
      <c r="N79" s="259">
        <f t="shared" si="19"/>
        <v>-10435704</v>
      </c>
      <c r="O79" s="14">
        <f t="shared" si="22"/>
        <v>10652230.780000001</v>
      </c>
      <c r="P79" s="117">
        <f t="shared" si="27"/>
        <v>4.888E-2</v>
      </c>
      <c r="Q79" s="14">
        <f t="shared" si="28"/>
        <v>-8030215.2711080695</v>
      </c>
      <c r="R79" s="14">
        <f t="shared" si="23"/>
        <v>13057719.508891933</v>
      </c>
      <c r="S79" s="118">
        <f t="shared" si="24"/>
        <v>0.38079666666666673</v>
      </c>
      <c r="T79" s="14">
        <f t="shared" si="25"/>
        <v>2405488.7288919315</v>
      </c>
      <c r="U79" s="14">
        <f t="shared" si="26"/>
        <v>505153</v>
      </c>
    </row>
    <row r="80" spans="3:21" x14ac:dyDescent="0.2">
      <c r="C80" s="14"/>
      <c r="D80" s="14"/>
      <c r="E80" s="117"/>
      <c r="F80" s="14"/>
      <c r="G80" s="14"/>
      <c r="H80" s="118"/>
      <c r="I80" s="14"/>
      <c r="J80" s="14"/>
      <c r="L80" s="9">
        <v>2030</v>
      </c>
      <c r="M80" s="9">
        <v>9</v>
      </c>
      <c r="N80" s="259">
        <f t="shared" si="19"/>
        <v>-10521637</v>
      </c>
      <c r="O80" s="14">
        <f t="shared" si="22"/>
        <v>10566297.780000001</v>
      </c>
      <c r="P80" s="117">
        <f t="shared" si="27"/>
        <v>4.888E-2</v>
      </c>
      <c r="Q80" s="14">
        <f t="shared" si="28"/>
        <v>-8116113.458778603</v>
      </c>
      <c r="R80" s="14">
        <f t="shared" si="23"/>
        <v>12971821.321221398</v>
      </c>
      <c r="S80" s="118">
        <f t="shared" si="24"/>
        <v>0.3848700000000001</v>
      </c>
      <c r="T80" s="14">
        <f t="shared" si="25"/>
        <v>2405523.541221397</v>
      </c>
      <c r="U80" s="14">
        <f t="shared" si="26"/>
        <v>505160</v>
      </c>
    </row>
    <row r="81" spans="3:21" x14ac:dyDescent="0.2">
      <c r="C81" s="14"/>
      <c r="D81" s="14"/>
      <c r="E81" s="117"/>
      <c r="F81" s="14"/>
      <c r="G81" s="14"/>
      <c r="H81" s="118"/>
      <c r="I81" s="14"/>
      <c r="J81" s="14"/>
      <c r="L81" s="9">
        <v>2030</v>
      </c>
      <c r="M81" s="9">
        <v>10</v>
      </c>
      <c r="N81" s="259">
        <f t="shared" si="19"/>
        <v>-10607570</v>
      </c>
      <c r="O81" s="14">
        <f t="shared" si="22"/>
        <v>10480364.780000001</v>
      </c>
      <c r="P81" s="117">
        <f t="shared" si="27"/>
        <v>4.888E-2</v>
      </c>
      <c r="Q81" s="14">
        <f t="shared" si="28"/>
        <v>-8202011.6464491365</v>
      </c>
      <c r="R81" s="14">
        <f t="shared" si="23"/>
        <v>12885923.133550864</v>
      </c>
      <c r="S81" s="118">
        <f t="shared" si="24"/>
        <v>0.38894333333333353</v>
      </c>
      <c r="T81" s="14">
        <f t="shared" si="25"/>
        <v>2405558.3535508625</v>
      </c>
      <c r="U81" s="14">
        <f t="shared" si="26"/>
        <v>505167</v>
      </c>
    </row>
    <row r="82" spans="3:21" x14ac:dyDescent="0.2">
      <c r="C82" s="14"/>
      <c r="D82" s="14"/>
      <c r="E82" s="117"/>
      <c r="F82" s="14"/>
      <c r="G82" s="14"/>
      <c r="H82" s="118"/>
      <c r="I82" s="14"/>
      <c r="J82" s="14"/>
      <c r="L82" s="9">
        <v>2030</v>
      </c>
      <c r="M82" s="9">
        <v>11</v>
      </c>
      <c r="N82" s="259">
        <f t="shared" si="19"/>
        <v>-10693503</v>
      </c>
      <c r="O82" s="14">
        <f t="shared" si="22"/>
        <v>10394431.780000001</v>
      </c>
      <c r="P82" s="117">
        <f t="shared" si="27"/>
        <v>4.888E-2</v>
      </c>
      <c r="Q82" s="14">
        <f t="shared" si="28"/>
        <v>-8287909.8341196701</v>
      </c>
      <c r="R82" s="14">
        <f t="shared" si="23"/>
        <v>12800024.945880331</v>
      </c>
      <c r="S82" s="118">
        <f t="shared" si="24"/>
        <v>0.39301666666666679</v>
      </c>
      <c r="T82" s="14">
        <f t="shared" si="25"/>
        <v>2405593.1658803299</v>
      </c>
      <c r="U82" s="14">
        <f t="shared" si="26"/>
        <v>505175</v>
      </c>
    </row>
    <row r="83" spans="3:21" x14ac:dyDescent="0.2">
      <c r="C83" s="14"/>
      <c r="D83" s="14"/>
      <c r="E83" s="117"/>
      <c r="F83" s="14"/>
      <c r="G83" s="14"/>
      <c r="H83" s="118"/>
      <c r="I83" s="14"/>
      <c r="J83" s="14"/>
      <c r="L83" s="9">
        <v>2030</v>
      </c>
      <c r="M83" s="9">
        <v>12</v>
      </c>
      <c r="N83" s="259">
        <f t="shared" si="19"/>
        <v>-10779436</v>
      </c>
      <c r="O83" s="14">
        <f t="shared" si="22"/>
        <v>10308498.780000001</v>
      </c>
      <c r="P83" s="117">
        <f t="shared" si="27"/>
        <v>4.888E-2</v>
      </c>
      <c r="Q83" s="14">
        <f t="shared" si="28"/>
        <v>-8373808.0217902036</v>
      </c>
      <c r="R83" s="14">
        <f t="shared" si="23"/>
        <v>12714126.758209798</v>
      </c>
      <c r="S83" s="118">
        <f t="shared" si="24"/>
        <v>0.39709000000000011</v>
      </c>
      <c r="T83" s="14">
        <f t="shared" si="25"/>
        <v>2405627.9782097973</v>
      </c>
      <c r="U83" s="14">
        <f t="shared" si="26"/>
        <v>505182</v>
      </c>
    </row>
    <row r="84" spans="3:21" x14ac:dyDescent="0.2">
      <c r="C84" s="14"/>
      <c r="D84" s="14"/>
      <c r="E84" s="117"/>
      <c r="F84" s="14"/>
      <c r="G84" s="14"/>
      <c r="H84" s="118"/>
      <c r="I84" s="14"/>
      <c r="J84" s="14"/>
      <c r="L84" s="9">
        <v>2031</v>
      </c>
      <c r="M84" s="9">
        <v>1</v>
      </c>
      <c r="N84" s="259">
        <f t="shared" si="19"/>
        <v>-10865369</v>
      </c>
      <c r="O84" s="14">
        <f t="shared" si="22"/>
        <v>10222565.780000001</v>
      </c>
      <c r="P84" s="117">
        <f t="shared" si="27"/>
        <v>4.5220000000000003E-2</v>
      </c>
      <c r="Q84" s="14">
        <f t="shared" si="28"/>
        <v>-8453274.3893528376</v>
      </c>
      <c r="R84" s="14">
        <f t="shared" si="23"/>
        <v>12634660.390647164</v>
      </c>
      <c r="S84" s="118">
        <f t="shared" si="24"/>
        <v>0.40085833333333354</v>
      </c>
      <c r="T84" s="14">
        <f t="shared" si="25"/>
        <v>2412094.6106471624</v>
      </c>
      <c r="U84" s="14">
        <f t="shared" si="26"/>
        <v>506540</v>
      </c>
    </row>
    <row r="85" spans="3:21" x14ac:dyDescent="0.2">
      <c r="C85" s="14"/>
      <c r="D85" s="14"/>
      <c r="E85" s="117"/>
      <c r="F85" s="14"/>
      <c r="G85" s="14"/>
      <c r="H85" s="118"/>
      <c r="I85" s="14"/>
      <c r="J85" s="14"/>
      <c r="L85" s="9">
        <v>2031</v>
      </c>
      <c r="M85" s="9">
        <v>2</v>
      </c>
      <c r="N85" s="259">
        <f t="shared" si="19"/>
        <v>-10951302</v>
      </c>
      <c r="O85" s="14">
        <f t="shared" si="22"/>
        <v>10136632.780000001</v>
      </c>
      <c r="P85" s="117">
        <f t="shared" si="27"/>
        <v>4.5220000000000003E-2</v>
      </c>
      <c r="Q85" s="14">
        <f t="shared" si="28"/>
        <v>-8532740.7569154706</v>
      </c>
      <c r="R85" s="14">
        <f t="shared" si="23"/>
        <v>12555194.023084531</v>
      </c>
      <c r="S85" s="118">
        <f t="shared" si="24"/>
        <v>0.40462666666666686</v>
      </c>
      <c r="T85" s="14">
        <f t="shared" si="25"/>
        <v>2418561.2430845294</v>
      </c>
      <c r="U85" s="14">
        <f t="shared" si="26"/>
        <v>507898</v>
      </c>
    </row>
    <row r="86" spans="3:21" x14ac:dyDescent="0.2">
      <c r="C86" s="14"/>
      <c r="D86" s="14"/>
      <c r="E86" s="117"/>
      <c r="F86" s="14"/>
      <c r="G86" s="14"/>
      <c r="H86" s="118"/>
      <c r="I86" s="14"/>
      <c r="J86" s="14"/>
      <c r="L86" s="9">
        <v>2031</v>
      </c>
      <c r="M86" s="9">
        <v>3</v>
      </c>
      <c r="N86" s="259">
        <f t="shared" si="19"/>
        <v>-11037235</v>
      </c>
      <c r="O86" s="14">
        <f t="shared" si="22"/>
        <v>10050699.780000001</v>
      </c>
      <c r="P86" s="117">
        <f t="shared" si="27"/>
        <v>4.5220000000000003E-2</v>
      </c>
      <c r="Q86" s="14">
        <f t="shared" si="28"/>
        <v>-8612207.1244781036</v>
      </c>
      <c r="R86" s="14">
        <f t="shared" si="23"/>
        <v>12475727.655521898</v>
      </c>
      <c r="S86" s="118">
        <f t="shared" si="24"/>
        <v>0.40839500000000017</v>
      </c>
      <c r="T86" s="14">
        <f t="shared" si="25"/>
        <v>2425027.8755218964</v>
      </c>
      <c r="U86" s="14">
        <f t="shared" si="26"/>
        <v>509256</v>
      </c>
    </row>
    <row r="87" spans="3:21" x14ac:dyDescent="0.2">
      <c r="C87" s="14"/>
      <c r="D87" s="14"/>
      <c r="E87" s="117"/>
      <c r="F87" s="14"/>
      <c r="G87" s="14"/>
      <c r="H87" s="118"/>
      <c r="I87" s="14"/>
      <c r="J87" s="14"/>
      <c r="L87" s="9">
        <v>2031</v>
      </c>
      <c r="M87" s="9">
        <v>4</v>
      </c>
      <c r="N87" s="259">
        <f t="shared" si="19"/>
        <v>-11123168</v>
      </c>
      <c r="O87" s="14">
        <f t="shared" si="22"/>
        <v>9964766.7800000012</v>
      </c>
      <c r="P87" s="117">
        <f t="shared" si="27"/>
        <v>4.5220000000000003E-2</v>
      </c>
      <c r="Q87" s="14">
        <f t="shared" si="28"/>
        <v>-8691673.4920407366</v>
      </c>
      <c r="R87" s="14">
        <f t="shared" si="23"/>
        <v>12396261.287959265</v>
      </c>
      <c r="S87" s="118">
        <f t="shared" si="24"/>
        <v>0.41216333333333349</v>
      </c>
      <c r="T87" s="14">
        <f t="shared" si="25"/>
        <v>2431494.5079592634</v>
      </c>
      <c r="U87" s="14">
        <f t="shared" si="26"/>
        <v>510614</v>
      </c>
    </row>
    <row r="88" spans="3:21" x14ac:dyDescent="0.2">
      <c r="C88" s="14"/>
      <c r="D88" s="14"/>
      <c r="E88" s="117"/>
      <c r="F88" s="14"/>
      <c r="G88" s="14"/>
      <c r="H88" s="118"/>
      <c r="I88" s="14"/>
      <c r="J88" s="14"/>
      <c r="L88" s="9">
        <v>2031</v>
      </c>
      <c r="M88" s="9">
        <v>5</v>
      </c>
      <c r="N88" s="259">
        <f t="shared" si="19"/>
        <v>-11209101</v>
      </c>
      <c r="O88" s="14">
        <f t="shared" si="22"/>
        <v>9878833.7800000012</v>
      </c>
      <c r="P88" s="117">
        <f t="shared" si="27"/>
        <v>4.5220000000000003E-2</v>
      </c>
      <c r="Q88" s="14">
        <f t="shared" si="28"/>
        <v>-8771139.8596033696</v>
      </c>
      <c r="R88" s="14">
        <f t="shared" si="23"/>
        <v>12316794.920396632</v>
      </c>
      <c r="S88" s="118">
        <f t="shared" si="24"/>
        <v>0.41593166666666676</v>
      </c>
      <c r="T88" s="14">
        <f t="shared" si="25"/>
        <v>2437961.1403966304</v>
      </c>
      <c r="U88" s="14">
        <f t="shared" si="26"/>
        <v>511972</v>
      </c>
    </row>
    <row r="89" spans="3:21" x14ac:dyDescent="0.2">
      <c r="C89" s="14"/>
      <c r="D89" s="14"/>
      <c r="E89" s="117"/>
      <c r="F89" s="14"/>
      <c r="G89" s="14"/>
      <c r="H89" s="118"/>
      <c r="I89" s="14"/>
      <c r="J89" s="14"/>
      <c r="L89" s="9">
        <v>2031</v>
      </c>
      <c r="M89" s="9">
        <v>6</v>
      </c>
      <c r="N89" s="259">
        <f t="shared" ref="N89:N152" si="29">-(ROUND($N$2*$N$6/12,0)-N88)</f>
        <v>-11295034</v>
      </c>
      <c r="O89" s="14">
        <f t="shared" si="22"/>
        <v>9792900.7800000012</v>
      </c>
      <c r="P89" s="117">
        <f t="shared" si="27"/>
        <v>4.5220000000000003E-2</v>
      </c>
      <c r="Q89" s="14">
        <f t="shared" si="28"/>
        <v>-8850606.2271660026</v>
      </c>
      <c r="R89" s="14">
        <f t="shared" si="23"/>
        <v>12237328.552833999</v>
      </c>
      <c r="S89" s="118">
        <f t="shared" si="24"/>
        <v>0.41970000000000007</v>
      </c>
      <c r="T89" s="14">
        <f t="shared" si="25"/>
        <v>2444427.7728339974</v>
      </c>
      <c r="U89" s="14">
        <f t="shared" si="26"/>
        <v>513330</v>
      </c>
    </row>
    <row r="90" spans="3:21" x14ac:dyDescent="0.2">
      <c r="C90" s="14"/>
      <c r="D90" s="14"/>
      <c r="E90" s="117"/>
      <c r="F90" s="14"/>
      <c r="G90" s="14"/>
      <c r="H90" s="118"/>
      <c r="I90" s="14"/>
      <c r="J90" s="14"/>
      <c r="L90" s="9">
        <v>2031</v>
      </c>
      <c r="M90" s="9">
        <v>7</v>
      </c>
      <c r="N90" s="259">
        <f t="shared" si="29"/>
        <v>-11380967</v>
      </c>
      <c r="O90" s="14">
        <f t="shared" si="22"/>
        <v>9706967.7800000012</v>
      </c>
      <c r="P90" s="117">
        <f t="shared" si="27"/>
        <v>4.5220000000000003E-2</v>
      </c>
      <c r="Q90" s="14">
        <f t="shared" si="28"/>
        <v>-8930072.5947286356</v>
      </c>
      <c r="R90" s="14">
        <f t="shared" si="23"/>
        <v>12157862.185271366</v>
      </c>
      <c r="S90" s="118">
        <f t="shared" si="24"/>
        <v>0.42346833333333339</v>
      </c>
      <c r="T90" s="14">
        <f t="shared" si="25"/>
        <v>2450894.4052713644</v>
      </c>
      <c r="U90" s="14">
        <f t="shared" si="26"/>
        <v>514688</v>
      </c>
    </row>
    <row r="91" spans="3:21" x14ac:dyDescent="0.2">
      <c r="C91" s="14"/>
      <c r="D91" s="14"/>
      <c r="E91" s="117"/>
      <c r="F91" s="14"/>
      <c r="G91" s="14"/>
      <c r="H91" s="118"/>
      <c r="I91" s="14"/>
      <c r="J91" s="14"/>
      <c r="L91" s="9">
        <v>2031</v>
      </c>
      <c r="M91" s="9">
        <v>8</v>
      </c>
      <c r="N91" s="259">
        <f t="shared" si="29"/>
        <v>-11466900</v>
      </c>
      <c r="O91" s="14">
        <f t="shared" si="22"/>
        <v>9621034.7800000012</v>
      </c>
      <c r="P91" s="117">
        <f t="shared" si="27"/>
        <v>4.5220000000000003E-2</v>
      </c>
      <c r="Q91" s="14">
        <f t="shared" si="28"/>
        <v>-9009538.9622912686</v>
      </c>
      <c r="R91" s="14">
        <f t="shared" si="23"/>
        <v>12078395.817708733</v>
      </c>
      <c r="S91" s="118">
        <f t="shared" si="24"/>
        <v>0.42723666666666671</v>
      </c>
      <c r="T91" s="14">
        <f t="shared" si="25"/>
        <v>2457361.0377087314</v>
      </c>
      <c r="U91" s="14">
        <f t="shared" si="26"/>
        <v>516046</v>
      </c>
    </row>
    <row r="92" spans="3:21" x14ac:dyDescent="0.2">
      <c r="C92" s="14"/>
      <c r="D92" s="14"/>
      <c r="E92" s="117"/>
      <c r="F92" s="14"/>
      <c r="G92" s="14"/>
      <c r="H92" s="118"/>
      <c r="I92" s="14"/>
      <c r="J92" s="14"/>
      <c r="L92" s="9">
        <v>2031</v>
      </c>
      <c r="M92" s="9">
        <v>9</v>
      </c>
      <c r="N92" s="259">
        <f t="shared" si="29"/>
        <v>-11552833</v>
      </c>
      <c r="O92" s="14">
        <f t="shared" si="22"/>
        <v>9535101.7800000012</v>
      </c>
      <c r="P92" s="117">
        <f t="shared" si="27"/>
        <v>4.5220000000000003E-2</v>
      </c>
      <c r="Q92" s="14">
        <f t="shared" si="28"/>
        <v>-9089005.3298539016</v>
      </c>
      <c r="R92" s="14">
        <f t="shared" si="23"/>
        <v>11998929.4501461</v>
      </c>
      <c r="S92" s="118">
        <f t="shared" si="24"/>
        <v>0.43100500000000003</v>
      </c>
      <c r="T92" s="14">
        <f t="shared" si="25"/>
        <v>2463827.6701460984</v>
      </c>
      <c r="U92" s="14">
        <f t="shared" si="26"/>
        <v>517404</v>
      </c>
    </row>
    <row r="93" spans="3:21" x14ac:dyDescent="0.2">
      <c r="C93" s="14"/>
      <c r="D93" s="14"/>
      <c r="E93" s="117"/>
      <c r="F93" s="14"/>
      <c r="G93" s="14"/>
      <c r="H93" s="118"/>
      <c r="I93" s="14"/>
      <c r="J93" s="14"/>
      <c r="L93" s="9">
        <v>2031</v>
      </c>
      <c r="M93" s="9">
        <v>10</v>
      </c>
      <c r="N93" s="259">
        <f t="shared" si="29"/>
        <v>-11638766</v>
      </c>
      <c r="O93" s="14">
        <f t="shared" si="22"/>
        <v>9449168.7800000012</v>
      </c>
      <c r="P93" s="117">
        <f t="shared" si="27"/>
        <v>4.5220000000000003E-2</v>
      </c>
      <c r="Q93" s="14">
        <f t="shared" si="28"/>
        <v>-9168471.6974165346</v>
      </c>
      <c r="R93" s="14">
        <f t="shared" si="23"/>
        <v>11919463.082583467</v>
      </c>
      <c r="S93" s="118">
        <f t="shared" si="24"/>
        <v>0.43477333333333334</v>
      </c>
      <c r="T93" s="14">
        <f t="shared" si="25"/>
        <v>2470294.3025834654</v>
      </c>
      <c r="U93" s="14">
        <f t="shared" si="26"/>
        <v>518762</v>
      </c>
    </row>
    <row r="94" spans="3:21" x14ac:dyDescent="0.2">
      <c r="C94" s="14"/>
      <c r="D94" s="14"/>
      <c r="E94" s="117"/>
      <c r="F94" s="14"/>
      <c r="G94" s="14"/>
      <c r="H94" s="118"/>
      <c r="I94" s="14"/>
      <c r="J94" s="14"/>
      <c r="L94" s="9">
        <v>2031</v>
      </c>
      <c r="M94" s="9">
        <v>11</v>
      </c>
      <c r="N94" s="259">
        <f t="shared" si="29"/>
        <v>-11724699</v>
      </c>
      <c r="O94" s="14">
        <f t="shared" si="22"/>
        <v>9363235.7800000012</v>
      </c>
      <c r="P94" s="117">
        <f t="shared" si="27"/>
        <v>4.5220000000000003E-2</v>
      </c>
      <c r="Q94" s="14">
        <f t="shared" si="28"/>
        <v>-9247938.0649791677</v>
      </c>
      <c r="R94" s="14">
        <f t="shared" si="23"/>
        <v>11839996.715020834</v>
      </c>
      <c r="S94" s="118">
        <f t="shared" si="24"/>
        <v>0.43854166666666666</v>
      </c>
      <c r="T94" s="14">
        <f t="shared" si="25"/>
        <v>2476760.9350208323</v>
      </c>
      <c r="U94" s="14">
        <f t="shared" si="26"/>
        <v>520120</v>
      </c>
    </row>
    <row r="95" spans="3:21" x14ac:dyDescent="0.2">
      <c r="C95" s="14"/>
      <c r="D95" s="14"/>
      <c r="E95" s="117"/>
      <c r="F95" s="14"/>
      <c r="G95" s="14"/>
      <c r="H95" s="118"/>
      <c r="I95" s="14"/>
      <c r="J95" s="14"/>
      <c r="L95" s="9">
        <v>2031</v>
      </c>
      <c r="M95" s="9">
        <v>12</v>
      </c>
      <c r="N95" s="259">
        <f t="shared" si="29"/>
        <v>-11810632</v>
      </c>
      <c r="O95" s="14">
        <f t="shared" si="22"/>
        <v>9277302.7800000012</v>
      </c>
      <c r="P95" s="117">
        <f t="shared" si="27"/>
        <v>4.5220000000000003E-2</v>
      </c>
      <c r="Q95" s="14">
        <f t="shared" si="28"/>
        <v>-9327404.4325418007</v>
      </c>
      <c r="R95" s="14">
        <f t="shared" si="23"/>
        <v>11760530.347458201</v>
      </c>
      <c r="S95" s="118">
        <f t="shared" si="24"/>
        <v>0.44230999999999998</v>
      </c>
      <c r="T95" s="14">
        <f t="shared" si="25"/>
        <v>2483227.5674581993</v>
      </c>
      <c r="U95" s="14">
        <f t="shared" si="26"/>
        <v>521478</v>
      </c>
    </row>
    <row r="96" spans="3:21" x14ac:dyDescent="0.2">
      <c r="C96" s="14"/>
      <c r="D96" s="14"/>
      <c r="E96" s="117"/>
      <c r="F96" s="14"/>
      <c r="G96" s="14"/>
      <c r="H96" s="118"/>
      <c r="I96" s="14"/>
      <c r="J96" s="14"/>
      <c r="L96" s="9">
        <v>2032</v>
      </c>
      <c r="M96" s="9">
        <v>1</v>
      </c>
      <c r="N96" s="259">
        <f t="shared" si="29"/>
        <v>-11896565</v>
      </c>
      <c r="O96" s="14">
        <f t="shared" si="22"/>
        <v>9191369.7800000012</v>
      </c>
      <c r="P96" s="117">
        <f t="shared" si="27"/>
        <v>4.462E-2</v>
      </c>
      <c r="Q96" s="14">
        <f t="shared" si="28"/>
        <v>-9405816.4033654332</v>
      </c>
      <c r="R96" s="14">
        <f t="shared" si="23"/>
        <v>11682118.376634568</v>
      </c>
      <c r="S96" s="118">
        <f t="shared" si="24"/>
        <v>0.4460283333333333</v>
      </c>
      <c r="T96" s="14">
        <f t="shared" si="25"/>
        <v>2490748.5966345668</v>
      </c>
      <c r="U96" s="14">
        <f t="shared" si="26"/>
        <v>523057</v>
      </c>
    </row>
    <row r="97" spans="3:21" x14ac:dyDescent="0.2">
      <c r="C97" s="14"/>
      <c r="D97" s="14"/>
      <c r="E97" s="117"/>
      <c r="F97" s="14"/>
      <c r="G97" s="14"/>
      <c r="H97" s="118"/>
      <c r="I97" s="14"/>
      <c r="J97" s="14"/>
      <c r="L97" s="9">
        <v>2032</v>
      </c>
      <c r="M97" s="9">
        <v>2</v>
      </c>
      <c r="N97" s="259">
        <f t="shared" si="29"/>
        <v>-11982498</v>
      </c>
      <c r="O97" s="14">
        <f t="shared" si="22"/>
        <v>9105436.7800000012</v>
      </c>
      <c r="P97" s="117">
        <f t="shared" si="27"/>
        <v>4.462E-2</v>
      </c>
      <c r="Q97" s="14">
        <f t="shared" si="28"/>
        <v>-9484228.3741890658</v>
      </c>
      <c r="R97" s="14">
        <f t="shared" si="23"/>
        <v>11603706.405810935</v>
      </c>
      <c r="S97" s="118">
        <f t="shared" si="24"/>
        <v>0.44974666666666657</v>
      </c>
      <c r="T97" s="14">
        <f t="shared" si="25"/>
        <v>2498269.6258109342</v>
      </c>
      <c r="U97" s="14">
        <f t="shared" si="26"/>
        <v>524637</v>
      </c>
    </row>
    <row r="98" spans="3:21" x14ac:dyDescent="0.2">
      <c r="C98" s="14"/>
      <c r="D98" s="14"/>
      <c r="E98" s="117"/>
      <c r="F98" s="14"/>
      <c r="G98" s="14"/>
      <c r="H98" s="118"/>
      <c r="I98" s="14"/>
      <c r="J98" s="14"/>
      <c r="L98" s="9">
        <v>2032</v>
      </c>
      <c r="M98" s="9">
        <v>3</v>
      </c>
      <c r="N98" s="259">
        <f t="shared" si="29"/>
        <v>-12068431</v>
      </c>
      <c r="O98" s="14">
        <f t="shared" si="22"/>
        <v>9019503.7800000012</v>
      </c>
      <c r="P98" s="117">
        <f t="shared" si="27"/>
        <v>4.462E-2</v>
      </c>
      <c r="Q98" s="14">
        <f t="shared" si="28"/>
        <v>-9562640.3450126983</v>
      </c>
      <c r="R98" s="14">
        <f t="shared" si="23"/>
        <v>11525294.434987303</v>
      </c>
      <c r="S98" s="118">
        <f t="shared" si="24"/>
        <v>0.4534649999999999</v>
      </c>
      <c r="T98" s="14">
        <f t="shared" si="25"/>
        <v>2505790.6549873017</v>
      </c>
      <c r="U98" s="14">
        <f t="shared" si="26"/>
        <v>526216</v>
      </c>
    </row>
    <row r="99" spans="3:21" x14ac:dyDescent="0.2">
      <c r="C99" s="14"/>
      <c r="D99" s="14"/>
      <c r="E99" s="117"/>
      <c r="F99" s="14"/>
      <c r="G99" s="14"/>
      <c r="H99" s="118"/>
      <c r="I99" s="14"/>
      <c r="J99" s="14"/>
      <c r="L99" s="9">
        <v>2032</v>
      </c>
      <c r="M99" s="9">
        <v>4</v>
      </c>
      <c r="N99" s="259">
        <f t="shared" si="29"/>
        <v>-12154364</v>
      </c>
      <c r="O99" s="14">
        <f t="shared" si="22"/>
        <v>8933570.7800000012</v>
      </c>
      <c r="P99" s="117">
        <f t="shared" si="27"/>
        <v>4.462E-2</v>
      </c>
      <c r="Q99" s="14">
        <f t="shared" si="28"/>
        <v>-9641052.3158363309</v>
      </c>
      <c r="R99" s="14">
        <f t="shared" si="23"/>
        <v>11446882.46416367</v>
      </c>
      <c r="S99" s="118">
        <f t="shared" si="24"/>
        <v>0.45718333333333316</v>
      </c>
      <c r="T99" s="14">
        <f t="shared" si="25"/>
        <v>2513311.6841636691</v>
      </c>
      <c r="U99" s="14">
        <f t="shared" si="26"/>
        <v>527795</v>
      </c>
    </row>
    <row r="100" spans="3:21" x14ac:dyDescent="0.2">
      <c r="C100" s="14"/>
      <c r="D100" s="14"/>
      <c r="E100" s="117"/>
      <c r="F100" s="14"/>
      <c r="G100" s="14"/>
      <c r="H100" s="118"/>
      <c r="I100" s="14"/>
      <c r="J100" s="14"/>
      <c r="L100" s="9">
        <v>2032</v>
      </c>
      <c r="M100" s="9">
        <v>5</v>
      </c>
      <c r="N100" s="259">
        <f t="shared" si="29"/>
        <v>-12240297</v>
      </c>
      <c r="O100" s="14">
        <f t="shared" si="22"/>
        <v>8847637.7800000012</v>
      </c>
      <c r="P100" s="117">
        <f t="shared" si="27"/>
        <v>4.462E-2</v>
      </c>
      <c r="Q100" s="14">
        <f t="shared" si="28"/>
        <v>-9719464.2866599634</v>
      </c>
      <c r="R100" s="14">
        <f t="shared" si="23"/>
        <v>11368470.493340038</v>
      </c>
      <c r="S100" s="118">
        <f t="shared" si="24"/>
        <v>0.46090166666666649</v>
      </c>
      <c r="T100" s="14">
        <f t="shared" si="25"/>
        <v>2520832.7133400366</v>
      </c>
      <c r="U100" s="14">
        <f t="shared" si="26"/>
        <v>529375</v>
      </c>
    </row>
    <row r="101" spans="3:21" x14ac:dyDescent="0.2">
      <c r="C101" s="14"/>
      <c r="D101" s="14"/>
      <c r="E101" s="117"/>
      <c r="F101" s="14"/>
      <c r="G101" s="14"/>
      <c r="H101" s="118"/>
      <c r="I101" s="14"/>
      <c r="J101" s="14"/>
      <c r="L101" s="9">
        <v>2032</v>
      </c>
      <c r="M101" s="9">
        <v>6</v>
      </c>
      <c r="N101" s="259">
        <f t="shared" si="29"/>
        <v>-12326230</v>
      </c>
      <c r="O101" s="14">
        <f t="shared" si="22"/>
        <v>8761704.7800000012</v>
      </c>
      <c r="P101" s="117">
        <f t="shared" si="27"/>
        <v>4.462E-2</v>
      </c>
      <c r="Q101" s="14">
        <f t="shared" si="28"/>
        <v>-9797876.257483596</v>
      </c>
      <c r="R101" s="14">
        <f t="shared" si="23"/>
        <v>11290058.522516405</v>
      </c>
      <c r="S101" s="118">
        <f t="shared" si="24"/>
        <v>0.46461999999999981</v>
      </c>
      <c r="T101" s="14">
        <f t="shared" si="25"/>
        <v>2528353.742516404</v>
      </c>
      <c r="U101" s="14">
        <f t="shared" si="26"/>
        <v>530954</v>
      </c>
    </row>
    <row r="102" spans="3:21" x14ac:dyDescent="0.2">
      <c r="C102" s="14"/>
      <c r="D102" s="14"/>
      <c r="E102" s="117"/>
      <c r="F102" s="14"/>
      <c r="G102" s="14"/>
      <c r="H102" s="118"/>
      <c r="I102" s="14"/>
      <c r="J102" s="14"/>
      <c r="L102" s="9">
        <v>2032</v>
      </c>
      <c r="M102" s="9">
        <v>7</v>
      </c>
      <c r="N102" s="259">
        <f t="shared" si="29"/>
        <v>-12412163</v>
      </c>
      <c r="O102" s="14">
        <f t="shared" si="22"/>
        <v>8675771.7800000012</v>
      </c>
      <c r="P102" s="117">
        <f t="shared" si="27"/>
        <v>4.462E-2</v>
      </c>
      <c r="Q102" s="14">
        <f t="shared" si="28"/>
        <v>-9876288.2283072285</v>
      </c>
      <c r="R102" s="14">
        <f t="shared" si="23"/>
        <v>11211646.551692773</v>
      </c>
      <c r="S102" s="118">
        <f t="shared" si="24"/>
        <v>0.46833833333333308</v>
      </c>
      <c r="T102" s="14">
        <f t="shared" si="25"/>
        <v>2535874.7716927715</v>
      </c>
      <c r="U102" s="14">
        <f t="shared" si="26"/>
        <v>532534</v>
      </c>
    </row>
    <row r="103" spans="3:21" x14ac:dyDescent="0.2">
      <c r="C103" s="14"/>
      <c r="D103" s="14"/>
      <c r="E103" s="117"/>
      <c r="F103" s="14"/>
      <c r="G103" s="14"/>
      <c r="H103" s="118"/>
      <c r="I103" s="14"/>
      <c r="J103" s="14"/>
      <c r="L103" s="9">
        <v>2032</v>
      </c>
      <c r="M103" s="9">
        <v>8</v>
      </c>
      <c r="N103" s="259">
        <f t="shared" si="29"/>
        <v>-12498096</v>
      </c>
      <c r="O103" s="14">
        <f t="shared" si="22"/>
        <v>8589838.7800000012</v>
      </c>
      <c r="P103" s="117">
        <f t="shared" si="27"/>
        <v>4.462E-2</v>
      </c>
      <c r="Q103" s="14">
        <f t="shared" si="28"/>
        <v>-9954700.1991308611</v>
      </c>
      <c r="R103" s="14">
        <f t="shared" si="23"/>
        <v>11133234.58086914</v>
      </c>
      <c r="S103" s="118">
        <f t="shared" si="24"/>
        <v>0.4720566666666664</v>
      </c>
      <c r="T103" s="14">
        <f t="shared" si="25"/>
        <v>2543395.8008691389</v>
      </c>
      <c r="U103" s="14">
        <f t="shared" si="26"/>
        <v>534113</v>
      </c>
    </row>
    <row r="104" spans="3:21" x14ac:dyDescent="0.2">
      <c r="C104" s="14"/>
      <c r="D104" s="14"/>
      <c r="E104" s="117"/>
      <c r="F104" s="14"/>
      <c r="G104" s="14"/>
      <c r="H104" s="118"/>
      <c r="I104" s="14"/>
      <c r="J104" s="14"/>
      <c r="L104" s="9">
        <v>2032</v>
      </c>
      <c r="M104" s="9">
        <v>9</v>
      </c>
      <c r="N104" s="259">
        <f t="shared" si="29"/>
        <v>-12584029</v>
      </c>
      <c r="O104" s="14">
        <f t="shared" si="22"/>
        <v>8503905.7800000012</v>
      </c>
      <c r="P104" s="117">
        <f t="shared" ref="P104:P135" si="30">VLOOKUP(L104-($C$3-1),$D$213:$G$234,4)</f>
        <v>4.462E-2</v>
      </c>
      <c r="Q104" s="14">
        <f t="shared" si="28"/>
        <v>-10033112.169954494</v>
      </c>
      <c r="R104" s="14">
        <f t="shared" si="23"/>
        <v>11054822.610045508</v>
      </c>
      <c r="S104" s="118">
        <f t="shared" si="24"/>
        <v>0.47577499999999967</v>
      </c>
      <c r="T104" s="14">
        <f t="shared" si="25"/>
        <v>2550916.8300455064</v>
      </c>
      <c r="U104" s="14">
        <f t="shared" si="26"/>
        <v>535693</v>
      </c>
    </row>
    <row r="105" spans="3:21" x14ac:dyDescent="0.2">
      <c r="C105" s="14"/>
      <c r="D105" s="14"/>
      <c r="E105" s="117"/>
      <c r="F105" s="14"/>
      <c r="G105" s="14"/>
      <c r="H105" s="118"/>
      <c r="I105" s="14"/>
      <c r="J105" s="14"/>
      <c r="L105" s="9">
        <v>2032</v>
      </c>
      <c r="M105" s="9">
        <v>10</v>
      </c>
      <c r="N105" s="259">
        <f t="shared" si="29"/>
        <v>-12669962</v>
      </c>
      <c r="O105" s="14">
        <f t="shared" si="22"/>
        <v>8417972.7800000012</v>
      </c>
      <c r="P105" s="117">
        <f t="shared" si="30"/>
        <v>4.462E-2</v>
      </c>
      <c r="Q105" s="14">
        <f t="shared" si="28"/>
        <v>-10111524.140778126</v>
      </c>
      <c r="R105" s="14">
        <f t="shared" si="23"/>
        <v>10976410.639221875</v>
      </c>
      <c r="S105" s="118">
        <f t="shared" si="24"/>
        <v>0.47949333333333299</v>
      </c>
      <c r="T105" s="14">
        <f t="shared" si="25"/>
        <v>2558437.8592218738</v>
      </c>
      <c r="U105" s="14">
        <f t="shared" si="26"/>
        <v>537272</v>
      </c>
    </row>
    <row r="106" spans="3:21" x14ac:dyDescent="0.2">
      <c r="C106" s="14"/>
      <c r="D106" s="14"/>
      <c r="E106" s="117"/>
      <c r="F106" s="14"/>
      <c r="G106" s="14"/>
      <c r="H106" s="118"/>
      <c r="I106" s="14"/>
      <c r="J106" s="14"/>
      <c r="L106" s="9">
        <v>2032</v>
      </c>
      <c r="M106" s="9">
        <v>11</v>
      </c>
      <c r="N106" s="259">
        <f t="shared" si="29"/>
        <v>-12755895</v>
      </c>
      <c r="O106" s="14">
        <f t="shared" si="22"/>
        <v>8332039.7800000012</v>
      </c>
      <c r="P106" s="117">
        <f t="shared" si="30"/>
        <v>4.462E-2</v>
      </c>
      <c r="Q106" s="14">
        <f t="shared" si="28"/>
        <v>-10189936.111601759</v>
      </c>
      <c r="R106" s="14">
        <f t="shared" si="23"/>
        <v>10897998.668398242</v>
      </c>
      <c r="S106" s="118">
        <f t="shared" si="24"/>
        <v>0.48321166666666626</v>
      </c>
      <c r="T106" s="14">
        <f t="shared" si="25"/>
        <v>2565958.8883982413</v>
      </c>
      <c r="U106" s="14">
        <f t="shared" si="26"/>
        <v>538851</v>
      </c>
    </row>
    <row r="107" spans="3:21" x14ac:dyDescent="0.2">
      <c r="C107" s="14"/>
      <c r="D107" s="14"/>
      <c r="E107" s="117"/>
      <c r="F107" s="14"/>
      <c r="G107" s="14"/>
      <c r="H107" s="118"/>
      <c r="I107" s="14"/>
      <c r="J107" s="14"/>
      <c r="L107" s="9">
        <v>2032</v>
      </c>
      <c r="M107" s="9">
        <v>12</v>
      </c>
      <c r="N107" s="259">
        <f t="shared" si="29"/>
        <v>-12841828</v>
      </c>
      <c r="O107" s="14">
        <f t="shared" si="22"/>
        <v>8246106.7800000012</v>
      </c>
      <c r="P107" s="117">
        <f t="shared" si="30"/>
        <v>4.462E-2</v>
      </c>
      <c r="Q107" s="14">
        <f t="shared" si="28"/>
        <v>-10268348.082425391</v>
      </c>
      <c r="R107" s="14">
        <f t="shared" si="23"/>
        <v>10819586.69757461</v>
      </c>
      <c r="S107" s="118">
        <f t="shared" si="24"/>
        <v>0.48692999999999959</v>
      </c>
      <c r="T107" s="14">
        <f t="shared" si="25"/>
        <v>2573479.9175746087</v>
      </c>
      <c r="U107" s="14">
        <f t="shared" si="26"/>
        <v>540431</v>
      </c>
    </row>
    <row r="108" spans="3:21" x14ac:dyDescent="0.2">
      <c r="C108" s="14"/>
      <c r="D108" s="14"/>
      <c r="E108" s="117"/>
      <c r="F108" s="14"/>
      <c r="G108" s="14"/>
      <c r="H108" s="118"/>
      <c r="I108" s="14"/>
      <c r="J108" s="14"/>
      <c r="L108" s="9">
        <v>2033</v>
      </c>
      <c r="M108" s="9">
        <v>1</v>
      </c>
      <c r="N108" s="259">
        <f t="shared" si="29"/>
        <v>-12927761</v>
      </c>
      <c r="O108" s="14">
        <f t="shared" si="22"/>
        <v>8160173.7800000012</v>
      </c>
      <c r="P108" s="117">
        <f t="shared" si="30"/>
        <v>4.4609999999999997E-2</v>
      </c>
      <c r="Q108" s="14">
        <f t="shared" si="28"/>
        <v>-10346742.479970042</v>
      </c>
      <c r="R108" s="14">
        <f t="shared" si="23"/>
        <v>10741192.30002996</v>
      </c>
      <c r="S108" s="118">
        <f t="shared" si="24"/>
        <v>0.49064749999999957</v>
      </c>
      <c r="T108" s="14">
        <f t="shared" si="25"/>
        <v>2581018.5200299583</v>
      </c>
      <c r="U108" s="14">
        <f t="shared" si="26"/>
        <v>542014</v>
      </c>
    </row>
    <row r="109" spans="3:21" x14ac:dyDescent="0.2">
      <c r="C109" s="14"/>
      <c r="D109" s="14"/>
      <c r="E109" s="117"/>
      <c r="F109" s="14"/>
      <c r="G109" s="14"/>
      <c r="H109" s="118"/>
      <c r="I109" s="14"/>
      <c r="J109" s="14"/>
      <c r="L109" s="9">
        <v>2033</v>
      </c>
      <c r="M109" s="9">
        <v>2</v>
      </c>
      <c r="N109" s="259">
        <f t="shared" si="29"/>
        <v>-13013694</v>
      </c>
      <c r="O109" s="14">
        <f t="shared" si="22"/>
        <v>8074240.7800000012</v>
      </c>
      <c r="P109" s="117">
        <f t="shared" si="30"/>
        <v>4.4609999999999997E-2</v>
      </c>
      <c r="Q109" s="14">
        <f t="shared" si="28"/>
        <v>-10425136.877514692</v>
      </c>
      <c r="R109" s="14">
        <f t="shared" si="23"/>
        <v>10662797.902485309</v>
      </c>
      <c r="S109" s="118">
        <f t="shared" si="24"/>
        <v>0.49436499999999961</v>
      </c>
      <c r="T109" s="14">
        <f t="shared" si="25"/>
        <v>2588557.122485308</v>
      </c>
      <c r="U109" s="14">
        <f t="shared" si="26"/>
        <v>543597</v>
      </c>
    </row>
    <row r="110" spans="3:21" x14ac:dyDescent="0.2">
      <c r="C110" s="14"/>
      <c r="D110" s="14"/>
      <c r="E110" s="117"/>
      <c r="F110" s="14"/>
      <c r="G110" s="14"/>
      <c r="H110" s="118"/>
      <c r="I110" s="14"/>
      <c r="J110" s="14"/>
      <c r="L110" s="9">
        <v>2033</v>
      </c>
      <c r="M110" s="9">
        <v>3</v>
      </c>
      <c r="N110" s="259">
        <f t="shared" si="29"/>
        <v>-13099627</v>
      </c>
      <c r="O110" s="14">
        <f t="shared" si="22"/>
        <v>7988307.7800000012</v>
      </c>
      <c r="P110" s="117">
        <f t="shared" si="30"/>
        <v>4.4609999999999997E-2</v>
      </c>
      <c r="Q110" s="14">
        <f t="shared" si="28"/>
        <v>-10503531.275059342</v>
      </c>
      <c r="R110" s="14">
        <f t="shared" si="23"/>
        <v>10584403.504940659</v>
      </c>
      <c r="S110" s="118">
        <f t="shared" si="24"/>
        <v>0.4980824999999996</v>
      </c>
      <c r="T110" s="14">
        <f t="shared" si="25"/>
        <v>2596095.7249406576</v>
      </c>
      <c r="U110" s="14">
        <f t="shared" si="26"/>
        <v>545180</v>
      </c>
    </row>
    <row r="111" spans="3:21" x14ac:dyDescent="0.2">
      <c r="C111" s="14"/>
      <c r="D111" s="14"/>
      <c r="E111" s="117"/>
      <c r="F111" s="14"/>
      <c r="G111" s="14"/>
      <c r="H111" s="118"/>
      <c r="I111" s="14"/>
      <c r="J111" s="14"/>
      <c r="L111" s="9">
        <v>2033</v>
      </c>
      <c r="M111" s="9">
        <v>4</v>
      </c>
      <c r="N111" s="259">
        <f t="shared" si="29"/>
        <v>-13185560</v>
      </c>
      <c r="O111" s="14">
        <f t="shared" si="22"/>
        <v>7902374.7800000012</v>
      </c>
      <c r="P111" s="117">
        <f t="shared" si="30"/>
        <v>4.4609999999999997E-2</v>
      </c>
      <c r="Q111" s="14">
        <f t="shared" si="28"/>
        <v>-10581925.672603993</v>
      </c>
      <c r="R111" s="14">
        <f t="shared" si="23"/>
        <v>10506009.107396008</v>
      </c>
      <c r="S111" s="118">
        <f t="shared" si="24"/>
        <v>0.50179999999999958</v>
      </c>
      <c r="T111" s="14">
        <f t="shared" si="25"/>
        <v>2603634.3273960073</v>
      </c>
      <c r="U111" s="14">
        <f t="shared" si="26"/>
        <v>546763</v>
      </c>
    </row>
    <row r="112" spans="3:21" x14ac:dyDescent="0.2">
      <c r="C112" s="14"/>
      <c r="D112" s="14"/>
      <c r="E112" s="117"/>
      <c r="F112" s="14"/>
      <c r="G112" s="14"/>
      <c r="H112" s="118"/>
      <c r="I112" s="14"/>
      <c r="J112" s="14"/>
      <c r="L112" s="9">
        <v>2033</v>
      </c>
      <c r="M112" s="9">
        <v>5</v>
      </c>
      <c r="N112" s="259">
        <f t="shared" si="29"/>
        <v>-13271493</v>
      </c>
      <c r="O112" s="14">
        <f t="shared" si="22"/>
        <v>7816441.7800000012</v>
      </c>
      <c r="P112" s="117">
        <f t="shared" si="30"/>
        <v>4.4609999999999997E-2</v>
      </c>
      <c r="Q112" s="14">
        <f t="shared" si="28"/>
        <v>-10660320.070148643</v>
      </c>
      <c r="R112" s="14">
        <f t="shared" si="23"/>
        <v>10427614.709851358</v>
      </c>
      <c r="S112" s="118">
        <f t="shared" si="24"/>
        <v>0.50551749999999962</v>
      </c>
      <c r="T112" s="14">
        <f t="shared" si="25"/>
        <v>2611172.9298513569</v>
      </c>
      <c r="U112" s="14">
        <f t="shared" si="26"/>
        <v>548346</v>
      </c>
    </row>
    <row r="113" spans="3:21" x14ac:dyDescent="0.2">
      <c r="C113" s="14"/>
      <c r="D113" s="14"/>
      <c r="E113" s="117"/>
      <c r="F113" s="14"/>
      <c r="G113" s="14"/>
      <c r="H113" s="118"/>
      <c r="I113" s="14"/>
      <c r="J113" s="14"/>
      <c r="L113" s="9">
        <v>2033</v>
      </c>
      <c r="M113" s="9">
        <v>6</v>
      </c>
      <c r="N113" s="259">
        <f t="shared" si="29"/>
        <v>-13357426</v>
      </c>
      <c r="O113" s="14">
        <f t="shared" si="22"/>
        <v>7730508.7800000012</v>
      </c>
      <c r="P113" s="117">
        <f t="shared" si="30"/>
        <v>4.4609999999999997E-2</v>
      </c>
      <c r="Q113" s="14">
        <f t="shared" si="28"/>
        <v>-10738714.467693293</v>
      </c>
      <c r="R113" s="14">
        <f t="shared" si="23"/>
        <v>10349220.312306708</v>
      </c>
      <c r="S113" s="118">
        <f t="shared" si="24"/>
        <v>0.50923499999999966</v>
      </c>
      <c r="T113" s="14">
        <f t="shared" si="25"/>
        <v>2618711.5323067065</v>
      </c>
      <c r="U113" s="14">
        <f t="shared" si="26"/>
        <v>549929</v>
      </c>
    </row>
    <row r="114" spans="3:21" x14ac:dyDescent="0.2">
      <c r="C114" s="14"/>
      <c r="D114" s="14"/>
      <c r="E114" s="117"/>
      <c r="F114" s="14"/>
      <c r="G114" s="14"/>
      <c r="H114" s="118"/>
      <c r="I114" s="14"/>
      <c r="J114" s="14"/>
      <c r="L114" s="9">
        <v>2033</v>
      </c>
      <c r="M114" s="9">
        <v>7</v>
      </c>
      <c r="N114" s="259">
        <f t="shared" si="29"/>
        <v>-13443359</v>
      </c>
      <c r="O114" s="14">
        <f t="shared" si="22"/>
        <v>7644575.7800000012</v>
      </c>
      <c r="P114" s="117">
        <f t="shared" si="30"/>
        <v>4.4609999999999997E-2</v>
      </c>
      <c r="Q114" s="14">
        <f t="shared" si="28"/>
        <v>-10817108.865237944</v>
      </c>
      <c r="R114" s="14">
        <f t="shared" si="23"/>
        <v>10270825.914762057</v>
      </c>
      <c r="S114" s="118">
        <f t="shared" si="24"/>
        <v>0.5129524999999997</v>
      </c>
      <c r="T114" s="14">
        <f t="shared" si="25"/>
        <v>2626250.1347620562</v>
      </c>
      <c r="U114" s="14">
        <f t="shared" si="26"/>
        <v>551513</v>
      </c>
    </row>
    <row r="115" spans="3:21" x14ac:dyDescent="0.2">
      <c r="C115" s="14"/>
      <c r="D115" s="14"/>
      <c r="E115" s="117"/>
      <c r="F115" s="14"/>
      <c r="G115" s="14"/>
      <c r="H115" s="118"/>
      <c r="I115" s="14"/>
      <c r="J115" s="14"/>
      <c r="L115" s="9">
        <v>2033</v>
      </c>
      <c r="M115" s="9">
        <v>8</v>
      </c>
      <c r="N115" s="259">
        <f t="shared" si="29"/>
        <v>-13529292</v>
      </c>
      <c r="O115" s="14">
        <f t="shared" si="22"/>
        <v>7558642.7800000012</v>
      </c>
      <c r="P115" s="117">
        <f t="shared" si="30"/>
        <v>4.4609999999999997E-2</v>
      </c>
      <c r="Q115" s="14">
        <f t="shared" si="28"/>
        <v>-10895503.262782594</v>
      </c>
      <c r="R115" s="14">
        <f t="shared" si="23"/>
        <v>10192431.517217407</v>
      </c>
      <c r="S115" s="118">
        <f t="shared" si="24"/>
        <v>0.51666999999999974</v>
      </c>
      <c r="T115" s="14">
        <f t="shared" si="25"/>
        <v>2633788.7372174058</v>
      </c>
      <c r="U115" s="14">
        <f t="shared" si="26"/>
        <v>553096</v>
      </c>
    </row>
    <row r="116" spans="3:21" x14ac:dyDescent="0.2">
      <c r="C116" s="14"/>
      <c r="D116" s="14"/>
      <c r="E116" s="117"/>
      <c r="F116" s="14"/>
      <c r="G116" s="14"/>
      <c r="H116" s="118"/>
      <c r="I116" s="14"/>
      <c r="J116" s="14"/>
      <c r="L116" s="9">
        <v>2033</v>
      </c>
      <c r="M116" s="9">
        <v>9</v>
      </c>
      <c r="N116" s="259">
        <f t="shared" si="29"/>
        <v>-13615225</v>
      </c>
      <c r="O116" s="14">
        <f t="shared" si="22"/>
        <v>7472709.7800000012</v>
      </c>
      <c r="P116" s="117">
        <f t="shared" si="30"/>
        <v>4.4609999999999997E-2</v>
      </c>
      <c r="Q116" s="14">
        <f t="shared" si="28"/>
        <v>-10973897.660327245</v>
      </c>
      <c r="R116" s="14">
        <f t="shared" si="23"/>
        <v>10114037.119672757</v>
      </c>
      <c r="S116" s="118">
        <f t="shared" si="24"/>
        <v>0.52038749999999967</v>
      </c>
      <c r="T116" s="14">
        <f t="shared" si="25"/>
        <v>2641327.3396727555</v>
      </c>
      <c r="U116" s="14">
        <f t="shared" si="26"/>
        <v>554679</v>
      </c>
    </row>
    <row r="117" spans="3:21" x14ac:dyDescent="0.2">
      <c r="C117" s="14"/>
      <c r="D117" s="14"/>
      <c r="E117" s="117"/>
      <c r="F117" s="14"/>
      <c r="G117" s="14"/>
      <c r="H117" s="118"/>
      <c r="I117" s="14"/>
      <c r="J117" s="14"/>
      <c r="L117" s="9">
        <v>2033</v>
      </c>
      <c r="M117" s="9">
        <v>10</v>
      </c>
      <c r="N117" s="259">
        <f t="shared" si="29"/>
        <v>-13701158</v>
      </c>
      <c r="O117" s="14">
        <f t="shared" si="22"/>
        <v>7386776.7800000012</v>
      </c>
      <c r="P117" s="117">
        <f t="shared" si="30"/>
        <v>4.4609999999999997E-2</v>
      </c>
      <c r="Q117" s="14">
        <f t="shared" si="28"/>
        <v>-11052292.057871895</v>
      </c>
      <c r="R117" s="14">
        <f t="shared" si="23"/>
        <v>10035642.722128106</v>
      </c>
      <c r="S117" s="118">
        <f t="shared" si="24"/>
        <v>0.52410499999999971</v>
      </c>
      <c r="T117" s="14">
        <f t="shared" si="25"/>
        <v>2648865.9421281051</v>
      </c>
      <c r="U117" s="14">
        <f t="shared" si="26"/>
        <v>556262</v>
      </c>
    </row>
    <row r="118" spans="3:21" x14ac:dyDescent="0.2">
      <c r="C118" s="14"/>
      <c r="D118" s="14"/>
      <c r="E118" s="117"/>
      <c r="F118" s="14"/>
      <c r="G118" s="14"/>
      <c r="H118" s="118"/>
      <c r="I118" s="14"/>
      <c r="J118" s="14"/>
      <c r="L118" s="9">
        <v>2033</v>
      </c>
      <c r="M118" s="9">
        <v>11</v>
      </c>
      <c r="N118" s="259">
        <f t="shared" si="29"/>
        <v>-13787091</v>
      </c>
      <c r="O118" s="14">
        <f t="shared" si="22"/>
        <v>7300843.7800000012</v>
      </c>
      <c r="P118" s="117">
        <f t="shared" si="30"/>
        <v>4.4609999999999997E-2</v>
      </c>
      <c r="Q118" s="14">
        <f t="shared" si="28"/>
        <v>-11130686.455416545</v>
      </c>
      <c r="R118" s="14">
        <f t="shared" si="23"/>
        <v>9957248.3245834559</v>
      </c>
      <c r="S118" s="118">
        <f t="shared" si="24"/>
        <v>0.52782249999999975</v>
      </c>
      <c r="T118" s="14">
        <f t="shared" si="25"/>
        <v>2656404.5445834547</v>
      </c>
      <c r="U118" s="14">
        <f t="shared" si="26"/>
        <v>557845</v>
      </c>
    </row>
    <row r="119" spans="3:21" x14ac:dyDescent="0.2">
      <c r="C119" s="14"/>
      <c r="D119" s="14"/>
      <c r="E119" s="117"/>
      <c r="F119" s="14"/>
      <c r="G119" s="14"/>
      <c r="H119" s="118"/>
      <c r="I119" s="14"/>
      <c r="J119" s="14"/>
      <c r="L119" s="9">
        <v>2033</v>
      </c>
      <c r="M119" s="9">
        <v>12</v>
      </c>
      <c r="N119" s="259">
        <f t="shared" si="29"/>
        <v>-13873024</v>
      </c>
      <c r="O119" s="14">
        <f t="shared" si="22"/>
        <v>7214910.7800000012</v>
      </c>
      <c r="P119" s="117">
        <f t="shared" si="30"/>
        <v>4.4609999999999997E-2</v>
      </c>
      <c r="Q119" s="14">
        <f t="shared" si="28"/>
        <v>-11209080.852961196</v>
      </c>
      <c r="R119" s="14">
        <f t="shared" si="23"/>
        <v>9878853.9270388056</v>
      </c>
      <c r="S119" s="118">
        <f t="shared" si="24"/>
        <v>0.53153999999999979</v>
      </c>
      <c r="T119" s="14">
        <f t="shared" si="25"/>
        <v>2663943.1470388044</v>
      </c>
      <c r="U119" s="14">
        <f t="shared" si="26"/>
        <v>559428</v>
      </c>
    </row>
    <row r="120" spans="3:21" x14ac:dyDescent="0.2">
      <c r="C120" s="14"/>
      <c r="D120" s="14"/>
      <c r="E120" s="117"/>
      <c r="F120" s="14"/>
      <c r="G120" s="14"/>
      <c r="H120" s="118"/>
      <c r="I120" s="14"/>
      <c r="J120" s="14"/>
      <c r="L120" s="9">
        <v>2034</v>
      </c>
      <c r="M120" s="9">
        <v>1</v>
      </c>
      <c r="N120" s="259">
        <f t="shared" si="29"/>
        <v>-13958957</v>
      </c>
      <c r="O120" s="14">
        <f t="shared" si="22"/>
        <v>7128977.7800000012</v>
      </c>
      <c r="P120" s="117">
        <f t="shared" si="30"/>
        <v>4.462E-2</v>
      </c>
      <c r="Q120" s="14">
        <f t="shared" si="28"/>
        <v>-11287492.823784828</v>
      </c>
      <c r="R120" s="14">
        <f t="shared" si="23"/>
        <v>9800441.956215173</v>
      </c>
      <c r="S120" s="118">
        <f t="shared" si="24"/>
        <v>0.53525833333333306</v>
      </c>
      <c r="T120" s="14">
        <f t="shared" si="25"/>
        <v>2671464.1762151718</v>
      </c>
      <c r="U120" s="14">
        <f t="shared" si="26"/>
        <v>561007</v>
      </c>
    </row>
    <row r="121" spans="3:21" x14ac:dyDescent="0.2">
      <c r="C121" s="14"/>
      <c r="D121" s="14"/>
      <c r="E121" s="117"/>
      <c r="F121" s="14"/>
      <c r="G121" s="14"/>
      <c r="H121" s="118"/>
      <c r="I121" s="14"/>
      <c r="J121" s="14"/>
      <c r="L121" s="9">
        <v>2034</v>
      </c>
      <c r="M121" s="9">
        <v>2</v>
      </c>
      <c r="N121" s="259">
        <f t="shared" si="29"/>
        <v>-14044890</v>
      </c>
      <c r="O121" s="14">
        <f t="shared" si="22"/>
        <v>7043044.7800000012</v>
      </c>
      <c r="P121" s="117">
        <f t="shared" si="30"/>
        <v>4.462E-2</v>
      </c>
      <c r="Q121" s="14">
        <f t="shared" si="28"/>
        <v>-11365904.794608461</v>
      </c>
      <c r="R121" s="14">
        <f t="shared" si="23"/>
        <v>9722029.9853915405</v>
      </c>
      <c r="S121" s="118">
        <f t="shared" si="24"/>
        <v>0.53897666666666633</v>
      </c>
      <c r="T121" s="14">
        <f t="shared" si="25"/>
        <v>2678985.2053915393</v>
      </c>
      <c r="U121" s="14">
        <f t="shared" si="26"/>
        <v>562587</v>
      </c>
    </row>
    <row r="122" spans="3:21" x14ac:dyDescent="0.2">
      <c r="C122" s="14"/>
      <c r="D122" s="14"/>
      <c r="E122" s="117"/>
      <c r="F122" s="14"/>
      <c r="G122" s="14"/>
      <c r="H122" s="118"/>
      <c r="I122" s="14"/>
      <c r="J122" s="14"/>
      <c r="L122" s="9">
        <v>2034</v>
      </c>
      <c r="M122" s="9">
        <v>3</v>
      </c>
      <c r="N122" s="259">
        <f t="shared" si="29"/>
        <v>-14130823</v>
      </c>
      <c r="O122" s="14">
        <f t="shared" si="22"/>
        <v>6957111.7800000012</v>
      </c>
      <c r="P122" s="117">
        <f t="shared" si="30"/>
        <v>4.462E-2</v>
      </c>
      <c r="Q122" s="14">
        <f t="shared" si="28"/>
        <v>-11444316.765432093</v>
      </c>
      <c r="R122" s="14">
        <f t="shared" si="23"/>
        <v>9643618.0145679079</v>
      </c>
      <c r="S122" s="118">
        <f t="shared" si="24"/>
        <v>0.54269499999999971</v>
      </c>
      <c r="T122" s="14">
        <f t="shared" si="25"/>
        <v>2686506.2345679067</v>
      </c>
      <c r="U122" s="14">
        <f t="shared" si="26"/>
        <v>564166</v>
      </c>
    </row>
    <row r="123" spans="3:21" x14ac:dyDescent="0.2">
      <c r="C123" s="14"/>
      <c r="D123" s="14"/>
      <c r="E123" s="117"/>
      <c r="F123" s="14"/>
      <c r="G123" s="14"/>
      <c r="H123" s="118"/>
      <c r="I123" s="14"/>
      <c r="J123" s="14"/>
      <c r="L123" s="9">
        <v>2034</v>
      </c>
      <c r="M123" s="9">
        <v>4</v>
      </c>
      <c r="N123" s="259">
        <f t="shared" si="29"/>
        <v>-14216756</v>
      </c>
      <c r="O123" s="14">
        <f t="shared" si="22"/>
        <v>6871178.7800000012</v>
      </c>
      <c r="P123" s="117">
        <f t="shared" si="30"/>
        <v>4.462E-2</v>
      </c>
      <c r="Q123" s="14">
        <f t="shared" si="28"/>
        <v>-11522728.736255726</v>
      </c>
      <c r="R123" s="14">
        <f t="shared" si="23"/>
        <v>9565206.0437442753</v>
      </c>
      <c r="S123" s="118">
        <f t="shared" si="24"/>
        <v>0.54641333333333297</v>
      </c>
      <c r="T123" s="14">
        <f t="shared" si="25"/>
        <v>2694027.2637442742</v>
      </c>
      <c r="U123" s="14">
        <f t="shared" si="26"/>
        <v>565746</v>
      </c>
    </row>
    <row r="124" spans="3:21" x14ac:dyDescent="0.2">
      <c r="C124" s="14"/>
      <c r="D124" s="14"/>
      <c r="E124" s="117"/>
      <c r="F124" s="14"/>
      <c r="G124" s="14"/>
      <c r="H124" s="118"/>
      <c r="I124" s="14"/>
      <c r="J124" s="14"/>
      <c r="L124" s="9">
        <v>2034</v>
      </c>
      <c r="M124" s="9">
        <v>5</v>
      </c>
      <c r="N124" s="259">
        <f t="shared" si="29"/>
        <v>-14302689</v>
      </c>
      <c r="O124" s="14">
        <f t="shared" si="22"/>
        <v>6785245.7800000012</v>
      </c>
      <c r="P124" s="117">
        <f t="shared" si="30"/>
        <v>4.462E-2</v>
      </c>
      <c r="Q124" s="14">
        <f t="shared" si="28"/>
        <v>-11601140.707079358</v>
      </c>
      <c r="R124" s="14">
        <f t="shared" si="23"/>
        <v>9486794.0729206428</v>
      </c>
      <c r="S124" s="118">
        <f t="shared" si="24"/>
        <v>0.55013166666666624</v>
      </c>
      <c r="T124" s="14">
        <f t="shared" si="25"/>
        <v>2701548.2929206416</v>
      </c>
      <c r="U124" s="14">
        <f t="shared" si="26"/>
        <v>567325</v>
      </c>
    </row>
    <row r="125" spans="3:21" x14ac:dyDescent="0.2">
      <c r="C125" s="14"/>
      <c r="D125" s="14"/>
      <c r="E125" s="117"/>
      <c r="F125" s="14"/>
      <c r="G125" s="14"/>
      <c r="H125" s="118"/>
      <c r="I125" s="14"/>
      <c r="J125" s="14"/>
      <c r="L125" s="9">
        <v>2034</v>
      </c>
      <c r="M125" s="9">
        <v>6</v>
      </c>
      <c r="N125" s="259">
        <f t="shared" si="29"/>
        <v>-14388622</v>
      </c>
      <c r="O125" s="14">
        <f t="shared" si="22"/>
        <v>6699312.7800000012</v>
      </c>
      <c r="P125" s="117">
        <f t="shared" si="30"/>
        <v>4.462E-2</v>
      </c>
      <c r="Q125" s="14">
        <f t="shared" si="28"/>
        <v>-11679552.677902991</v>
      </c>
      <c r="R125" s="14">
        <f t="shared" si="23"/>
        <v>9408382.1020970102</v>
      </c>
      <c r="S125" s="118">
        <f t="shared" si="24"/>
        <v>0.55384999999999951</v>
      </c>
      <c r="T125" s="14">
        <f t="shared" si="25"/>
        <v>2709069.322097009</v>
      </c>
      <c r="U125" s="14">
        <f t="shared" si="26"/>
        <v>568905</v>
      </c>
    </row>
    <row r="126" spans="3:21" x14ac:dyDescent="0.2">
      <c r="C126" s="14"/>
      <c r="D126" s="14"/>
      <c r="E126" s="117"/>
      <c r="F126" s="14"/>
      <c r="G126" s="14"/>
      <c r="H126" s="118"/>
      <c r="I126" s="14"/>
      <c r="J126" s="14"/>
      <c r="L126" s="9">
        <v>2034</v>
      </c>
      <c r="M126" s="9">
        <v>7</v>
      </c>
      <c r="N126" s="259">
        <f t="shared" si="29"/>
        <v>-14474555</v>
      </c>
      <c r="O126" s="14">
        <f t="shared" si="22"/>
        <v>6613379.7800000012</v>
      </c>
      <c r="P126" s="117">
        <f t="shared" si="30"/>
        <v>4.462E-2</v>
      </c>
      <c r="Q126" s="14">
        <f t="shared" si="28"/>
        <v>-11757964.648726624</v>
      </c>
      <c r="R126" s="14">
        <f t="shared" si="23"/>
        <v>9329970.1312733777</v>
      </c>
      <c r="S126" s="118">
        <f t="shared" si="24"/>
        <v>0.55756833333333289</v>
      </c>
      <c r="T126" s="14">
        <f t="shared" si="25"/>
        <v>2716590.3512733765</v>
      </c>
      <c r="U126" s="14">
        <f t="shared" si="26"/>
        <v>570484</v>
      </c>
    </row>
    <row r="127" spans="3:21" x14ac:dyDescent="0.2">
      <c r="C127" s="14"/>
      <c r="D127" s="14"/>
      <c r="E127" s="117"/>
      <c r="F127" s="14"/>
      <c r="G127" s="14"/>
      <c r="H127" s="118"/>
      <c r="I127" s="14"/>
      <c r="J127" s="14"/>
      <c r="L127" s="9">
        <v>2034</v>
      </c>
      <c r="M127" s="9">
        <v>8</v>
      </c>
      <c r="N127" s="259">
        <f t="shared" si="29"/>
        <v>-14560488</v>
      </c>
      <c r="O127" s="14">
        <f t="shared" ref="O127:O190" si="31">$C$2+N127</f>
        <v>6527446.7800000012</v>
      </c>
      <c r="P127" s="117">
        <f t="shared" si="30"/>
        <v>4.462E-2</v>
      </c>
      <c r="Q127" s="14">
        <f t="shared" si="28"/>
        <v>-11836376.619550256</v>
      </c>
      <c r="R127" s="14">
        <f t="shared" ref="R127:R190" si="32">$C$2+Q127</f>
        <v>9251558.1604497451</v>
      </c>
      <c r="S127" s="118">
        <f t="shared" ref="S127:S190" si="33">-(R127-$C$2)/$C$2</f>
        <v>0.56128666666666616</v>
      </c>
      <c r="T127" s="14">
        <f t="shared" ref="T127:T190" si="34">R127-O127</f>
        <v>2724111.3804497439</v>
      </c>
      <c r="U127" s="14">
        <f t="shared" ref="U127:U190" si="35">ROUND(T127*$C$4,0)</f>
        <v>572063</v>
      </c>
    </row>
    <row r="128" spans="3:21" x14ac:dyDescent="0.2">
      <c r="C128" s="14"/>
      <c r="D128" s="14"/>
      <c r="E128" s="117"/>
      <c r="F128" s="14"/>
      <c r="G128" s="14"/>
      <c r="H128" s="118"/>
      <c r="I128" s="14"/>
      <c r="J128" s="14"/>
      <c r="L128" s="9">
        <v>2034</v>
      </c>
      <c r="M128" s="9">
        <v>9</v>
      </c>
      <c r="N128" s="259">
        <f t="shared" si="29"/>
        <v>-14646421</v>
      </c>
      <c r="O128" s="14">
        <f t="shared" si="31"/>
        <v>6441513.7800000012</v>
      </c>
      <c r="P128" s="117">
        <f t="shared" si="30"/>
        <v>4.462E-2</v>
      </c>
      <c r="Q128" s="14">
        <f t="shared" si="28"/>
        <v>-11914788.590373889</v>
      </c>
      <c r="R128" s="14">
        <f t="shared" si="32"/>
        <v>9173146.1896261126</v>
      </c>
      <c r="S128" s="118">
        <f t="shared" si="33"/>
        <v>0.56500499999999942</v>
      </c>
      <c r="T128" s="14">
        <f t="shared" si="34"/>
        <v>2731632.4096261114</v>
      </c>
      <c r="U128" s="14">
        <f t="shared" si="35"/>
        <v>573643</v>
      </c>
    </row>
    <row r="129" spans="3:21" x14ac:dyDescent="0.2">
      <c r="C129" s="14"/>
      <c r="D129" s="14"/>
      <c r="E129" s="117"/>
      <c r="F129" s="14"/>
      <c r="G129" s="14"/>
      <c r="H129" s="118"/>
      <c r="I129" s="14"/>
      <c r="J129" s="14"/>
      <c r="L129" s="9">
        <v>2034</v>
      </c>
      <c r="M129" s="9">
        <v>10</v>
      </c>
      <c r="N129" s="259">
        <f t="shared" si="29"/>
        <v>-14732354</v>
      </c>
      <c r="O129" s="14">
        <f t="shared" si="31"/>
        <v>6355580.7800000012</v>
      </c>
      <c r="P129" s="117">
        <f t="shared" si="30"/>
        <v>4.462E-2</v>
      </c>
      <c r="Q129" s="14">
        <f t="shared" si="28"/>
        <v>-11993200.561197521</v>
      </c>
      <c r="R129" s="14">
        <f t="shared" si="32"/>
        <v>9094734.21880248</v>
      </c>
      <c r="S129" s="118">
        <f t="shared" si="33"/>
        <v>0.56872333333333269</v>
      </c>
      <c r="T129" s="14">
        <f t="shared" si="34"/>
        <v>2739153.4388024788</v>
      </c>
      <c r="U129" s="14">
        <f t="shared" si="35"/>
        <v>575222</v>
      </c>
    </row>
    <row r="130" spans="3:21" x14ac:dyDescent="0.2">
      <c r="C130" s="14"/>
      <c r="D130" s="14"/>
      <c r="E130" s="117"/>
      <c r="F130" s="14"/>
      <c r="G130" s="14"/>
      <c r="H130" s="118"/>
      <c r="I130" s="14"/>
      <c r="J130" s="14"/>
      <c r="L130" s="9">
        <v>2034</v>
      </c>
      <c r="M130" s="9">
        <v>11</v>
      </c>
      <c r="N130" s="259">
        <f t="shared" si="29"/>
        <v>-14818287</v>
      </c>
      <c r="O130" s="14">
        <f t="shared" si="31"/>
        <v>6269647.7800000012</v>
      </c>
      <c r="P130" s="117">
        <f t="shared" si="30"/>
        <v>4.462E-2</v>
      </c>
      <c r="Q130" s="14">
        <f t="shared" si="28"/>
        <v>-12071612.532021154</v>
      </c>
      <c r="R130" s="14">
        <f t="shared" si="32"/>
        <v>9016322.2479788475</v>
      </c>
      <c r="S130" s="118">
        <f t="shared" si="33"/>
        <v>0.57244166666666607</v>
      </c>
      <c r="T130" s="14">
        <f t="shared" si="34"/>
        <v>2746674.4679788463</v>
      </c>
      <c r="U130" s="14">
        <f t="shared" si="35"/>
        <v>576802</v>
      </c>
    </row>
    <row r="131" spans="3:21" x14ac:dyDescent="0.2">
      <c r="C131" s="14"/>
      <c r="D131" s="14"/>
      <c r="E131" s="117"/>
      <c r="F131" s="14"/>
      <c r="G131" s="14"/>
      <c r="H131" s="118"/>
      <c r="I131" s="14"/>
      <c r="J131" s="14"/>
      <c r="L131" s="9">
        <v>2034</v>
      </c>
      <c r="M131" s="9">
        <v>12</v>
      </c>
      <c r="N131" s="259">
        <f t="shared" si="29"/>
        <v>-14904220</v>
      </c>
      <c r="O131" s="14">
        <f t="shared" si="31"/>
        <v>6183714.7800000012</v>
      </c>
      <c r="P131" s="117">
        <f t="shared" si="30"/>
        <v>4.462E-2</v>
      </c>
      <c r="Q131" s="14">
        <f t="shared" si="28"/>
        <v>-12150024.502844786</v>
      </c>
      <c r="R131" s="14">
        <f t="shared" si="32"/>
        <v>8937910.2771552149</v>
      </c>
      <c r="S131" s="118">
        <f t="shared" si="33"/>
        <v>0.57615999999999934</v>
      </c>
      <c r="T131" s="14">
        <f t="shared" si="34"/>
        <v>2754195.4971552137</v>
      </c>
      <c r="U131" s="14">
        <f t="shared" si="35"/>
        <v>578381</v>
      </c>
    </row>
    <row r="132" spans="3:21" x14ac:dyDescent="0.2">
      <c r="C132" s="14"/>
      <c r="D132" s="14"/>
      <c r="E132" s="117"/>
      <c r="F132" s="14"/>
      <c r="G132" s="14"/>
      <c r="H132" s="118"/>
      <c r="I132" s="14"/>
      <c r="J132" s="14"/>
      <c r="L132" s="9">
        <v>2035</v>
      </c>
      <c r="M132" s="9">
        <v>1</v>
      </c>
      <c r="N132" s="259">
        <f t="shared" si="29"/>
        <v>-14990153</v>
      </c>
      <c r="O132" s="14">
        <f t="shared" si="31"/>
        <v>6097781.7800000012</v>
      </c>
      <c r="P132" s="117">
        <f t="shared" si="30"/>
        <v>4.4609999999999997E-2</v>
      </c>
      <c r="Q132" s="14">
        <f t="shared" si="28"/>
        <v>-12228418.900389437</v>
      </c>
      <c r="R132" s="14">
        <f t="shared" si="32"/>
        <v>8859515.8796105646</v>
      </c>
      <c r="S132" s="118">
        <f t="shared" si="33"/>
        <v>0.57987749999999938</v>
      </c>
      <c r="T132" s="14">
        <f t="shared" si="34"/>
        <v>2761734.0996105634</v>
      </c>
      <c r="U132" s="14">
        <f t="shared" si="35"/>
        <v>579964</v>
      </c>
    </row>
    <row r="133" spans="3:21" x14ac:dyDescent="0.2">
      <c r="C133" s="14"/>
      <c r="D133" s="14"/>
      <c r="E133" s="117"/>
      <c r="F133" s="14"/>
      <c r="G133" s="14"/>
      <c r="H133" s="118"/>
      <c r="I133" s="14"/>
      <c r="J133" s="14"/>
      <c r="L133" s="9">
        <v>2035</v>
      </c>
      <c r="M133" s="9">
        <v>2</v>
      </c>
      <c r="N133" s="259">
        <f t="shared" si="29"/>
        <v>-15076086</v>
      </c>
      <c r="O133" s="14">
        <f t="shared" si="31"/>
        <v>6011848.7800000012</v>
      </c>
      <c r="P133" s="117">
        <f t="shared" si="30"/>
        <v>4.4609999999999997E-2</v>
      </c>
      <c r="Q133" s="14">
        <f t="shared" si="28"/>
        <v>-12306813.297934087</v>
      </c>
      <c r="R133" s="14">
        <f t="shared" si="32"/>
        <v>8781121.4820659142</v>
      </c>
      <c r="S133" s="118">
        <f t="shared" si="33"/>
        <v>0.58359499999999931</v>
      </c>
      <c r="T133" s="14">
        <f t="shared" si="34"/>
        <v>2769272.702065913</v>
      </c>
      <c r="U133" s="14">
        <f t="shared" si="35"/>
        <v>581547</v>
      </c>
    </row>
    <row r="134" spans="3:21" x14ac:dyDescent="0.2">
      <c r="C134" s="14"/>
      <c r="D134" s="14"/>
      <c r="E134" s="117"/>
      <c r="F134" s="14"/>
      <c r="G134" s="14"/>
      <c r="H134" s="118"/>
      <c r="I134" s="14"/>
      <c r="J134" s="14"/>
      <c r="L134" s="9">
        <v>2035</v>
      </c>
      <c r="M134" s="9">
        <v>3</v>
      </c>
      <c r="N134" s="259">
        <f t="shared" si="29"/>
        <v>-15162019</v>
      </c>
      <c r="O134" s="14">
        <f t="shared" si="31"/>
        <v>5925915.7800000012</v>
      </c>
      <c r="P134" s="117">
        <f t="shared" si="30"/>
        <v>4.4609999999999997E-2</v>
      </c>
      <c r="Q134" s="14">
        <f t="shared" si="28"/>
        <v>-12385207.695478737</v>
      </c>
      <c r="R134" s="14">
        <f t="shared" si="32"/>
        <v>8702727.0845212638</v>
      </c>
      <c r="S134" s="118">
        <f t="shared" si="33"/>
        <v>0.58731249999999935</v>
      </c>
      <c r="T134" s="14">
        <f t="shared" si="34"/>
        <v>2776811.3045212626</v>
      </c>
      <c r="U134" s="14">
        <f t="shared" si="35"/>
        <v>583130</v>
      </c>
    </row>
    <row r="135" spans="3:21" x14ac:dyDescent="0.2">
      <c r="C135" s="14"/>
      <c r="D135" s="14"/>
      <c r="E135" s="117"/>
      <c r="F135" s="14"/>
      <c r="G135" s="14"/>
      <c r="H135" s="118"/>
      <c r="I135" s="14"/>
      <c r="J135" s="14"/>
      <c r="L135" s="9">
        <v>2035</v>
      </c>
      <c r="M135" s="9">
        <v>4</v>
      </c>
      <c r="N135" s="259">
        <f t="shared" si="29"/>
        <v>-15247952</v>
      </c>
      <c r="O135" s="14">
        <f t="shared" si="31"/>
        <v>5839982.7800000012</v>
      </c>
      <c r="P135" s="117">
        <f t="shared" si="30"/>
        <v>4.4609999999999997E-2</v>
      </c>
      <c r="Q135" s="14">
        <f t="shared" si="28"/>
        <v>-12463602.093023388</v>
      </c>
      <c r="R135" s="14">
        <f t="shared" si="32"/>
        <v>8624332.6869766135</v>
      </c>
      <c r="S135" s="118">
        <f t="shared" si="33"/>
        <v>0.59102999999999939</v>
      </c>
      <c r="T135" s="14">
        <f t="shared" si="34"/>
        <v>2784349.9069766123</v>
      </c>
      <c r="U135" s="14">
        <f t="shared" si="35"/>
        <v>584713</v>
      </c>
    </row>
    <row r="136" spans="3:21" x14ac:dyDescent="0.2">
      <c r="C136" s="14"/>
      <c r="D136" s="14"/>
      <c r="E136" s="117"/>
      <c r="F136" s="14"/>
      <c r="G136" s="14"/>
      <c r="H136" s="118"/>
      <c r="I136" s="14"/>
      <c r="J136" s="14"/>
      <c r="L136" s="9">
        <v>2035</v>
      </c>
      <c r="M136" s="9">
        <v>5</v>
      </c>
      <c r="N136" s="259">
        <f t="shared" si="29"/>
        <v>-15333885</v>
      </c>
      <c r="O136" s="14">
        <f t="shared" si="31"/>
        <v>5754049.7800000012</v>
      </c>
      <c r="P136" s="117">
        <f t="shared" ref="P136:P167" si="36">VLOOKUP(L136-($C$3-1),$D$213:$G$234,4)</f>
        <v>4.4609999999999997E-2</v>
      </c>
      <c r="Q136" s="14">
        <f t="shared" si="28"/>
        <v>-12541996.490568038</v>
      </c>
      <c r="R136" s="14">
        <f t="shared" si="32"/>
        <v>8545938.2894319631</v>
      </c>
      <c r="S136" s="118">
        <f t="shared" si="33"/>
        <v>0.59474749999999943</v>
      </c>
      <c r="T136" s="14">
        <f t="shared" si="34"/>
        <v>2791888.5094319619</v>
      </c>
      <c r="U136" s="14">
        <f t="shared" si="35"/>
        <v>586297</v>
      </c>
    </row>
    <row r="137" spans="3:21" x14ac:dyDescent="0.2">
      <c r="C137" s="14"/>
      <c r="D137" s="14"/>
      <c r="E137" s="117"/>
      <c r="F137" s="14"/>
      <c r="G137" s="14"/>
      <c r="H137" s="118"/>
      <c r="I137" s="14"/>
      <c r="J137" s="14"/>
      <c r="L137" s="9">
        <v>2035</v>
      </c>
      <c r="M137" s="9">
        <v>6</v>
      </c>
      <c r="N137" s="259">
        <f t="shared" si="29"/>
        <v>-15419818</v>
      </c>
      <c r="O137" s="14">
        <f t="shared" si="31"/>
        <v>5668116.7800000012</v>
      </c>
      <c r="P137" s="117">
        <f t="shared" si="36"/>
        <v>4.4609999999999997E-2</v>
      </c>
      <c r="Q137" s="14">
        <f t="shared" si="28"/>
        <v>-12620390.888112688</v>
      </c>
      <c r="R137" s="14">
        <f t="shared" si="32"/>
        <v>8467543.8918873128</v>
      </c>
      <c r="S137" s="118">
        <f t="shared" si="33"/>
        <v>0.59846499999999947</v>
      </c>
      <c r="T137" s="14">
        <f t="shared" si="34"/>
        <v>2799427.1118873116</v>
      </c>
      <c r="U137" s="14">
        <f t="shared" si="35"/>
        <v>587880</v>
      </c>
    </row>
    <row r="138" spans="3:21" x14ac:dyDescent="0.2">
      <c r="C138" s="14"/>
      <c r="D138" s="14"/>
      <c r="E138" s="117"/>
      <c r="F138" s="14"/>
      <c r="G138" s="14"/>
      <c r="H138" s="118"/>
      <c r="I138" s="14"/>
      <c r="J138" s="14"/>
      <c r="L138" s="9">
        <v>2035</v>
      </c>
      <c r="M138" s="9">
        <v>7</v>
      </c>
      <c r="N138" s="259">
        <f t="shared" si="29"/>
        <v>-15505751</v>
      </c>
      <c r="O138" s="14">
        <f t="shared" si="31"/>
        <v>5582183.7800000012</v>
      </c>
      <c r="P138" s="117">
        <f t="shared" si="36"/>
        <v>4.4609999999999997E-2</v>
      </c>
      <c r="Q138" s="14">
        <f t="shared" si="28"/>
        <v>-12698785.285657339</v>
      </c>
      <c r="R138" s="14">
        <f t="shared" si="32"/>
        <v>8389149.4943426624</v>
      </c>
      <c r="S138" s="118">
        <f t="shared" si="33"/>
        <v>0.6021824999999994</v>
      </c>
      <c r="T138" s="14">
        <f t="shared" si="34"/>
        <v>2806965.7143426612</v>
      </c>
      <c r="U138" s="14">
        <f t="shared" si="35"/>
        <v>589463</v>
      </c>
    </row>
    <row r="139" spans="3:21" x14ac:dyDescent="0.2">
      <c r="C139" s="14"/>
      <c r="D139" s="14"/>
      <c r="E139" s="117"/>
      <c r="F139" s="14"/>
      <c r="G139" s="14"/>
      <c r="H139" s="118"/>
      <c r="I139" s="14"/>
      <c r="J139" s="14"/>
      <c r="L139" s="9">
        <v>2035</v>
      </c>
      <c r="M139" s="9">
        <v>8</v>
      </c>
      <c r="N139" s="259">
        <f t="shared" si="29"/>
        <v>-15591684</v>
      </c>
      <c r="O139" s="14">
        <f t="shared" si="31"/>
        <v>5496250.7800000012</v>
      </c>
      <c r="P139" s="117">
        <f t="shared" si="36"/>
        <v>4.4609999999999997E-2</v>
      </c>
      <c r="Q139" s="14">
        <f t="shared" ref="Q139:Q202" si="37">-$C$2*P139/12+Q138</f>
        <v>-12777179.683201989</v>
      </c>
      <c r="R139" s="14">
        <f t="shared" si="32"/>
        <v>8310755.096798012</v>
      </c>
      <c r="S139" s="118">
        <f t="shared" si="33"/>
        <v>0.60589999999999944</v>
      </c>
      <c r="T139" s="14">
        <f t="shared" si="34"/>
        <v>2814504.3167980108</v>
      </c>
      <c r="U139" s="14">
        <f t="shared" si="35"/>
        <v>591046</v>
      </c>
    </row>
    <row r="140" spans="3:21" x14ac:dyDescent="0.2">
      <c r="C140" s="14"/>
      <c r="D140" s="14"/>
      <c r="E140" s="117"/>
      <c r="F140" s="14"/>
      <c r="G140" s="14"/>
      <c r="H140" s="118"/>
      <c r="I140" s="14"/>
      <c r="J140" s="14"/>
      <c r="L140" s="9">
        <v>2035</v>
      </c>
      <c r="M140" s="9">
        <v>9</v>
      </c>
      <c r="N140" s="259">
        <f t="shared" si="29"/>
        <v>-15677617</v>
      </c>
      <c r="O140" s="14">
        <f t="shared" si="31"/>
        <v>5410317.7800000012</v>
      </c>
      <c r="P140" s="117">
        <f t="shared" si="36"/>
        <v>4.4609999999999997E-2</v>
      </c>
      <c r="Q140" s="14">
        <f t="shared" si="37"/>
        <v>-12855574.08074664</v>
      </c>
      <c r="R140" s="14">
        <f t="shared" si="32"/>
        <v>8232360.6992533617</v>
      </c>
      <c r="S140" s="118">
        <f t="shared" si="33"/>
        <v>0.60961749999999948</v>
      </c>
      <c r="T140" s="14">
        <f t="shared" si="34"/>
        <v>2822042.9192533605</v>
      </c>
      <c r="U140" s="14">
        <f t="shared" si="35"/>
        <v>592629</v>
      </c>
    </row>
    <row r="141" spans="3:21" x14ac:dyDescent="0.2">
      <c r="C141" s="14"/>
      <c r="D141" s="14"/>
      <c r="E141" s="117"/>
      <c r="F141" s="14"/>
      <c r="G141" s="14"/>
      <c r="H141" s="118"/>
      <c r="I141" s="14"/>
      <c r="J141" s="14"/>
      <c r="L141" s="9">
        <v>2035</v>
      </c>
      <c r="M141" s="9">
        <v>10</v>
      </c>
      <c r="N141" s="259">
        <f t="shared" si="29"/>
        <v>-15763550</v>
      </c>
      <c r="O141" s="14">
        <f t="shared" si="31"/>
        <v>5324384.7800000012</v>
      </c>
      <c r="P141" s="117">
        <f t="shared" si="36"/>
        <v>4.4609999999999997E-2</v>
      </c>
      <c r="Q141" s="14">
        <f t="shared" si="37"/>
        <v>-12933968.47829129</v>
      </c>
      <c r="R141" s="14">
        <f t="shared" si="32"/>
        <v>8153966.3017087113</v>
      </c>
      <c r="S141" s="118">
        <f t="shared" si="33"/>
        <v>0.61333499999999952</v>
      </c>
      <c r="T141" s="14">
        <f t="shared" si="34"/>
        <v>2829581.5217087101</v>
      </c>
      <c r="U141" s="14">
        <f t="shared" si="35"/>
        <v>594212</v>
      </c>
    </row>
    <row r="142" spans="3:21" x14ac:dyDescent="0.2">
      <c r="C142" s="14"/>
      <c r="D142" s="14"/>
      <c r="E142" s="117"/>
      <c r="F142" s="14"/>
      <c r="G142" s="14"/>
      <c r="H142" s="118"/>
      <c r="I142" s="14"/>
      <c r="J142" s="14"/>
      <c r="L142" s="9">
        <v>2035</v>
      </c>
      <c r="M142" s="9">
        <v>11</v>
      </c>
      <c r="N142" s="259">
        <f t="shared" si="29"/>
        <v>-15849483</v>
      </c>
      <c r="O142" s="14">
        <f t="shared" si="31"/>
        <v>5238451.7800000012</v>
      </c>
      <c r="P142" s="117">
        <f t="shared" si="36"/>
        <v>4.4609999999999997E-2</v>
      </c>
      <c r="Q142" s="14">
        <f t="shared" si="37"/>
        <v>-13012362.87583594</v>
      </c>
      <c r="R142" s="14">
        <f t="shared" si="32"/>
        <v>8075571.904164061</v>
      </c>
      <c r="S142" s="118">
        <f t="shared" si="33"/>
        <v>0.61705249999999945</v>
      </c>
      <c r="T142" s="14">
        <f t="shared" si="34"/>
        <v>2837120.1241640598</v>
      </c>
      <c r="U142" s="14">
        <f t="shared" si="35"/>
        <v>595795</v>
      </c>
    </row>
    <row r="143" spans="3:21" x14ac:dyDescent="0.2">
      <c r="C143" s="14"/>
      <c r="D143" s="14"/>
      <c r="E143" s="117"/>
      <c r="F143" s="14"/>
      <c r="G143" s="14"/>
      <c r="H143" s="118"/>
      <c r="I143" s="14"/>
      <c r="J143" s="14"/>
      <c r="L143" s="9">
        <v>2035</v>
      </c>
      <c r="M143" s="9">
        <v>12</v>
      </c>
      <c r="N143" s="259">
        <f t="shared" si="29"/>
        <v>-15935416</v>
      </c>
      <c r="O143" s="14">
        <f t="shared" si="31"/>
        <v>5152518.7800000012</v>
      </c>
      <c r="P143" s="117">
        <f t="shared" si="36"/>
        <v>4.4609999999999997E-2</v>
      </c>
      <c r="Q143" s="14">
        <f t="shared" si="37"/>
        <v>-13090757.273380591</v>
      </c>
      <c r="R143" s="14">
        <f t="shared" si="32"/>
        <v>7997177.5066194106</v>
      </c>
      <c r="S143" s="118">
        <f t="shared" si="33"/>
        <v>0.62076999999999949</v>
      </c>
      <c r="T143" s="14">
        <f t="shared" si="34"/>
        <v>2844658.7266194094</v>
      </c>
      <c r="U143" s="14">
        <f t="shared" si="35"/>
        <v>597378</v>
      </c>
    </row>
    <row r="144" spans="3:21" x14ac:dyDescent="0.2">
      <c r="C144" s="14"/>
      <c r="D144" s="14"/>
      <c r="E144" s="117"/>
      <c r="F144" s="14"/>
      <c r="G144" s="14"/>
      <c r="H144" s="118"/>
      <c r="I144" s="14"/>
      <c r="J144" s="14"/>
      <c r="L144" s="9">
        <v>2036</v>
      </c>
      <c r="M144" s="9">
        <v>1</v>
      </c>
      <c r="N144" s="259">
        <f t="shared" si="29"/>
        <v>-16021349</v>
      </c>
      <c r="O144" s="14">
        <f t="shared" si="31"/>
        <v>5066585.7800000012</v>
      </c>
      <c r="P144" s="117">
        <f t="shared" si="36"/>
        <v>4.462E-2</v>
      </c>
      <c r="Q144" s="14">
        <f t="shared" si="37"/>
        <v>-13169169.244204223</v>
      </c>
      <c r="R144" s="14">
        <f t="shared" si="32"/>
        <v>7918765.535795778</v>
      </c>
      <c r="S144" s="118">
        <f t="shared" si="33"/>
        <v>0.62448833333333287</v>
      </c>
      <c r="T144" s="14">
        <f t="shared" si="34"/>
        <v>2852179.7557957768</v>
      </c>
      <c r="U144" s="14">
        <f t="shared" si="35"/>
        <v>598958</v>
      </c>
    </row>
    <row r="145" spans="3:21" x14ac:dyDescent="0.2">
      <c r="C145" s="14"/>
      <c r="D145" s="14"/>
      <c r="E145" s="117"/>
      <c r="F145" s="14"/>
      <c r="G145" s="14"/>
      <c r="H145" s="118"/>
      <c r="I145" s="14"/>
      <c r="J145" s="14"/>
      <c r="L145" s="9">
        <v>2036</v>
      </c>
      <c r="M145" s="9">
        <v>2</v>
      </c>
      <c r="N145" s="259">
        <f t="shared" si="29"/>
        <v>-16107282</v>
      </c>
      <c r="O145" s="14">
        <f t="shared" si="31"/>
        <v>4980652.7800000012</v>
      </c>
      <c r="P145" s="117">
        <f t="shared" si="36"/>
        <v>4.462E-2</v>
      </c>
      <c r="Q145" s="14">
        <f t="shared" si="37"/>
        <v>-13247581.215027856</v>
      </c>
      <c r="R145" s="14">
        <f t="shared" si="32"/>
        <v>7840353.5649721455</v>
      </c>
      <c r="S145" s="118">
        <f t="shared" si="33"/>
        <v>0.62820666666666614</v>
      </c>
      <c r="T145" s="14">
        <f t="shared" si="34"/>
        <v>2859700.7849721443</v>
      </c>
      <c r="U145" s="14">
        <f t="shared" si="35"/>
        <v>600537</v>
      </c>
    </row>
    <row r="146" spans="3:21" x14ac:dyDescent="0.2">
      <c r="C146" s="14"/>
      <c r="D146" s="14"/>
      <c r="E146" s="117"/>
      <c r="F146" s="14"/>
      <c r="G146" s="14"/>
      <c r="H146" s="118"/>
      <c r="I146" s="14"/>
      <c r="J146" s="14"/>
      <c r="L146" s="9">
        <v>2036</v>
      </c>
      <c r="M146" s="9">
        <v>3</v>
      </c>
      <c r="N146" s="259">
        <f t="shared" si="29"/>
        <v>-16193215</v>
      </c>
      <c r="O146" s="14">
        <f t="shared" si="31"/>
        <v>4894719.7800000012</v>
      </c>
      <c r="P146" s="117">
        <f t="shared" si="36"/>
        <v>4.462E-2</v>
      </c>
      <c r="Q146" s="14">
        <f t="shared" si="37"/>
        <v>-13325993.185851488</v>
      </c>
      <c r="R146" s="14">
        <f t="shared" si="32"/>
        <v>7761941.5941485129</v>
      </c>
      <c r="S146" s="118">
        <f t="shared" si="33"/>
        <v>0.6319249999999994</v>
      </c>
      <c r="T146" s="14">
        <f t="shared" si="34"/>
        <v>2867221.8141485117</v>
      </c>
      <c r="U146" s="14">
        <f t="shared" si="35"/>
        <v>602117</v>
      </c>
    </row>
    <row r="147" spans="3:21" x14ac:dyDescent="0.2">
      <c r="C147" s="14"/>
      <c r="D147" s="14"/>
      <c r="E147" s="117"/>
      <c r="F147" s="14"/>
      <c r="G147" s="14"/>
      <c r="H147" s="118"/>
      <c r="I147" s="14"/>
      <c r="J147" s="14"/>
      <c r="L147" s="9">
        <v>2036</v>
      </c>
      <c r="M147" s="9">
        <v>4</v>
      </c>
      <c r="N147" s="259">
        <f t="shared" si="29"/>
        <v>-16279148</v>
      </c>
      <c r="O147" s="14">
        <f t="shared" si="31"/>
        <v>4808786.7800000012</v>
      </c>
      <c r="P147" s="117">
        <f t="shared" si="36"/>
        <v>4.462E-2</v>
      </c>
      <c r="Q147" s="14">
        <f t="shared" si="37"/>
        <v>-13404405.156675121</v>
      </c>
      <c r="R147" s="14">
        <f t="shared" si="32"/>
        <v>7683529.6233248804</v>
      </c>
      <c r="S147" s="118">
        <f t="shared" si="33"/>
        <v>0.63564333333333267</v>
      </c>
      <c r="T147" s="14">
        <f t="shared" si="34"/>
        <v>2874742.8433248792</v>
      </c>
      <c r="U147" s="14">
        <f t="shared" si="35"/>
        <v>603696</v>
      </c>
    </row>
    <row r="148" spans="3:21" x14ac:dyDescent="0.2">
      <c r="C148" s="14"/>
      <c r="D148" s="14"/>
      <c r="E148" s="117"/>
      <c r="F148" s="14"/>
      <c r="G148" s="14"/>
      <c r="H148" s="118"/>
      <c r="I148" s="14"/>
      <c r="J148" s="14"/>
      <c r="L148" s="9">
        <v>2036</v>
      </c>
      <c r="M148" s="9">
        <v>5</v>
      </c>
      <c r="N148" s="259">
        <f t="shared" si="29"/>
        <v>-16365081</v>
      </c>
      <c r="O148" s="14">
        <f t="shared" si="31"/>
        <v>4722853.7800000012</v>
      </c>
      <c r="P148" s="117">
        <f t="shared" si="36"/>
        <v>4.462E-2</v>
      </c>
      <c r="Q148" s="14">
        <f t="shared" si="37"/>
        <v>-13482817.127498753</v>
      </c>
      <c r="R148" s="14">
        <f t="shared" si="32"/>
        <v>7605117.6525012478</v>
      </c>
      <c r="S148" s="118">
        <f t="shared" si="33"/>
        <v>0.63936166666666605</v>
      </c>
      <c r="T148" s="14">
        <f t="shared" si="34"/>
        <v>2882263.8725012466</v>
      </c>
      <c r="U148" s="14">
        <f t="shared" si="35"/>
        <v>605275</v>
      </c>
    </row>
    <row r="149" spans="3:21" x14ac:dyDescent="0.2">
      <c r="C149" s="14"/>
      <c r="D149" s="14"/>
      <c r="E149" s="117"/>
      <c r="F149" s="14"/>
      <c r="G149" s="14"/>
      <c r="H149" s="118"/>
      <c r="I149" s="14"/>
      <c r="J149" s="14"/>
      <c r="L149" s="9">
        <v>2036</v>
      </c>
      <c r="M149" s="9">
        <v>6</v>
      </c>
      <c r="N149" s="259">
        <f t="shared" si="29"/>
        <v>-16451014</v>
      </c>
      <c r="O149" s="14">
        <f t="shared" si="31"/>
        <v>4636920.7800000012</v>
      </c>
      <c r="P149" s="117">
        <f t="shared" si="36"/>
        <v>4.462E-2</v>
      </c>
      <c r="Q149" s="14">
        <f t="shared" si="37"/>
        <v>-13561229.098322386</v>
      </c>
      <c r="R149" s="14">
        <f t="shared" si="32"/>
        <v>7526705.6816776153</v>
      </c>
      <c r="S149" s="118">
        <f t="shared" si="33"/>
        <v>0.64307999999999932</v>
      </c>
      <c r="T149" s="14">
        <f t="shared" si="34"/>
        <v>2889784.9016776141</v>
      </c>
      <c r="U149" s="14">
        <f t="shared" si="35"/>
        <v>606855</v>
      </c>
    </row>
    <row r="150" spans="3:21" x14ac:dyDescent="0.2">
      <c r="C150" s="14"/>
      <c r="D150" s="14"/>
      <c r="E150" s="117"/>
      <c r="F150" s="14"/>
      <c r="G150" s="14"/>
      <c r="H150" s="118"/>
      <c r="I150" s="14"/>
      <c r="J150" s="14"/>
      <c r="L150" s="9">
        <v>2036</v>
      </c>
      <c r="M150" s="9">
        <v>7</v>
      </c>
      <c r="N150" s="259">
        <f t="shared" si="29"/>
        <v>-16536947</v>
      </c>
      <c r="O150" s="14">
        <f t="shared" si="31"/>
        <v>4550987.7800000012</v>
      </c>
      <c r="P150" s="117">
        <f t="shared" si="36"/>
        <v>4.462E-2</v>
      </c>
      <c r="Q150" s="14">
        <f t="shared" si="37"/>
        <v>-13639641.069146018</v>
      </c>
      <c r="R150" s="14">
        <f t="shared" si="32"/>
        <v>7448293.7108539827</v>
      </c>
      <c r="S150" s="118">
        <f t="shared" si="33"/>
        <v>0.64679833333333259</v>
      </c>
      <c r="T150" s="14">
        <f t="shared" si="34"/>
        <v>2897305.9308539815</v>
      </c>
      <c r="U150" s="14">
        <f t="shared" si="35"/>
        <v>608434</v>
      </c>
    </row>
    <row r="151" spans="3:21" x14ac:dyDescent="0.2">
      <c r="C151" s="14"/>
      <c r="D151" s="14"/>
      <c r="E151" s="117"/>
      <c r="F151" s="14"/>
      <c r="G151" s="14"/>
      <c r="H151" s="118"/>
      <c r="I151" s="14"/>
      <c r="J151" s="14"/>
      <c r="L151" s="9">
        <v>2036</v>
      </c>
      <c r="M151" s="9">
        <v>8</v>
      </c>
      <c r="N151" s="259">
        <f t="shared" si="29"/>
        <v>-16622880</v>
      </c>
      <c r="O151" s="14">
        <f t="shared" si="31"/>
        <v>4465054.7800000012</v>
      </c>
      <c r="P151" s="117">
        <f t="shared" si="36"/>
        <v>4.462E-2</v>
      </c>
      <c r="Q151" s="14">
        <f t="shared" si="37"/>
        <v>-13718053.039969651</v>
      </c>
      <c r="R151" s="14">
        <f t="shared" si="32"/>
        <v>7369881.7400303502</v>
      </c>
      <c r="S151" s="118">
        <f t="shared" si="33"/>
        <v>0.65051666666666585</v>
      </c>
      <c r="T151" s="14">
        <f t="shared" si="34"/>
        <v>2904826.960030349</v>
      </c>
      <c r="U151" s="14">
        <f t="shared" si="35"/>
        <v>610014</v>
      </c>
    </row>
    <row r="152" spans="3:21" x14ac:dyDescent="0.2">
      <c r="C152" s="14"/>
      <c r="D152" s="14"/>
      <c r="E152" s="117"/>
      <c r="F152" s="14"/>
      <c r="G152" s="14"/>
      <c r="H152" s="118"/>
      <c r="I152" s="14"/>
      <c r="J152" s="14"/>
      <c r="L152" s="9">
        <v>2036</v>
      </c>
      <c r="M152" s="9">
        <v>9</v>
      </c>
      <c r="N152" s="259">
        <f t="shared" si="29"/>
        <v>-16708813</v>
      </c>
      <c r="O152" s="14">
        <f t="shared" si="31"/>
        <v>4379121.7800000012</v>
      </c>
      <c r="P152" s="117">
        <f t="shared" si="36"/>
        <v>4.462E-2</v>
      </c>
      <c r="Q152" s="14">
        <f t="shared" si="37"/>
        <v>-13796465.010793284</v>
      </c>
      <c r="R152" s="14">
        <f t="shared" si="32"/>
        <v>7291469.7692067176</v>
      </c>
      <c r="S152" s="118">
        <f t="shared" si="33"/>
        <v>0.65423499999999923</v>
      </c>
      <c r="T152" s="14">
        <f t="shared" si="34"/>
        <v>2912347.9892067164</v>
      </c>
      <c r="U152" s="14">
        <f t="shared" si="35"/>
        <v>611593</v>
      </c>
    </row>
    <row r="153" spans="3:21" x14ac:dyDescent="0.2">
      <c r="C153" s="14"/>
      <c r="D153" s="14"/>
      <c r="E153" s="117"/>
      <c r="F153" s="14"/>
      <c r="G153" s="14"/>
      <c r="H153" s="118"/>
      <c r="I153" s="14"/>
      <c r="J153" s="14"/>
      <c r="L153" s="9">
        <v>2036</v>
      </c>
      <c r="M153" s="9">
        <v>10</v>
      </c>
      <c r="N153" s="259">
        <f t="shared" ref="N153:N203" si="38">-(ROUND($N$2*$N$6/12,0)-N152)</f>
        <v>-16794746</v>
      </c>
      <c r="O153" s="14">
        <f t="shared" si="31"/>
        <v>4293188.7800000012</v>
      </c>
      <c r="P153" s="117">
        <f t="shared" si="36"/>
        <v>4.462E-2</v>
      </c>
      <c r="Q153" s="14">
        <f t="shared" si="37"/>
        <v>-13874876.981616916</v>
      </c>
      <c r="R153" s="14">
        <f t="shared" si="32"/>
        <v>7213057.7983830851</v>
      </c>
      <c r="S153" s="118">
        <f t="shared" si="33"/>
        <v>0.6579533333333325</v>
      </c>
      <c r="T153" s="14">
        <f t="shared" si="34"/>
        <v>2919869.0183830839</v>
      </c>
      <c r="U153" s="14">
        <f t="shared" si="35"/>
        <v>613172</v>
      </c>
    </row>
    <row r="154" spans="3:21" x14ac:dyDescent="0.2">
      <c r="C154" s="14"/>
      <c r="D154" s="14"/>
      <c r="E154" s="117"/>
      <c r="F154" s="14"/>
      <c r="G154" s="14"/>
      <c r="H154" s="118"/>
      <c r="I154" s="14"/>
      <c r="J154" s="14"/>
      <c r="L154" s="9">
        <v>2036</v>
      </c>
      <c r="M154" s="9">
        <v>11</v>
      </c>
      <c r="N154" s="259">
        <f t="shared" si="38"/>
        <v>-16880679</v>
      </c>
      <c r="O154" s="14">
        <f t="shared" si="31"/>
        <v>4207255.7800000012</v>
      </c>
      <c r="P154" s="117">
        <f t="shared" si="36"/>
        <v>4.462E-2</v>
      </c>
      <c r="Q154" s="14">
        <f t="shared" si="37"/>
        <v>-13953288.952440549</v>
      </c>
      <c r="R154" s="14">
        <f t="shared" si="32"/>
        <v>7134645.8275594525</v>
      </c>
      <c r="S154" s="118">
        <f t="shared" si="33"/>
        <v>0.66167166666666577</v>
      </c>
      <c r="T154" s="14">
        <f t="shared" si="34"/>
        <v>2927390.0475594513</v>
      </c>
      <c r="U154" s="14">
        <f t="shared" si="35"/>
        <v>614752</v>
      </c>
    </row>
    <row r="155" spans="3:21" x14ac:dyDescent="0.2">
      <c r="C155" s="14"/>
      <c r="D155" s="14"/>
      <c r="E155" s="117"/>
      <c r="F155" s="14"/>
      <c r="G155" s="14"/>
      <c r="H155" s="118"/>
      <c r="I155" s="14"/>
      <c r="J155" s="14"/>
      <c r="L155" s="9">
        <v>2036</v>
      </c>
      <c r="M155" s="9">
        <v>12</v>
      </c>
      <c r="N155" s="259">
        <f t="shared" si="38"/>
        <v>-16966612</v>
      </c>
      <c r="O155" s="14">
        <f t="shared" si="31"/>
        <v>4121322.7800000012</v>
      </c>
      <c r="P155" s="117">
        <f t="shared" si="36"/>
        <v>4.462E-2</v>
      </c>
      <c r="Q155" s="14">
        <f t="shared" si="37"/>
        <v>-14031700.923264181</v>
      </c>
      <c r="R155" s="14">
        <f t="shared" si="32"/>
        <v>7056233.85673582</v>
      </c>
      <c r="S155" s="118">
        <f t="shared" si="33"/>
        <v>0.66538999999999904</v>
      </c>
      <c r="T155" s="14">
        <f t="shared" si="34"/>
        <v>2934911.0767358188</v>
      </c>
      <c r="U155" s="14">
        <f t="shared" si="35"/>
        <v>616331</v>
      </c>
    </row>
    <row r="156" spans="3:21" x14ac:dyDescent="0.2">
      <c r="C156" s="14"/>
      <c r="D156" s="14"/>
      <c r="E156" s="117"/>
      <c r="F156" s="14"/>
      <c r="G156" s="14"/>
      <c r="H156" s="118"/>
      <c r="I156" s="14"/>
      <c r="J156" s="14"/>
      <c r="L156" s="9">
        <v>2037</v>
      </c>
      <c r="M156" s="9">
        <v>1</v>
      </c>
      <c r="N156" s="259">
        <f t="shared" si="38"/>
        <v>-17052545</v>
      </c>
      <c r="O156" s="14">
        <f t="shared" si="31"/>
        <v>4035389.7800000012</v>
      </c>
      <c r="P156" s="117">
        <f t="shared" si="36"/>
        <v>4.4609999999999997E-2</v>
      </c>
      <c r="Q156" s="14">
        <f t="shared" si="37"/>
        <v>-14110095.320808832</v>
      </c>
      <c r="R156" s="14">
        <f t="shared" si="32"/>
        <v>6977839.4591911696</v>
      </c>
      <c r="S156" s="118">
        <f t="shared" si="33"/>
        <v>0.66910749999999908</v>
      </c>
      <c r="T156" s="14">
        <f t="shared" si="34"/>
        <v>2942449.6791911684</v>
      </c>
      <c r="U156" s="14">
        <f t="shared" si="35"/>
        <v>617914</v>
      </c>
    </row>
    <row r="157" spans="3:21" x14ac:dyDescent="0.2">
      <c r="C157" s="14"/>
      <c r="D157" s="14"/>
      <c r="E157" s="117"/>
      <c r="F157" s="14"/>
      <c r="G157" s="14"/>
      <c r="H157" s="118"/>
      <c r="I157" s="14"/>
      <c r="J157" s="14"/>
      <c r="L157" s="9">
        <v>2037</v>
      </c>
      <c r="M157" s="9">
        <v>2</v>
      </c>
      <c r="N157" s="259">
        <f t="shared" si="38"/>
        <v>-17138478</v>
      </c>
      <c r="O157" s="14">
        <f t="shared" si="31"/>
        <v>3949456.7800000012</v>
      </c>
      <c r="P157" s="117">
        <f t="shared" si="36"/>
        <v>4.4609999999999997E-2</v>
      </c>
      <c r="Q157" s="14">
        <f t="shared" si="37"/>
        <v>-14188489.718353482</v>
      </c>
      <c r="R157" s="14">
        <f t="shared" si="32"/>
        <v>6899445.0616465192</v>
      </c>
      <c r="S157" s="118">
        <f t="shared" si="33"/>
        <v>0.67282499999999912</v>
      </c>
      <c r="T157" s="14">
        <f t="shared" si="34"/>
        <v>2949988.281646518</v>
      </c>
      <c r="U157" s="14">
        <f t="shared" si="35"/>
        <v>619498</v>
      </c>
    </row>
    <row r="158" spans="3:21" x14ac:dyDescent="0.2">
      <c r="C158" s="14"/>
      <c r="D158" s="14"/>
      <c r="E158" s="117"/>
      <c r="F158" s="14"/>
      <c r="G158" s="14"/>
      <c r="H158" s="118"/>
      <c r="I158" s="14"/>
      <c r="J158" s="14"/>
      <c r="L158" s="9">
        <v>2037</v>
      </c>
      <c r="M158" s="9">
        <v>3</v>
      </c>
      <c r="N158" s="259">
        <f t="shared" si="38"/>
        <v>-17224411</v>
      </c>
      <c r="O158" s="14">
        <f t="shared" si="31"/>
        <v>3863523.7800000012</v>
      </c>
      <c r="P158" s="117">
        <f t="shared" si="36"/>
        <v>4.4609999999999997E-2</v>
      </c>
      <c r="Q158" s="14">
        <f t="shared" si="37"/>
        <v>-14266884.115898132</v>
      </c>
      <c r="R158" s="14">
        <f t="shared" si="32"/>
        <v>6821050.6641018689</v>
      </c>
      <c r="S158" s="118">
        <f t="shared" si="33"/>
        <v>0.67654249999999916</v>
      </c>
      <c r="T158" s="14">
        <f t="shared" si="34"/>
        <v>2957526.8841018677</v>
      </c>
      <c r="U158" s="14">
        <f t="shared" si="35"/>
        <v>621081</v>
      </c>
    </row>
    <row r="159" spans="3:21" x14ac:dyDescent="0.2">
      <c r="C159" s="14"/>
      <c r="D159" s="14"/>
      <c r="E159" s="117"/>
      <c r="F159" s="14"/>
      <c r="G159" s="14"/>
      <c r="H159" s="118"/>
      <c r="I159" s="14"/>
      <c r="J159" s="14"/>
      <c r="L159" s="9">
        <v>2037</v>
      </c>
      <c r="M159" s="9">
        <v>4</v>
      </c>
      <c r="N159" s="259">
        <f t="shared" si="38"/>
        <v>-17310344</v>
      </c>
      <c r="O159" s="14">
        <f t="shared" si="31"/>
        <v>3777590.7800000012</v>
      </c>
      <c r="P159" s="117">
        <f t="shared" si="36"/>
        <v>4.4609999999999997E-2</v>
      </c>
      <c r="Q159" s="14">
        <f t="shared" si="37"/>
        <v>-14345278.513442783</v>
      </c>
      <c r="R159" s="14">
        <f t="shared" si="32"/>
        <v>6742656.2665572185</v>
      </c>
      <c r="S159" s="118">
        <f t="shared" si="33"/>
        <v>0.68025999999999909</v>
      </c>
      <c r="T159" s="14">
        <f t="shared" si="34"/>
        <v>2965065.4865572173</v>
      </c>
      <c r="U159" s="14">
        <f t="shared" si="35"/>
        <v>622664</v>
      </c>
    </row>
    <row r="160" spans="3:21" x14ac:dyDescent="0.2">
      <c r="C160" s="14"/>
      <c r="D160" s="14"/>
      <c r="E160" s="117"/>
      <c r="F160" s="14"/>
      <c r="G160" s="14"/>
      <c r="H160" s="118"/>
      <c r="I160" s="14"/>
      <c r="J160" s="14"/>
      <c r="L160" s="9">
        <v>2037</v>
      </c>
      <c r="M160" s="9">
        <v>5</v>
      </c>
      <c r="N160" s="259">
        <f t="shared" si="38"/>
        <v>-17396277</v>
      </c>
      <c r="O160" s="14">
        <f t="shared" si="31"/>
        <v>3691657.7800000012</v>
      </c>
      <c r="P160" s="117">
        <f t="shared" si="36"/>
        <v>4.4609999999999997E-2</v>
      </c>
      <c r="Q160" s="14">
        <f t="shared" si="37"/>
        <v>-14423672.910987433</v>
      </c>
      <c r="R160" s="14">
        <f t="shared" si="32"/>
        <v>6664261.8690125681</v>
      </c>
      <c r="S160" s="118">
        <f t="shared" si="33"/>
        <v>0.68397749999999913</v>
      </c>
      <c r="T160" s="14">
        <f t="shared" si="34"/>
        <v>2972604.089012567</v>
      </c>
      <c r="U160" s="14">
        <f t="shared" si="35"/>
        <v>624247</v>
      </c>
    </row>
    <row r="161" spans="3:21" x14ac:dyDescent="0.2">
      <c r="C161" s="14"/>
      <c r="D161" s="14"/>
      <c r="E161" s="117"/>
      <c r="F161" s="14"/>
      <c r="G161" s="14"/>
      <c r="H161" s="118"/>
      <c r="I161" s="14"/>
      <c r="J161" s="14"/>
      <c r="L161" s="9">
        <v>2037</v>
      </c>
      <c r="M161" s="9">
        <v>6</v>
      </c>
      <c r="N161" s="259">
        <f t="shared" si="38"/>
        <v>-17482210</v>
      </c>
      <c r="O161" s="14">
        <f t="shared" si="31"/>
        <v>3605724.7800000012</v>
      </c>
      <c r="P161" s="117">
        <f t="shared" si="36"/>
        <v>4.4609999999999997E-2</v>
      </c>
      <c r="Q161" s="14">
        <f t="shared" si="37"/>
        <v>-14502067.308532083</v>
      </c>
      <c r="R161" s="14">
        <f t="shared" si="32"/>
        <v>6585867.4714679178</v>
      </c>
      <c r="S161" s="118">
        <f t="shared" si="33"/>
        <v>0.68769499999999917</v>
      </c>
      <c r="T161" s="14">
        <f t="shared" si="34"/>
        <v>2980142.6914679166</v>
      </c>
      <c r="U161" s="14">
        <f t="shared" si="35"/>
        <v>625830</v>
      </c>
    </row>
    <row r="162" spans="3:21" x14ac:dyDescent="0.2">
      <c r="C162" s="14"/>
      <c r="D162" s="14"/>
      <c r="E162" s="117"/>
      <c r="F162" s="14"/>
      <c r="G162" s="14"/>
      <c r="H162" s="118"/>
      <c r="I162" s="14"/>
      <c r="J162" s="14"/>
      <c r="L162" s="9">
        <v>2037</v>
      </c>
      <c r="M162" s="9">
        <v>7</v>
      </c>
      <c r="N162" s="259">
        <f t="shared" si="38"/>
        <v>-17568143</v>
      </c>
      <c r="O162" s="14">
        <f t="shared" si="31"/>
        <v>3519791.7800000012</v>
      </c>
      <c r="P162" s="117">
        <f t="shared" si="36"/>
        <v>4.4609999999999997E-2</v>
      </c>
      <c r="Q162" s="14">
        <f t="shared" si="37"/>
        <v>-14580461.706076734</v>
      </c>
      <c r="R162" s="14">
        <f t="shared" si="32"/>
        <v>6507473.0739232674</v>
      </c>
      <c r="S162" s="118">
        <f t="shared" si="33"/>
        <v>0.69141249999999921</v>
      </c>
      <c r="T162" s="14">
        <f t="shared" si="34"/>
        <v>2987681.2939232662</v>
      </c>
      <c r="U162" s="14">
        <f t="shared" si="35"/>
        <v>627413</v>
      </c>
    </row>
    <row r="163" spans="3:21" x14ac:dyDescent="0.2">
      <c r="C163" s="14"/>
      <c r="D163" s="14"/>
      <c r="E163" s="117"/>
      <c r="F163" s="14"/>
      <c r="G163" s="14"/>
      <c r="H163" s="118"/>
      <c r="I163" s="14"/>
      <c r="J163" s="14"/>
      <c r="L163" s="9">
        <v>2037</v>
      </c>
      <c r="M163" s="9">
        <v>8</v>
      </c>
      <c r="N163" s="259">
        <f t="shared" si="38"/>
        <v>-17654076</v>
      </c>
      <c r="O163" s="14">
        <f t="shared" si="31"/>
        <v>3433858.7800000012</v>
      </c>
      <c r="P163" s="117">
        <f t="shared" si="36"/>
        <v>4.4609999999999997E-2</v>
      </c>
      <c r="Q163" s="14">
        <f t="shared" si="37"/>
        <v>-14658856.103621384</v>
      </c>
      <c r="R163" s="14">
        <f t="shared" si="32"/>
        <v>6429078.6763786171</v>
      </c>
      <c r="S163" s="118">
        <f t="shared" si="33"/>
        <v>0.69512999999999925</v>
      </c>
      <c r="T163" s="14">
        <f t="shared" si="34"/>
        <v>2995219.8963786159</v>
      </c>
      <c r="U163" s="14">
        <f t="shared" si="35"/>
        <v>628996</v>
      </c>
    </row>
    <row r="164" spans="3:21" x14ac:dyDescent="0.2">
      <c r="C164" s="14"/>
      <c r="D164" s="14"/>
      <c r="E164" s="117"/>
      <c r="F164" s="14"/>
      <c r="G164" s="14"/>
      <c r="H164" s="118"/>
      <c r="I164" s="14"/>
      <c r="J164" s="14"/>
      <c r="L164" s="9">
        <v>2037</v>
      </c>
      <c r="M164" s="9">
        <v>9</v>
      </c>
      <c r="N164" s="259">
        <f t="shared" si="38"/>
        <v>-17740009</v>
      </c>
      <c r="O164" s="14">
        <f t="shared" si="31"/>
        <v>3347925.7800000012</v>
      </c>
      <c r="P164" s="117">
        <f t="shared" si="36"/>
        <v>4.4609999999999997E-2</v>
      </c>
      <c r="Q164" s="14">
        <f t="shared" si="37"/>
        <v>-14737250.501166034</v>
      </c>
      <c r="R164" s="14">
        <f t="shared" si="32"/>
        <v>6350684.2788339667</v>
      </c>
      <c r="S164" s="118">
        <f t="shared" si="33"/>
        <v>0.69884749999999918</v>
      </c>
      <c r="T164" s="14">
        <f t="shared" si="34"/>
        <v>3002758.4988339655</v>
      </c>
      <c r="U164" s="14">
        <f t="shared" si="35"/>
        <v>630579</v>
      </c>
    </row>
    <row r="165" spans="3:21" x14ac:dyDescent="0.2">
      <c r="C165" s="14"/>
      <c r="D165" s="14"/>
      <c r="E165" s="117"/>
      <c r="F165" s="14"/>
      <c r="G165" s="14"/>
      <c r="H165" s="118"/>
      <c r="I165" s="14"/>
      <c r="J165" s="14"/>
      <c r="L165" s="9">
        <v>2037</v>
      </c>
      <c r="M165" s="9">
        <v>10</v>
      </c>
      <c r="N165" s="259">
        <f t="shared" si="38"/>
        <v>-17825942</v>
      </c>
      <c r="O165" s="14">
        <f t="shared" si="31"/>
        <v>3261992.7800000012</v>
      </c>
      <c r="P165" s="117">
        <f t="shared" si="36"/>
        <v>4.4609999999999997E-2</v>
      </c>
      <c r="Q165" s="14">
        <f t="shared" si="37"/>
        <v>-14815644.898710685</v>
      </c>
      <c r="R165" s="14">
        <f t="shared" si="32"/>
        <v>6272289.8812893163</v>
      </c>
      <c r="S165" s="118">
        <f t="shared" si="33"/>
        <v>0.70256499999999922</v>
      </c>
      <c r="T165" s="14">
        <f t="shared" si="34"/>
        <v>3010297.1012893151</v>
      </c>
      <c r="U165" s="14">
        <f t="shared" si="35"/>
        <v>632162</v>
      </c>
    </row>
    <row r="166" spans="3:21" x14ac:dyDescent="0.2">
      <c r="C166" s="14"/>
      <c r="D166" s="14"/>
      <c r="E166" s="117"/>
      <c r="F166" s="14"/>
      <c r="G166" s="14"/>
      <c r="H166" s="118"/>
      <c r="I166" s="14"/>
      <c r="J166" s="14"/>
      <c r="L166" s="9">
        <v>2037</v>
      </c>
      <c r="M166" s="9">
        <v>11</v>
      </c>
      <c r="N166" s="259">
        <f t="shared" si="38"/>
        <v>-17911875</v>
      </c>
      <c r="O166" s="14">
        <f t="shared" si="31"/>
        <v>3176059.7800000012</v>
      </c>
      <c r="P166" s="117">
        <f t="shared" si="36"/>
        <v>4.4609999999999997E-2</v>
      </c>
      <c r="Q166" s="14">
        <f t="shared" si="37"/>
        <v>-14894039.296255335</v>
      </c>
      <c r="R166" s="14">
        <f t="shared" si="32"/>
        <v>6193895.483744666</v>
      </c>
      <c r="S166" s="118">
        <f t="shared" si="33"/>
        <v>0.70628249999999926</v>
      </c>
      <c r="T166" s="14">
        <f t="shared" si="34"/>
        <v>3017835.7037446648</v>
      </c>
      <c r="U166" s="14">
        <f t="shared" si="35"/>
        <v>633745</v>
      </c>
    </row>
    <row r="167" spans="3:21" x14ac:dyDescent="0.2">
      <c r="C167" s="14"/>
      <c r="D167" s="14"/>
      <c r="E167" s="117"/>
      <c r="F167" s="14"/>
      <c r="G167" s="14"/>
      <c r="H167" s="118"/>
      <c r="I167" s="14"/>
      <c r="J167" s="14"/>
      <c r="L167" s="9">
        <v>2037</v>
      </c>
      <c r="M167" s="9">
        <v>12</v>
      </c>
      <c r="N167" s="259">
        <f t="shared" si="38"/>
        <v>-17997808</v>
      </c>
      <c r="O167" s="14">
        <f t="shared" si="31"/>
        <v>3090126.7800000012</v>
      </c>
      <c r="P167" s="117">
        <f t="shared" si="36"/>
        <v>4.4609999999999997E-2</v>
      </c>
      <c r="Q167" s="14">
        <f t="shared" si="37"/>
        <v>-14972433.693799986</v>
      </c>
      <c r="R167" s="14">
        <f t="shared" si="32"/>
        <v>6115501.0862000156</v>
      </c>
      <c r="S167" s="118">
        <f t="shared" si="33"/>
        <v>0.7099999999999993</v>
      </c>
      <c r="T167" s="14">
        <f t="shared" si="34"/>
        <v>3025374.3062000144</v>
      </c>
      <c r="U167" s="14">
        <f t="shared" si="35"/>
        <v>635329</v>
      </c>
    </row>
    <row r="168" spans="3:21" x14ac:dyDescent="0.2">
      <c r="C168" s="14"/>
      <c r="D168" s="14"/>
      <c r="E168" s="117"/>
      <c r="F168" s="14"/>
      <c r="G168" s="14"/>
      <c r="H168" s="118"/>
      <c r="I168" s="14"/>
      <c r="J168" s="14"/>
      <c r="L168" s="9">
        <v>2038</v>
      </c>
      <c r="M168" s="9">
        <v>1</v>
      </c>
      <c r="N168" s="259">
        <f t="shared" si="38"/>
        <v>-18083741</v>
      </c>
      <c r="O168" s="14">
        <f t="shared" si="31"/>
        <v>3004193.7800000012</v>
      </c>
      <c r="P168" s="117">
        <f t="shared" ref="P168:P203" si="39">VLOOKUP(L168-($C$3-1),$D$213:$G$234,4)</f>
        <v>4.462E-2</v>
      </c>
      <c r="Q168" s="14">
        <f t="shared" si="37"/>
        <v>-15050845.664623618</v>
      </c>
      <c r="R168" s="14">
        <f t="shared" si="32"/>
        <v>6037089.1153763831</v>
      </c>
      <c r="S168" s="118">
        <f t="shared" si="33"/>
        <v>0.71371833333333257</v>
      </c>
      <c r="T168" s="14">
        <f t="shared" si="34"/>
        <v>3032895.3353763819</v>
      </c>
      <c r="U168" s="14">
        <f t="shared" si="35"/>
        <v>636908</v>
      </c>
    </row>
    <row r="169" spans="3:21" x14ac:dyDescent="0.2">
      <c r="C169" s="14"/>
      <c r="D169" s="14"/>
      <c r="E169" s="117"/>
      <c r="F169" s="14"/>
      <c r="G169" s="14"/>
      <c r="H169" s="118"/>
      <c r="I169" s="14"/>
      <c r="J169" s="14"/>
      <c r="L169" s="9">
        <v>2038</v>
      </c>
      <c r="M169" s="9">
        <v>2</v>
      </c>
      <c r="N169" s="259">
        <f t="shared" si="38"/>
        <v>-18169674</v>
      </c>
      <c r="O169" s="14">
        <f t="shared" si="31"/>
        <v>2918260.7800000012</v>
      </c>
      <c r="P169" s="117">
        <f t="shared" si="39"/>
        <v>4.462E-2</v>
      </c>
      <c r="Q169" s="14">
        <f t="shared" si="37"/>
        <v>-15129257.635447251</v>
      </c>
      <c r="R169" s="14">
        <f t="shared" si="32"/>
        <v>5958677.1445527505</v>
      </c>
      <c r="S169" s="118">
        <f t="shared" si="33"/>
        <v>0.71743666666666583</v>
      </c>
      <c r="T169" s="14">
        <f t="shared" si="34"/>
        <v>3040416.3645527493</v>
      </c>
      <c r="U169" s="14">
        <f t="shared" si="35"/>
        <v>638487</v>
      </c>
    </row>
    <row r="170" spans="3:21" x14ac:dyDescent="0.2">
      <c r="C170" s="14"/>
      <c r="D170" s="14"/>
      <c r="E170" s="117"/>
      <c r="F170" s="14"/>
      <c r="G170" s="14"/>
      <c r="H170" s="118"/>
      <c r="I170" s="14"/>
      <c r="J170" s="14"/>
      <c r="L170" s="9">
        <v>2038</v>
      </c>
      <c r="M170" s="9">
        <v>3</v>
      </c>
      <c r="N170" s="259">
        <f t="shared" si="38"/>
        <v>-18255607</v>
      </c>
      <c r="O170" s="14">
        <f t="shared" si="31"/>
        <v>2832327.7800000012</v>
      </c>
      <c r="P170" s="117">
        <f t="shared" si="39"/>
        <v>4.462E-2</v>
      </c>
      <c r="Q170" s="14">
        <f t="shared" si="37"/>
        <v>-15207669.606270883</v>
      </c>
      <c r="R170" s="14">
        <f t="shared" si="32"/>
        <v>5880265.173729118</v>
      </c>
      <c r="S170" s="118">
        <f t="shared" si="33"/>
        <v>0.72115499999999921</v>
      </c>
      <c r="T170" s="14">
        <f t="shared" si="34"/>
        <v>3047937.3937291168</v>
      </c>
      <c r="U170" s="14">
        <f t="shared" si="35"/>
        <v>640067</v>
      </c>
    </row>
    <row r="171" spans="3:21" x14ac:dyDescent="0.2">
      <c r="C171" s="14"/>
      <c r="D171" s="14"/>
      <c r="E171" s="117"/>
      <c r="F171" s="14"/>
      <c r="G171" s="14"/>
      <c r="H171" s="118"/>
      <c r="I171" s="14"/>
      <c r="J171" s="14"/>
      <c r="L171" s="9">
        <v>2038</v>
      </c>
      <c r="M171" s="9">
        <v>4</v>
      </c>
      <c r="N171" s="259">
        <f t="shared" si="38"/>
        <v>-18341540</v>
      </c>
      <c r="O171" s="14">
        <f t="shared" si="31"/>
        <v>2746394.7800000012</v>
      </c>
      <c r="P171" s="117">
        <f t="shared" si="39"/>
        <v>4.462E-2</v>
      </c>
      <c r="Q171" s="14">
        <f t="shared" si="37"/>
        <v>-15286081.577094516</v>
      </c>
      <c r="R171" s="14">
        <f t="shared" si="32"/>
        <v>5801853.2029054854</v>
      </c>
      <c r="S171" s="118">
        <f t="shared" si="33"/>
        <v>0.72487333333333248</v>
      </c>
      <c r="T171" s="14">
        <f t="shared" si="34"/>
        <v>3055458.4229054842</v>
      </c>
      <c r="U171" s="14">
        <f t="shared" si="35"/>
        <v>641646</v>
      </c>
    </row>
    <row r="172" spans="3:21" x14ac:dyDescent="0.2">
      <c r="C172" s="14"/>
      <c r="D172" s="14"/>
      <c r="E172" s="117"/>
      <c r="F172" s="14"/>
      <c r="G172" s="14"/>
      <c r="H172" s="118"/>
      <c r="I172" s="14"/>
      <c r="J172" s="14"/>
      <c r="L172" s="9">
        <v>2038</v>
      </c>
      <c r="M172" s="9">
        <v>5</v>
      </c>
      <c r="N172" s="259">
        <f t="shared" si="38"/>
        <v>-18427473</v>
      </c>
      <c r="O172" s="14">
        <f t="shared" si="31"/>
        <v>2660461.7800000012</v>
      </c>
      <c r="P172" s="117">
        <f t="shared" si="39"/>
        <v>4.462E-2</v>
      </c>
      <c r="Q172" s="14">
        <f t="shared" si="37"/>
        <v>-15364493.547918148</v>
      </c>
      <c r="R172" s="14">
        <f t="shared" si="32"/>
        <v>5723441.2320818529</v>
      </c>
      <c r="S172" s="118">
        <f t="shared" si="33"/>
        <v>0.72859166666666575</v>
      </c>
      <c r="T172" s="14">
        <f t="shared" si="34"/>
        <v>3062979.4520818517</v>
      </c>
      <c r="U172" s="14">
        <f t="shared" si="35"/>
        <v>643226</v>
      </c>
    </row>
    <row r="173" spans="3:21" x14ac:dyDescent="0.2">
      <c r="C173" s="14"/>
      <c r="D173" s="14"/>
      <c r="E173" s="117"/>
      <c r="F173" s="14"/>
      <c r="G173" s="14"/>
      <c r="H173" s="118"/>
      <c r="I173" s="14"/>
      <c r="J173" s="14"/>
      <c r="L173" s="9">
        <v>2038</v>
      </c>
      <c r="M173" s="9">
        <v>6</v>
      </c>
      <c r="N173" s="259">
        <f t="shared" si="38"/>
        <v>-18513406</v>
      </c>
      <c r="O173" s="14">
        <f t="shared" si="31"/>
        <v>2574528.7800000012</v>
      </c>
      <c r="P173" s="117">
        <f t="shared" si="39"/>
        <v>4.462E-2</v>
      </c>
      <c r="Q173" s="14">
        <f t="shared" si="37"/>
        <v>-15442905.518741781</v>
      </c>
      <c r="R173" s="14">
        <f t="shared" si="32"/>
        <v>5645029.2612582203</v>
      </c>
      <c r="S173" s="118">
        <f t="shared" si="33"/>
        <v>0.73230999999999902</v>
      </c>
      <c r="T173" s="14">
        <f t="shared" si="34"/>
        <v>3070500.4812582191</v>
      </c>
      <c r="U173" s="14">
        <f t="shared" si="35"/>
        <v>644805</v>
      </c>
    </row>
    <row r="174" spans="3:21" x14ac:dyDescent="0.2">
      <c r="C174" s="14"/>
      <c r="D174" s="14"/>
      <c r="E174" s="117"/>
      <c r="F174" s="14"/>
      <c r="G174" s="14"/>
      <c r="H174" s="118"/>
      <c r="I174" s="14"/>
      <c r="J174" s="14"/>
      <c r="L174" s="9">
        <v>2038</v>
      </c>
      <c r="M174" s="9">
        <v>7</v>
      </c>
      <c r="N174" s="259">
        <f t="shared" si="38"/>
        <v>-18599339</v>
      </c>
      <c r="O174" s="14">
        <f t="shared" si="31"/>
        <v>2488595.7800000012</v>
      </c>
      <c r="P174" s="117">
        <f t="shared" si="39"/>
        <v>4.462E-2</v>
      </c>
      <c r="Q174" s="14">
        <f t="shared" si="37"/>
        <v>-15521317.489565413</v>
      </c>
      <c r="R174" s="14">
        <f t="shared" si="32"/>
        <v>5566617.2904345877</v>
      </c>
      <c r="S174" s="118">
        <f t="shared" si="33"/>
        <v>0.7360283333333324</v>
      </c>
      <c r="T174" s="14">
        <f t="shared" si="34"/>
        <v>3078021.5104345866</v>
      </c>
      <c r="U174" s="14">
        <f t="shared" si="35"/>
        <v>646385</v>
      </c>
    </row>
    <row r="175" spans="3:21" x14ac:dyDescent="0.2">
      <c r="C175" s="14"/>
      <c r="D175" s="14"/>
      <c r="E175" s="117"/>
      <c r="F175" s="14"/>
      <c r="G175" s="14"/>
      <c r="H175" s="118"/>
      <c r="I175" s="14"/>
      <c r="J175" s="14"/>
      <c r="L175" s="9">
        <v>2038</v>
      </c>
      <c r="M175" s="9">
        <v>8</v>
      </c>
      <c r="N175" s="259">
        <f t="shared" si="38"/>
        <v>-18685272</v>
      </c>
      <c r="O175" s="14">
        <f t="shared" si="31"/>
        <v>2402662.7800000012</v>
      </c>
      <c r="P175" s="117">
        <f t="shared" si="39"/>
        <v>4.462E-2</v>
      </c>
      <c r="Q175" s="14">
        <f t="shared" si="37"/>
        <v>-15599729.460389046</v>
      </c>
      <c r="R175" s="14">
        <f t="shared" si="32"/>
        <v>5488205.3196109552</v>
      </c>
      <c r="S175" s="118">
        <f t="shared" si="33"/>
        <v>0.73974666666666566</v>
      </c>
      <c r="T175" s="14">
        <f t="shared" si="34"/>
        <v>3085542.539610954</v>
      </c>
      <c r="U175" s="14">
        <f t="shared" si="35"/>
        <v>647964</v>
      </c>
    </row>
    <row r="176" spans="3:21" x14ac:dyDescent="0.2">
      <c r="C176" s="14"/>
      <c r="D176" s="14"/>
      <c r="E176" s="117"/>
      <c r="F176" s="14"/>
      <c r="G176" s="14"/>
      <c r="H176" s="118"/>
      <c r="I176" s="14"/>
      <c r="J176" s="14"/>
      <c r="L176" s="9">
        <v>2038</v>
      </c>
      <c r="M176" s="9">
        <v>9</v>
      </c>
      <c r="N176" s="259">
        <f t="shared" si="38"/>
        <v>-18771205</v>
      </c>
      <c r="O176" s="14">
        <f t="shared" si="31"/>
        <v>2316729.7800000012</v>
      </c>
      <c r="P176" s="117">
        <f t="shared" si="39"/>
        <v>4.462E-2</v>
      </c>
      <c r="Q176" s="14">
        <f t="shared" si="37"/>
        <v>-15678141.431212679</v>
      </c>
      <c r="R176" s="14">
        <f t="shared" si="32"/>
        <v>5409793.3487873226</v>
      </c>
      <c r="S176" s="118">
        <f t="shared" si="33"/>
        <v>0.74346499999999893</v>
      </c>
      <c r="T176" s="14">
        <f t="shared" si="34"/>
        <v>3093063.5687873214</v>
      </c>
      <c r="U176" s="14">
        <f t="shared" si="35"/>
        <v>649543</v>
      </c>
    </row>
    <row r="177" spans="3:21" x14ac:dyDescent="0.2">
      <c r="C177" s="14"/>
      <c r="D177" s="14"/>
      <c r="E177" s="117"/>
      <c r="F177" s="14"/>
      <c r="G177" s="14"/>
      <c r="H177" s="118"/>
      <c r="I177" s="14"/>
      <c r="J177" s="14"/>
      <c r="L177" s="9">
        <v>2038</v>
      </c>
      <c r="M177" s="9">
        <v>10</v>
      </c>
      <c r="N177" s="259">
        <f t="shared" si="38"/>
        <v>-18857138</v>
      </c>
      <c r="O177" s="14">
        <f t="shared" si="31"/>
        <v>2230796.7800000012</v>
      </c>
      <c r="P177" s="117">
        <f t="shared" si="39"/>
        <v>4.462E-2</v>
      </c>
      <c r="Q177" s="14">
        <f t="shared" si="37"/>
        <v>-15756553.402036311</v>
      </c>
      <c r="R177" s="14">
        <f t="shared" si="32"/>
        <v>5331381.3779636901</v>
      </c>
      <c r="S177" s="118">
        <f t="shared" si="33"/>
        <v>0.7471833333333322</v>
      </c>
      <c r="T177" s="14">
        <f t="shared" si="34"/>
        <v>3100584.5979636889</v>
      </c>
      <c r="U177" s="14">
        <f t="shared" si="35"/>
        <v>651123</v>
      </c>
    </row>
    <row r="178" spans="3:21" x14ac:dyDescent="0.2">
      <c r="C178" s="14"/>
      <c r="D178" s="14"/>
      <c r="E178" s="117"/>
      <c r="F178" s="14"/>
      <c r="G178" s="14"/>
      <c r="H178" s="118"/>
      <c r="I178" s="14"/>
      <c r="J178" s="14"/>
      <c r="L178" s="9">
        <v>2038</v>
      </c>
      <c r="M178" s="9">
        <v>11</v>
      </c>
      <c r="N178" s="259">
        <f t="shared" si="38"/>
        <v>-18943071</v>
      </c>
      <c r="O178" s="14">
        <f t="shared" si="31"/>
        <v>2144863.7800000012</v>
      </c>
      <c r="P178" s="117">
        <f t="shared" si="39"/>
        <v>4.462E-2</v>
      </c>
      <c r="Q178" s="14">
        <f t="shared" si="37"/>
        <v>-15834965.372859944</v>
      </c>
      <c r="R178" s="14">
        <f t="shared" si="32"/>
        <v>5252969.4071400575</v>
      </c>
      <c r="S178" s="118">
        <f t="shared" si="33"/>
        <v>0.75090166666666558</v>
      </c>
      <c r="T178" s="14">
        <f t="shared" si="34"/>
        <v>3108105.6271400563</v>
      </c>
      <c r="U178" s="14">
        <f t="shared" si="35"/>
        <v>652702</v>
      </c>
    </row>
    <row r="179" spans="3:21" x14ac:dyDescent="0.2">
      <c r="C179" s="14"/>
      <c r="D179" s="14"/>
      <c r="E179" s="117"/>
      <c r="F179" s="14"/>
      <c r="G179" s="14"/>
      <c r="H179" s="118"/>
      <c r="I179" s="14"/>
      <c r="J179" s="14"/>
      <c r="L179" s="9">
        <v>2038</v>
      </c>
      <c r="M179" s="9">
        <v>12</v>
      </c>
      <c r="N179" s="259">
        <f t="shared" si="38"/>
        <v>-19029004</v>
      </c>
      <c r="O179" s="14">
        <f t="shared" si="31"/>
        <v>2058930.7800000012</v>
      </c>
      <c r="P179" s="117">
        <f t="shared" si="39"/>
        <v>4.462E-2</v>
      </c>
      <c r="Q179" s="14">
        <f t="shared" si="37"/>
        <v>-15913377.343683576</v>
      </c>
      <c r="R179" s="14">
        <f t="shared" si="32"/>
        <v>5174557.436316425</v>
      </c>
      <c r="S179" s="118">
        <f t="shared" si="33"/>
        <v>0.75461999999999885</v>
      </c>
      <c r="T179" s="14">
        <f t="shared" si="34"/>
        <v>3115626.6563164238</v>
      </c>
      <c r="U179" s="14">
        <f t="shared" si="35"/>
        <v>654282</v>
      </c>
    </row>
    <row r="180" spans="3:21" x14ac:dyDescent="0.2">
      <c r="C180" s="14"/>
      <c r="D180" s="14"/>
      <c r="E180" s="117"/>
      <c r="F180" s="14"/>
      <c r="G180" s="14"/>
      <c r="H180" s="118"/>
      <c r="I180" s="14"/>
      <c r="J180" s="14"/>
      <c r="L180" s="9">
        <v>2039</v>
      </c>
      <c r="M180" s="9">
        <v>1</v>
      </c>
      <c r="N180" s="259">
        <f t="shared" si="38"/>
        <v>-19114937</v>
      </c>
      <c r="O180" s="14">
        <f t="shared" si="31"/>
        <v>1972997.7800000012</v>
      </c>
      <c r="P180" s="117">
        <f t="shared" si="39"/>
        <v>4.4609999999999997E-2</v>
      </c>
      <c r="Q180" s="14">
        <f t="shared" si="37"/>
        <v>-15991771.741228227</v>
      </c>
      <c r="R180" s="14">
        <f t="shared" si="32"/>
        <v>5096163.0387717746</v>
      </c>
      <c r="S180" s="118">
        <f t="shared" si="33"/>
        <v>0.75833749999999889</v>
      </c>
      <c r="T180" s="14">
        <f t="shared" si="34"/>
        <v>3123165.2587717734</v>
      </c>
      <c r="U180" s="14">
        <f t="shared" si="35"/>
        <v>655865</v>
      </c>
    </row>
    <row r="181" spans="3:21" x14ac:dyDescent="0.2">
      <c r="C181" s="14"/>
      <c r="D181" s="14"/>
      <c r="E181" s="117"/>
      <c r="F181" s="14"/>
      <c r="G181" s="14"/>
      <c r="H181" s="118"/>
      <c r="I181" s="14"/>
      <c r="J181" s="14"/>
      <c r="L181" s="9">
        <v>2039</v>
      </c>
      <c r="M181" s="9">
        <v>2</v>
      </c>
      <c r="N181" s="259">
        <f t="shared" si="38"/>
        <v>-19200870</v>
      </c>
      <c r="O181" s="14">
        <f t="shared" si="31"/>
        <v>1887064.7800000012</v>
      </c>
      <c r="P181" s="117">
        <f t="shared" si="39"/>
        <v>4.4609999999999997E-2</v>
      </c>
      <c r="Q181" s="14">
        <f t="shared" si="37"/>
        <v>-16070166.138772877</v>
      </c>
      <c r="R181" s="14">
        <f t="shared" si="32"/>
        <v>5017768.6412271243</v>
      </c>
      <c r="S181" s="118">
        <f t="shared" si="33"/>
        <v>0.76205499999999882</v>
      </c>
      <c r="T181" s="14">
        <f t="shared" si="34"/>
        <v>3130703.8612271231</v>
      </c>
      <c r="U181" s="14">
        <f t="shared" si="35"/>
        <v>657448</v>
      </c>
    </row>
    <row r="182" spans="3:21" x14ac:dyDescent="0.2">
      <c r="C182" s="14"/>
      <c r="D182" s="14"/>
      <c r="E182" s="117"/>
      <c r="F182" s="14"/>
      <c r="G182" s="14"/>
      <c r="H182" s="118"/>
      <c r="I182" s="14"/>
      <c r="J182" s="14"/>
      <c r="L182" s="9">
        <v>2039</v>
      </c>
      <c r="M182" s="9">
        <v>3</v>
      </c>
      <c r="N182" s="259">
        <f t="shared" si="38"/>
        <v>-19286803</v>
      </c>
      <c r="O182" s="14">
        <f t="shared" si="31"/>
        <v>1801131.7800000012</v>
      </c>
      <c r="P182" s="117">
        <f t="shared" si="39"/>
        <v>4.4609999999999997E-2</v>
      </c>
      <c r="Q182" s="14">
        <f t="shared" si="37"/>
        <v>-16148560.536317527</v>
      </c>
      <c r="R182" s="14">
        <f t="shared" si="32"/>
        <v>4939374.2436824739</v>
      </c>
      <c r="S182" s="118">
        <f t="shared" si="33"/>
        <v>0.76577249999999886</v>
      </c>
      <c r="T182" s="14">
        <f t="shared" si="34"/>
        <v>3138242.4636824727</v>
      </c>
      <c r="U182" s="14">
        <f t="shared" si="35"/>
        <v>659031</v>
      </c>
    </row>
    <row r="183" spans="3:21" x14ac:dyDescent="0.2">
      <c r="C183" s="14"/>
      <c r="D183" s="14"/>
      <c r="E183" s="117"/>
      <c r="F183" s="14"/>
      <c r="G183" s="14"/>
      <c r="H183" s="118"/>
      <c r="I183" s="14"/>
      <c r="J183" s="14"/>
      <c r="L183" s="9">
        <v>2039</v>
      </c>
      <c r="M183" s="9">
        <v>4</v>
      </c>
      <c r="N183" s="259">
        <f t="shared" si="38"/>
        <v>-19372736</v>
      </c>
      <c r="O183" s="14">
        <f t="shared" si="31"/>
        <v>1715198.7800000012</v>
      </c>
      <c r="P183" s="117">
        <f t="shared" si="39"/>
        <v>4.4609999999999997E-2</v>
      </c>
      <c r="Q183" s="14">
        <f t="shared" si="37"/>
        <v>-16226954.933862178</v>
      </c>
      <c r="R183" s="14">
        <f t="shared" si="32"/>
        <v>4860979.8461378235</v>
      </c>
      <c r="S183" s="118">
        <f t="shared" si="33"/>
        <v>0.7694899999999989</v>
      </c>
      <c r="T183" s="14">
        <f t="shared" si="34"/>
        <v>3145781.0661378223</v>
      </c>
      <c r="U183" s="14">
        <f t="shared" si="35"/>
        <v>660614</v>
      </c>
    </row>
    <row r="184" spans="3:21" x14ac:dyDescent="0.2">
      <c r="C184" s="14"/>
      <c r="D184" s="14"/>
      <c r="E184" s="117"/>
      <c r="F184" s="14"/>
      <c r="G184" s="14"/>
      <c r="H184" s="118"/>
      <c r="I184" s="14"/>
      <c r="J184" s="14"/>
      <c r="L184" s="9">
        <v>2039</v>
      </c>
      <c r="M184" s="9">
        <v>5</v>
      </c>
      <c r="N184" s="259">
        <f t="shared" si="38"/>
        <v>-19458669</v>
      </c>
      <c r="O184" s="14">
        <f t="shared" si="31"/>
        <v>1629265.7800000012</v>
      </c>
      <c r="P184" s="117">
        <f t="shared" si="39"/>
        <v>4.4609999999999997E-2</v>
      </c>
      <c r="Q184" s="14">
        <f t="shared" si="37"/>
        <v>-16305349.331406828</v>
      </c>
      <c r="R184" s="14">
        <f t="shared" si="32"/>
        <v>4782585.4485931732</v>
      </c>
      <c r="S184" s="118">
        <f t="shared" si="33"/>
        <v>0.77320749999999894</v>
      </c>
      <c r="T184" s="14">
        <f t="shared" si="34"/>
        <v>3153319.668593172</v>
      </c>
      <c r="U184" s="14">
        <f t="shared" si="35"/>
        <v>662197</v>
      </c>
    </row>
    <row r="185" spans="3:21" x14ac:dyDescent="0.2">
      <c r="C185" s="14"/>
      <c r="D185" s="14"/>
      <c r="E185" s="117"/>
      <c r="F185" s="14"/>
      <c r="G185" s="14"/>
      <c r="H185" s="118"/>
      <c r="I185" s="14"/>
      <c r="J185" s="14"/>
      <c r="L185" s="9">
        <v>2039</v>
      </c>
      <c r="M185" s="9">
        <v>6</v>
      </c>
      <c r="N185" s="259">
        <f t="shared" si="38"/>
        <v>-19544602</v>
      </c>
      <c r="O185" s="14">
        <f t="shared" si="31"/>
        <v>1543332.7800000012</v>
      </c>
      <c r="P185" s="117">
        <f t="shared" si="39"/>
        <v>4.4609999999999997E-2</v>
      </c>
      <c r="Q185" s="14">
        <f t="shared" si="37"/>
        <v>-16383743.728951478</v>
      </c>
      <c r="R185" s="14">
        <f t="shared" si="32"/>
        <v>4704191.0510485228</v>
      </c>
      <c r="S185" s="118">
        <f t="shared" si="33"/>
        <v>0.77692499999999898</v>
      </c>
      <c r="T185" s="14">
        <f t="shared" si="34"/>
        <v>3160858.2710485216</v>
      </c>
      <c r="U185" s="14">
        <f t="shared" si="35"/>
        <v>663780</v>
      </c>
    </row>
    <row r="186" spans="3:21" x14ac:dyDescent="0.2">
      <c r="C186" s="14"/>
      <c r="D186" s="14"/>
      <c r="E186" s="117"/>
      <c r="F186" s="14"/>
      <c r="G186" s="14"/>
      <c r="H186" s="118"/>
      <c r="I186" s="14"/>
      <c r="J186" s="14"/>
      <c r="L186" s="9">
        <v>2039</v>
      </c>
      <c r="M186" s="9">
        <v>7</v>
      </c>
      <c r="N186" s="259">
        <f t="shared" si="38"/>
        <v>-19630535</v>
      </c>
      <c r="O186" s="14">
        <f t="shared" si="31"/>
        <v>1457399.7800000012</v>
      </c>
      <c r="P186" s="117">
        <f t="shared" si="39"/>
        <v>4.4609999999999997E-2</v>
      </c>
      <c r="Q186" s="14">
        <f t="shared" si="37"/>
        <v>-16462138.126496129</v>
      </c>
      <c r="R186" s="14">
        <f t="shared" si="32"/>
        <v>4625796.6535038725</v>
      </c>
      <c r="S186" s="118">
        <f t="shared" si="33"/>
        <v>0.78064249999999891</v>
      </c>
      <c r="T186" s="14">
        <f t="shared" si="34"/>
        <v>3168396.8735038713</v>
      </c>
      <c r="U186" s="14">
        <f t="shared" si="35"/>
        <v>665363</v>
      </c>
    </row>
    <row r="187" spans="3:21" x14ac:dyDescent="0.2">
      <c r="C187" s="14"/>
      <c r="D187" s="14"/>
      <c r="E187" s="117"/>
      <c r="F187" s="14"/>
      <c r="G187" s="14"/>
      <c r="H187" s="118"/>
      <c r="I187" s="14"/>
      <c r="J187" s="14"/>
      <c r="L187" s="9">
        <v>2039</v>
      </c>
      <c r="M187" s="9">
        <v>8</v>
      </c>
      <c r="N187" s="259">
        <f t="shared" si="38"/>
        <v>-19716468</v>
      </c>
      <c r="O187" s="14">
        <f t="shared" si="31"/>
        <v>1371466.7800000012</v>
      </c>
      <c r="P187" s="117">
        <f t="shared" si="39"/>
        <v>4.4609999999999997E-2</v>
      </c>
      <c r="Q187" s="14">
        <f t="shared" si="37"/>
        <v>-16540532.524040779</v>
      </c>
      <c r="R187" s="14">
        <f t="shared" si="32"/>
        <v>4547402.2559592221</v>
      </c>
      <c r="S187" s="118">
        <f t="shared" si="33"/>
        <v>0.78435999999999895</v>
      </c>
      <c r="T187" s="14">
        <f t="shared" si="34"/>
        <v>3175935.4759592209</v>
      </c>
      <c r="U187" s="14">
        <f t="shared" si="35"/>
        <v>666946</v>
      </c>
    </row>
    <row r="188" spans="3:21" x14ac:dyDescent="0.2">
      <c r="C188" s="14"/>
      <c r="D188" s="14"/>
      <c r="E188" s="117"/>
      <c r="F188" s="14"/>
      <c r="G188" s="14"/>
      <c r="H188" s="118"/>
      <c r="I188" s="14"/>
      <c r="J188" s="14"/>
      <c r="L188" s="9">
        <v>2039</v>
      </c>
      <c r="M188" s="9">
        <v>9</v>
      </c>
      <c r="N188" s="259">
        <f t="shared" si="38"/>
        <v>-19802401</v>
      </c>
      <c r="O188" s="14">
        <f t="shared" si="31"/>
        <v>1285533.7800000012</v>
      </c>
      <c r="P188" s="117">
        <f t="shared" si="39"/>
        <v>4.4609999999999997E-2</v>
      </c>
      <c r="Q188" s="14">
        <f t="shared" si="37"/>
        <v>-16618926.921585429</v>
      </c>
      <c r="R188" s="14">
        <f t="shared" si="32"/>
        <v>4469007.8584145717</v>
      </c>
      <c r="S188" s="118">
        <f t="shared" si="33"/>
        <v>0.78807749999999899</v>
      </c>
      <c r="T188" s="14">
        <f t="shared" si="34"/>
        <v>3183474.0784145705</v>
      </c>
      <c r="U188" s="14">
        <f t="shared" si="35"/>
        <v>668530</v>
      </c>
    </row>
    <row r="189" spans="3:21" x14ac:dyDescent="0.2">
      <c r="C189" s="14"/>
      <c r="D189" s="14"/>
      <c r="E189" s="117"/>
      <c r="F189" s="14"/>
      <c r="G189" s="14"/>
      <c r="H189" s="118"/>
      <c r="I189" s="14"/>
      <c r="J189" s="14"/>
      <c r="L189" s="9">
        <v>2039</v>
      </c>
      <c r="M189" s="9">
        <v>10</v>
      </c>
      <c r="N189" s="259">
        <f t="shared" si="38"/>
        <v>-19888334</v>
      </c>
      <c r="O189" s="14">
        <f t="shared" si="31"/>
        <v>1199600.7800000012</v>
      </c>
      <c r="P189" s="117">
        <f t="shared" si="39"/>
        <v>4.4609999999999997E-2</v>
      </c>
      <c r="Q189" s="14">
        <f t="shared" si="37"/>
        <v>-16697321.31913008</v>
      </c>
      <c r="R189" s="14">
        <f t="shared" si="32"/>
        <v>4390613.4608699214</v>
      </c>
      <c r="S189" s="118">
        <f t="shared" si="33"/>
        <v>0.79179499999999903</v>
      </c>
      <c r="T189" s="14">
        <f t="shared" si="34"/>
        <v>3191012.6808699202</v>
      </c>
      <c r="U189" s="14">
        <f t="shared" si="35"/>
        <v>670113</v>
      </c>
    </row>
    <row r="190" spans="3:21" x14ac:dyDescent="0.2">
      <c r="C190" s="14"/>
      <c r="D190" s="14"/>
      <c r="E190" s="117"/>
      <c r="F190" s="14"/>
      <c r="G190" s="14"/>
      <c r="H190" s="118"/>
      <c r="I190" s="14"/>
      <c r="J190" s="14"/>
      <c r="L190" s="9">
        <v>2039</v>
      </c>
      <c r="M190" s="9">
        <v>11</v>
      </c>
      <c r="N190" s="259">
        <f t="shared" si="38"/>
        <v>-19974267</v>
      </c>
      <c r="O190" s="14">
        <f t="shared" si="31"/>
        <v>1113667.7800000012</v>
      </c>
      <c r="P190" s="117">
        <f t="shared" si="39"/>
        <v>4.4609999999999997E-2</v>
      </c>
      <c r="Q190" s="14">
        <f t="shared" si="37"/>
        <v>-16775715.71667473</v>
      </c>
      <c r="R190" s="14">
        <f t="shared" si="32"/>
        <v>4312219.063325271</v>
      </c>
      <c r="S190" s="118">
        <f t="shared" si="33"/>
        <v>0.79551249999999907</v>
      </c>
      <c r="T190" s="14">
        <f t="shared" si="34"/>
        <v>3198551.2833252698</v>
      </c>
      <c r="U190" s="14">
        <f t="shared" si="35"/>
        <v>671696</v>
      </c>
    </row>
    <row r="191" spans="3:21" x14ac:dyDescent="0.2">
      <c r="C191" s="14"/>
      <c r="D191" s="14"/>
      <c r="E191" s="117"/>
      <c r="F191" s="14"/>
      <c r="G191" s="14"/>
      <c r="H191" s="118"/>
      <c r="I191" s="14"/>
      <c r="J191" s="14"/>
      <c r="L191" s="9">
        <v>2039</v>
      </c>
      <c r="M191" s="9">
        <v>12</v>
      </c>
      <c r="N191" s="259">
        <f t="shared" si="38"/>
        <v>-20060200</v>
      </c>
      <c r="O191" s="14">
        <f t="shared" ref="O191:O203" si="40">$C$2+N191</f>
        <v>1027734.7800000012</v>
      </c>
      <c r="P191" s="117">
        <f t="shared" si="39"/>
        <v>4.4609999999999997E-2</v>
      </c>
      <c r="Q191" s="14">
        <f t="shared" si="37"/>
        <v>-16854110.114219379</v>
      </c>
      <c r="R191" s="14">
        <f t="shared" ref="R191:R203" si="41">$C$2+Q191</f>
        <v>4233824.6657806225</v>
      </c>
      <c r="S191" s="118">
        <f t="shared" ref="S191:S203" si="42">-(R191-$C$2)/$C$2</f>
        <v>0.799229999999999</v>
      </c>
      <c r="T191" s="14">
        <f t="shared" ref="T191:T203" si="43">R191-O191</f>
        <v>3206089.8857806213</v>
      </c>
      <c r="U191" s="14">
        <f t="shared" ref="U191:U203" si="44">ROUND(T191*$C$4,0)</f>
        <v>673279</v>
      </c>
    </row>
    <row r="192" spans="3:21" x14ac:dyDescent="0.2">
      <c r="C192" s="14"/>
      <c r="D192" s="14"/>
      <c r="E192" s="117"/>
      <c r="F192" s="14"/>
      <c r="G192" s="14"/>
      <c r="H192" s="118"/>
      <c r="I192" s="14"/>
      <c r="J192" s="14"/>
      <c r="L192" s="9">
        <v>2040</v>
      </c>
      <c r="M192" s="9">
        <v>1</v>
      </c>
      <c r="N192" s="259">
        <f t="shared" si="38"/>
        <v>-20146133</v>
      </c>
      <c r="O192" s="14">
        <f t="shared" si="40"/>
        <v>941801.78000000119</v>
      </c>
      <c r="P192" s="117">
        <f t="shared" si="39"/>
        <v>4.462E-2</v>
      </c>
      <c r="Q192" s="14">
        <f t="shared" si="37"/>
        <v>-16932522.085043013</v>
      </c>
      <c r="R192" s="14">
        <f t="shared" si="41"/>
        <v>4155412.6949569881</v>
      </c>
      <c r="S192" s="118">
        <f t="shared" si="42"/>
        <v>0.80294833333333238</v>
      </c>
      <c r="T192" s="14">
        <f t="shared" si="43"/>
        <v>3213610.9149569869</v>
      </c>
      <c r="U192" s="14">
        <f t="shared" si="44"/>
        <v>674858</v>
      </c>
    </row>
    <row r="193" spans="3:21" x14ac:dyDescent="0.2">
      <c r="C193" s="14"/>
      <c r="D193" s="14"/>
      <c r="E193" s="117"/>
      <c r="F193" s="14"/>
      <c r="G193" s="14"/>
      <c r="H193" s="118"/>
      <c r="I193" s="14"/>
      <c r="J193" s="14"/>
      <c r="L193" s="9">
        <v>2040</v>
      </c>
      <c r="M193" s="9">
        <v>2</v>
      </c>
      <c r="N193" s="259">
        <f t="shared" si="38"/>
        <v>-20232066</v>
      </c>
      <c r="O193" s="14">
        <f t="shared" si="40"/>
        <v>855868.78000000119</v>
      </c>
      <c r="P193" s="117">
        <f t="shared" si="39"/>
        <v>4.462E-2</v>
      </c>
      <c r="Q193" s="14">
        <f t="shared" si="37"/>
        <v>-17010934.055866648</v>
      </c>
      <c r="R193" s="14">
        <f t="shared" si="41"/>
        <v>4077000.7241333537</v>
      </c>
      <c r="S193" s="118">
        <f t="shared" si="42"/>
        <v>0.80666666666666575</v>
      </c>
      <c r="T193" s="14">
        <f t="shared" si="43"/>
        <v>3221131.9441333525</v>
      </c>
      <c r="U193" s="14">
        <f t="shared" si="44"/>
        <v>676438</v>
      </c>
    </row>
    <row r="194" spans="3:21" x14ac:dyDescent="0.2">
      <c r="C194" s="14"/>
      <c r="D194" s="14"/>
      <c r="E194" s="117"/>
      <c r="F194" s="14"/>
      <c r="G194" s="14"/>
      <c r="H194" s="118"/>
      <c r="I194" s="14"/>
      <c r="J194" s="14"/>
      <c r="L194" s="9">
        <v>2040</v>
      </c>
      <c r="M194" s="9">
        <v>3</v>
      </c>
      <c r="N194" s="259">
        <f t="shared" si="38"/>
        <v>-20317999</v>
      </c>
      <c r="O194" s="14">
        <f t="shared" si="40"/>
        <v>769935.78000000119</v>
      </c>
      <c r="P194" s="117">
        <f t="shared" si="39"/>
        <v>4.462E-2</v>
      </c>
      <c r="Q194" s="14">
        <f t="shared" si="37"/>
        <v>-17089346.026690282</v>
      </c>
      <c r="R194" s="14">
        <f t="shared" si="41"/>
        <v>3998588.7533097193</v>
      </c>
      <c r="S194" s="118">
        <f t="shared" si="42"/>
        <v>0.81038499999999913</v>
      </c>
      <c r="T194" s="14">
        <f t="shared" si="43"/>
        <v>3228652.9733097181</v>
      </c>
      <c r="U194" s="14">
        <f t="shared" si="44"/>
        <v>678017</v>
      </c>
    </row>
    <row r="195" spans="3:21" x14ac:dyDescent="0.2">
      <c r="C195" s="14"/>
      <c r="D195" s="14"/>
      <c r="E195" s="117"/>
      <c r="F195" s="14"/>
      <c r="G195" s="14"/>
      <c r="H195" s="118"/>
      <c r="I195" s="14"/>
      <c r="J195" s="14"/>
      <c r="L195" s="9">
        <v>2040</v>
      </c>
      <c r="M195" s="9">
        <v>4</v>
      </c>
      <c r="N195" s="259">
        <f t="shared" si="38"/>
        <v>-20403932</v>
      </c>
      <c r="O195" s="14">
        <f t="shared" si="40"/>
        <v>684002.78000000119</v>
      </c>
      <c r="P195" s="117">
        <f t="shared" si="39"/>
        <v>4.462E-2</v>
      </c>
      <c r="Q195" s="14">
        <f t="shared" si="37"/>
        <v>-17167757.997513916</v>
      </c>
      <c r="R195" s="14">
        <f t="shared" si="41"/>
        <v>3920176.7824860848</v>
      </c>
      <c r="S195" s="118">
        <f t="shared" si="42"/>
        <v>0.81410333333333251</v>
      </c>
      <c r="T195" s="14">
        <f t="shared" si="43"/>
        <v>3236174.0024860837</v>
      </c>
      <c r="U195" s="14">
        <f t="shared" si="44"/>
        <v>679597</v>
      </c>
    </row>
    <row r="196" spans="3:21" x14ac:dyDescent="0.2">
      <c r="C196" s="14"/>
      <c r="D196" s="14"/>
      <c r="E196" s="117"/>
      <c r="F196" s="14"/>
      <c r="G196" s="14"/>
      <c r="H196" s="118"/>
      <c r="I196" s="14"/>
      <c r="J196" s="14"/>
      <c r="L196" s="9">
        <v>2040</v>
      </c>
      <c r="M196" s="9">
        <v>5</v>
      </c>
      <c r="N196" s="259">
        <f t="shared" si="38"/>
        <v>-20489865</v>
      </c>
      <c r="O196" s="14">
        <f t="shared" si="40"/>
        <v>598069.78000000119</v>
      </c>
      <c r="P196" s="117">
        <f t="shared" si="39"/>
        <v>4.462E-2</v>
      </c>
      <c r="Q196" s="14">
        <f t="shared" si="37"/>
        <v>-17246169.968337551</v>
      </c>
      <c r="R196" s="14">
        <f t="shared" si="41"/>
        <v>3841764.8116624504</v>
      </c>
      <c r="S196" s="118">
        <f t="shared" si="42"/>
        <v>0.81782166666666589</v>
      </c>
      <c r="T196" s="14">
        <f t="shared" si="43"/>
        <v>3243695.0316624492</v>
      </c>
      <c r="U196" s="14">
        <f t="shared" si="44"/>
        <v>681176</v>
      </c>
    </row>
    <row r="197" spans="3:21" x14ac:dyDescent="0.2">
      <c r="C197" s="14"/>
      <c r="D197" s="14"/>
      <c r="E197" s="117"/>
      <c r="F197" s="14"/>
      <c r="G197" s="14"/>
      <c r="H197" s="118"/>
      <c r="I197" s="14"/>
      <c r="J197" s="14"/>
      <c r="L197" s="9">
        <v>2040</v>
      </c>
      <c r="M197" s="9">
        <v>6</v>
      </c>
      <c r="N197" s="259">
        <f t="shared" si="38"/>
        <v>-20575798</v>
      </c>
      <c r="O197" s="14">
        <f t="shared" si="40"/>
        <v>512136.78000000119</v>
      </c>
      <c r="P197" s="117">
        <f t="shared" si="39"/>
        <v>4.462E-2</v>
      </c>
      <c r="Q197" s="14">
        <f t="shared" si="37"/>
        <v>-17324581.939161185</v>
      </c>
      <c r="R197" s="14">
        <f t="shared" si="41"/>
        <v>3763352.840838816</v>
      </c>
      <c r="S197" s="118">
        <f t="shared" si="42"/>
        <v>0.82153999999999927</v>
      </c>
      <c r="T197" s="14">
        <f t="shared" si="43"/>
        <v>3251216.0608388148</v>
      </c>
      <c r="U197" s="14">
        <f t="shared" si="44"/>
        <v>682755</v>
      </c>
    </row>
    <row r="198" spans="3:21" x14ac:dyDescent="0.2">
      <c r="C198" s="14"/>
      <c r="D198" s="14"/>
      <c r="E198" s="117"/>
      <c r="F198" s="14"/>
      <c r="G198" s="14"/>
      <c r="H198" s="118"/>
      <c r="I198" s="14"/>
      <c r="J198" s="14"/>
      <c r="L198" s="9">
        <v>2040</v>
      </c>
      <c r="M198" s="9">
        <v>7</v>
      </c>
      <c r="N198" s="259">
        <f t="shared" si="38"/>
        <v>-20661731</v>
      </c>
      <c r="O198" s="14">
        <f t="shared" si="40"/>
        <v>426203.78000000119</v>
      </c>
      <c r="P198" s="117">
        <f t="shared" si="39"/>
        <v>4.462E-2</v>
      </c>
      <c r="Q198" s="14">
        <f t="shared" si="37"/>
        <v>-17402993.90998482</v>
      </c>
      <c r="R198" s="14">
        <f t="shared" si="41"/>
        <v>3684940.8700151816</v>
      </c>
      <c r="S198" s="118">
        <f t="shared" si="42"/>
        <v>0.82525833333333265</v>
      </c>
      <c r="T198" s="14">
        <f t="shared" si="43"/>
        <v>3258737.0900151804</v>
      </c>
      <c r="U198" s="14">
        <f t="shared" si="44"/>
        <v>684335</v>
      </c>
    </row>
    <row r="199" spans="3:21" x14ac:dyDescent="0.2">
      <c r="C199" s="14"/>
      <c r="D199" s="14"/>
      <c r="E199" s="117"/>
      <c r="F199" s="14"/>
      <c r="G199" s="14"/>
      <c r="H199" s="118"/>
      <c r="I199" s="14"/>
      <c r="J199" s="14"/>
      <c r="L199" s="9">
        <v>2040</v>
      </c>
      <c r="M199" s="9">
        <v>8</v>
      </c>
      <c r="N199" s="259">
        <f t="shared" si="38"/>
        <v>-20747664</v>
      </c>
      <c r="O199" s="14">
        <f t="shared" si="40"/>
        <v>340270.78000000119</v>
      </c>
      <c r="P199" s="117">
        <f t="shared" si="39"/>
        <v>4.462E-2</v>
      </c>
      <c r="Q199" s="14">
        <f t="shared" si="37"/>
        <v>-17481405.880808454</v>
      </c>
      <c r="R199" s="14">
        <f t="shared" si="41"/>
        <v>3606528.8991915472</v>
      </c>
      <c r="S199" s="118">
        <f t="shared" si="42"/>
        <v>0.82897666666666603</v>
      </c>
      <c r="T199" s="14">
        <f t="shared" si="43"/>
        <v>3266258.119191546</v>
      </c>
      <c r="U199" s="14">
        <f t="shared" si="44"/>
        <v>685914</v>
      </c>
    </row>
    <row r="200" spans="3:21" x14ac:dyDescent="0.2">
      <c r="C200" s="14"/>
      <c r="D200" s="14"/>
      <c r="E200" s="117"/>
      <c r="F200" s="14"/>
      <c r="G200" s="14"/>
      <c r="H200" s="118"/>
      <c r="I200" s="14"/>
      <c r="J200" s="14"/>
      <c r="L200" s="9">
        <v>2040</v>
      </c>
      <c r="M200" s="9">
        <v>9</v>
      </c>
      <c r="N200" s="259">
        <f t="shared" si="38"/>
        <v>-20833597</v>
      </c>
      <c r="O200" s="14">
        <f t="shared" si="40"/>
        <v>254337.78000000119</v>
      </c>
      <c r="P200" s="117">
        <f t="shared" si="39"/>
        <v>4.462E-2</v>
      </c>
      <c r="Q200" s="14">
        <f t="shared" si="37"/>
        <v>-17559817.851632088</v>
      </c>
      <c r="R200" s="14">
        <f t="shared" si="41"/>
        <v>3528116.9283679128</v>
      </c>
      <c r="S200" s="118">
        <f t="shared" si="42"/>
        <v>0.83269499999999941</v>
      </c>
      <c r="T200" s="14">
        <f t="shared" si="43"/>
        <v>3273779.1483679116</v>
      </c>
      <c r="U200" s="14">
        <f t="shared" si="44"/>
        <v>687494</v>
      </c>
    </row>
    <row r="201" spans="3:21" x14ac:dyDescent="0.2">
      <c r="C201" s="14"/>
      <c r="D201" s="14"/>
      <c r="E201" s="117"/>
      <c r="F201" s="14"/>
      <c r="G201" s="14"/>
      <c r="H201" s="118"/>
      <c r="I201" s="14"/>
      <c r="J201" s="14"/>
      <c r="L201" s="9">
        <v>2040</v>
      </c>
      <c r="M201" s="9">
        <v>10</v>
      </c>
      <c r="N201" s="259">
        <f t="shared" si="38"/>
        <v>-20919530</v>
      </c>
      <c r="O201" s="14">
        <f t="shared" si="40"/>
        <v>168404.78000000119</v>
      </c>
      <c r="P201" s="117">
        <f t="shared" si="39"/>
        <v>4.462E-2</v>
      </c>
      <c r="Q201" s="14">
        <f t="shared" si="37"/>
        <v>-17638229.822455723</v>
      </c>
      <c r="R201" s="14">
        <f t="shared" si="41"/>
        <v>3449704.9575442784</v>
      </c>
      <c r="S201" s="118">
        <f t="shared" si="42"/>
        <v>0.83641333333333279</v>
      </c>
      <c r="T201" s="14">
        <f t="shared" si="43"/>
        <v>3281300.1775442772</v>
      </c>
      <c r="U201" s="14">
        <f t="shared" si="44"/>
        <v>689073</v>
      </c>
    </row>
    <row r="202" spans="3:21" x14ac:dyDescent="0.2">
      <c r="C202" s="14"/>
      <c r="D202" s="14"/>
      <c r="E202" s="117"/>
      <c r="F202" s="14"/>
      <c r="G202" s="14"/>
      <c r="H202" s="118"/>
      <c r="I202" s="14"/>
      <c r="J202" s="14"/>
      <c r="L202" s="9">
        <v>2040</v>
      </c>
      <c r="M202" s="9">
        <v>11</v>
      </c>
      <c r="N202" s="259">
        <f t="shared" si="38"/>
        <v>-21005463</v>
      </c>
      <c r="O202" s="14">
        <f t="shared" si="40"/>
        <v>82471.780000001192</v>
      </c>
      <c r="P202" s="117">
        <f t="shared" si="39"/>
        <v>4.462E-2</v>
      </c>
      <c r="Q202" s="14">
        <f t="shared" si="37"/>
        <v>-17716641.793279357</v>
      </c>
      <c r="R202" s="14">
        <f t="shared" si="41"/>
        <v>3371292.9867206439</v>
      </c>
      <c r="S202" s="118">
        <f t="shared" si="42"/>
        <v>0.84013166666666617</v>
      </c>
      <c r="T202" s="14">
        <f t="shared" si="43"/>
        <v>3288821.2067206427</v>
      </c>
      <c r="U202" s="14">
        <f t="shared" si="44"/>
        <v>690652</v>
      </c>
    </row>
    <row r="203" spans="3:21" x14ac:dyDescent="0.2">
      <c r="C203" s="14"/>
      <c r="D203" s="14"/>
      <c r="E203" s="117"/>
      <c r="F203" s="14"/>
      <c r="G203" s="14"/>
      <c r="H203" s="118"/>
      <c r="I203" s="14"/>
      <c r="J203" s="14"/>
      <c r="L203" s="9">
        <v>2040</v>
      </c>
      <c r="M203" s="9">
        <v>12</v>
      </c>
      <c r="N203" s="259">
        <f t="shared" si="38"/>
        <v>-21091396</v>
      </c>
      <c r="O203" s="14">
        <f t="shared" si="40"/>
        <v>-3461.2199999988079</v>
      </c>
      <c r="P203" s="117">
        <f t="shared" si="39"/>
        <v>4.462E-2</v>
      </c>
      <c r="Q203" s="14">
        <f t="shared" ref="Q203" si="45">-$C$2*P203/12+Q202</f>
        <v>-17795053.764102992</v>
      </c>
      <c r="R203" s="14">
        <f t="shared" si="41"/>
        <v>3292881.0158970095</v>
      </c>
      <c r="S203" s="118">
        <f t="shared" si="42"/>
        <v>0.84384999999999954</v>
      </c>
      <c r="T203" s="14">
        <f t="shared" si="43"/>
        <v>3296342.2358970083</v>
      </c>
      <c r="U203" s="14">
        <f t="shared" si="44"/>
        <v>692232</v>
      </c>
    </row>
    <row r="212" spans="1:21" s="36" customFormat="1" ht="13.5" thickBot="1" x14ac:dyDescent="0.25">
      <c r="A212" s="9"/>
      <c r="B212" s="9"/>
      <c r="C212" s="9"/>
      <c r="D212" s="9"/>
      <c r="F212" s="9"/>
      <c r="G212" s="9"/>
      <c r="I212" s="9"/>
      <c r="J212" s="9"/>
      <c r="K212" s="9"/>
      <c r="L212" s="9"/>
      <c r="M212" s="9"/>
      <c r="N212" s="9"/>
      <c r="O212" s="9"/>
      <c r="Q212" s="9"/>
      <c r="R212" s="9"/>
      <c r="T212" s="9"/>
      <c r="U212" s="9"/>
    </row>
    <row r="213" spans="1:21" s="36" customFormat="1" ht="15" x14ac:dyDescent="0.25">
      <c r="A213" s="25" t="s">
        <v>20</v>
      </c>
      <c r="B213" s="26"/>
      <c r="C213" s="26"/>
      <c r="D213" s="27">
        <v>1</v>
      </c>
      <c r="E213" s="37"/>
      <c r="F213" s="26"/>
      <c r="G213" s="28">
        <v>3.7499999999999999E-2</v>
      </c>
      <c r="I213" s="9"/>
      <c r="J213" s="9"/>
      <c r="K213" s="9"/>
      <c r="L213" s="9"/>
      <c r="M213" s="9"/>
      <c r="N213" s="9"/>
      <c r="O213" s="9"/>
      <c r="Q213" s="9"/>
      <c r="R213" s="9"/>
      <c r="T213" s="9"/>
      <c r="U213" s="9"/>
    </row>
    <row r="214" spans="1:21" s="36" customFormat="1" ht="15" x14ac:dyDescent="0.25">
      <c r="A214" s="29"/>
      <c r="B214"/>
      <c r="C214"/>
      <c r="D214" s="1">
        <v>2</v>
      </c>
      <c r="E214" s="38"/>
      <c r="F214"/>
      <c r="G214" s="30">
        <v>7.2190000000000004E-2</v>
      </c>
      <c r="I214" s="9"/>
      <c r="J214" s="9"/>
      <c r="K214" s="9"/>
      <c r="L214" s="9"/>
      <c r="M214" s="9"/>
      <c r="N214" s="9"/>
      <c r="O214" s="9"/>
      <c r="Q214" s="9"/>
      <c r="R214" s="9"/>
      <c r="T214" s="9"/>
      <c r="U214" s="9"/>
    </row>
    <row r="215" spans="1:21" s="36" customFormat="1" ht="15" x14ac:dyDescent="0.25">
      <c r="A215" s="31"/>
      <c r="B215"/>
      <c r="C215"/>
      <c r="D215" s="2">
        <v>3</v>
      </c>
      <c r="E215" s="39"/>
      <c r="F215"/>
      <c r="G215" s="30">
        <v>6.6769999999999996E-2</v>
      </c>
      <c r="I215" s="9"/>
      <c r="J215" s="9"/>
      <c r="K215" s="9"/>
      <c r="L215" s="9"/>
      <c r="M215" s="9"/>
      <c r="N215" s="9"/>
      <c r="O215" s="9"/>
      <c r="Q215" s="9"/>
      <c r="R215" s="9"/>
      <c r="T215" s="9"/>
      <c r="U215" s="9"/>
    </row>
    <row r="216" spans="1:21" s="36" customFormat="1" ht="15" x14ac:dyDescent="0.25">
      <c r="A216" s="31"/>
      <c r="B216"/>
      <c r="C216"/>
      <c r="D216" s="2">
        <v>4</v>
      </c>
      <c r="E216" s="39"/>
      <c r="F216"/>
      <c r="G216" s="30">
        <v>6.1769999999999999E-2</v>
      </c>
      <c r="I216" s="9"/>
      <c r="J216" s="9"/>
      <c r="K216" s="9"/>
      <c r="L216" s="9"/>
      <c r="M216" s="9"/>
      <c r="N216" s="9"/>
      <c r="O216" s="9"/>
      <c r="Q216" s="9"/>
      <c r="R216" s="9"/>
      <c r="T216" s="9"/>
      <c r="U216" s="9"/>
    </row>
    <row r="217" spans="1:21" s="36" customFormat="1" ht="15" x14ac:dyDescent="0.25">
      <c r="A217" s="31"/>
      <c r="B217"/>
      <c r="C217"/>
      <c r="D217" s="2">
        <v>5</v>
      </c>
      <c r="E217" s="39"/>
      <c r="F217"/>
      <c r="G217" s="30">
        <v>5.713E-2</v>
      </c>
      <c r="I217" s="9"/>
      <c r="J217" s="9"/>
      <c r="K217" s="9"/>
      <c r="L217" s="9"/>
      <c r="M217" s="9"/>
      <c r="N217" s="9"/>
      <c r="O217" s="9"/>
      <c r="Q217" s="9"/>
      <c r="R217" s="9"/>
      <c r="T217" s="9"/>
      <c r="U217" s="9"/>
    </row>
    <row r="218" spans="1:21" s="36" customFormat="1" ht="15" x14ac:dyDescent="0.25">
      <c r="A218" s="31"/>
      <c r="B218"/>
      <c r="C218"/>
      <c r="D218" s="2">
        <v>6</v>
      </c>
      <c r="E218" s="39"/>
      <c r="F218"/>
      <c r="G218" s="30">
        <v>5.2850000000000001E-2</v>
      </c>
      <c r="I218" s="9"/>
      <c r="J218" s="9"/>
      <c r="K218" s="9"/>
      <c r="L218" s="9"/>
      <c r="M218" s="9"/>
      <c r="N218" s="9"/>
      <c r="O218" s="9"/>
      <c r="Q218" s="9"/>
      <c r="R218" s="9"/>
      <c r="T218" s="9"/>
      <c r="U218" s="9"/>
    </row>
    <row r="219" spans="1:21" s="36" customFormat="1" ht="15" x14ac:dyDescent="0.25">
      <c r="A219" s="31"/>
      <c r="B219"/>
      <c r="C219"/>
      <c r="D219" s="2">
        <v>7</v>
      </c>
      <c r="E219" s="39"/>
      <c r="F219"/>
      <c r="G219" s="30">
        <v>4.888E-2</v>
      </c>
      <c r="I219" s="9"/>
      <c r="J219" s="9"/>
      <c r="K219" s="9"/>
      <c r="L219" s="9"/>
      <c r="M219" s="9"/>
      <c r="N219" s="9"/>
      <c r="O219" s="9"/>
      <c r="Q219" s="9"/>
      <c r="R219" s="9"/>
      <c r="T219" s="9"/>
      <c r="U219" s="9"/>
    </row>
    <row r="220" spans="1:21" s="36" customFormat="1" ht="15" x14ac:dyDescent="0.25">
      <c r="A220" s="31"/>
      <c r="B220"/>
      <c r="C220"/>
      <c r="D220" s="2">
        <v>8</v>
      </c>
      <c r="E220" s="39"/>
      <c r="F220"/>
      <c r="G220" s="30">
        <v>4.5220000000000003E-2</v>
      </c>
      <c r="I220" s="9"/>
      <c r="J220" s="9"/>
      <c r="K220" s="9"/>
      <c r="L220" s="9"/>
      <c r="M220" s="9"/>
      <c r="N220" s="9"/>
      <c r="O220" s="9"/>
      <c r="Q220" s="9"/>
      <c r="R220" s="9"/>
      <c r="T220" s="9"/>
      <c r="U220" s="9"/>
    </row>
    <row r="221" spans="1:21" s="36" customFormat="1" ht="15" x14ac:dyDescent="0.25">
      <c r="A221" s="31"/>
      <c r="B221"/>
      <c r="C221"/>
      <c r="D221" s="2">
        <v>9</v>
      </c>
      <c r="E221" s="39"/>
      <c r="F221"/>
      <c r="G221" s="30">
        <v>4.462E-2</v>
      </c>
      <c r="I221" s="9"/>
      <c r="J221" s="9"/>
      <c r="K221" s="9"/>
      <c r="L221" s="9"/>
      <c r="M221" s="9"/>
      <c r="N221" s="9"/>
      <c r="O221" s="9"/>
      <c r="Q221" s="9"/>
      <c r="R221" s="9"/>
      <c r="T221" s="9"/>
      <c r="U221" s="9"/>
    </row>
    <row r="222" spans="1:21" s="36" customFormat="1" ht="15" x14ac:dyDescent="0.25">
      <c r="A222" s="31"/>
      <c r="B222"/>
      <c r="C222"/>
      <c r="D222" s="2">
        <v>10</v>
      </c>
      <c r="E222" s="39"/>
      <c r="F222"/>
      <c r="G222" s="30">
        <v>4.4609999999999997E-2</v>
      </c>
      <c r="I222" s="9"/>
      <c r="J222" s="9"/>
      <c r="K222" s="9"/>
      <c r="L222" s="9"/>
      <c r="M222" s="9"/>
      <c r="N222" s="9"/>
      <c r="O222" s="9"/>
      <c r="Q222" s="9"/>
      <c r="R222" s="9"/>
      <c r="T222" s="9"/>
      <c r="U222" s="9"/>
    </row>
    <row r="223" spans="1:21" s="36" customFormat="1" ht="15" x14ac:dyDescent="0.25">
      <c r="A223" s="31"/>
      <c r="B223"/>
      <c r="C223"/>
      <c r="D223" s="2">
        <v>11</v>
      </c>
      <c r="E223" s="39"/>
      <c r="F223"/>
      <c r="G223" s="30">
        <v>4.462E-2</v>
      </c>
      <c r="I223" s="9"/>
      <c r="J223" s="9"/>
      <c r="K223" s="9"/>
      <c r="L223" s="9"/>
      <c r="M223" s="9"/>
      <c r="N223" s="9"/>
      <c r="O223" s="9"/>
      <c r="Q223" s="9"/>
      <c r="R223" s="9"/>
      <c r="T223" s="9"/>
      <c r="U223" s="9"/>
    </row>
    <row r="224" spans="1:21" s="36" customFormat="1" ht="15" x14ac:dyDescent="0.25">
      <c r="A224" s="31"/>
      <c r="B224"/>
      <c r="C224"/>
      <c r="D224" s="2">
        <v>12</v>
      </c>
      <c r="E224" s="39"/>
      <c r="F224"/>
      <c r="G224" s="30">
        <v>4.4609999999999997E-2</v>
      </c>
      <c r="I224" s="9"/>
      <c r="J224" s="9"/>
      <c r="K224" s="9"/>
      <c r="L224" s="9"/>
      <c r="M224" s="9"/>
      <c r="N224" s="9"/>
      <c r="O224" s="9"/>
      <c r="Q224" s="9"/>
      <c r="R224" s="9"/>
      <c r="T224" s="9"/>
      <c r="U224" s="9"/>
    </row>
    <row r="225" spans="1:21" s="36" customFormat="1" ht="15" x14ac:dyDescent="0.25">
      <c r="A225" s="31"/>
      <c r="B225"/>
      <c r="C225"/>
      <c r="D225" s="2">
        <v>13</v>
      </c>
      <c r="E225" s="39"/>
      <c r="F225"/>
      <c r="G225" s="30">
        <v>4.462E-2</v>
      </c>
      <c r="I225" s="9"/>
      <c r="J225" s="9"/>
      <c r="K225" s="9"/>
      <c r="L225" s="9"/>
      <c r="M225" s="9"/>
      <c r="N225" s="9"/>
      <c r="O225" s="9"/>
      <c r="Q225" s="9"/>
      <c r="R225" s="9"/>
      <c r="T225" s="9"/>
      <c r="U225" s="9"/>
    </row>
    <row r="226" spans="1:21" s="36" customFormat="1" ht="15" x14ac:dyDescent="0.25">
      <c r="A226" s="31"/>
      <c r="B226"/>
      <c r="C226"/>
      <c r="D226" s="2">
        <v>14</v>
      </c>
      <c r="E226" s="39"/>
      <c r="F226"/>
      <c r="G226" s="30">
        <v>4.4609999999999997E-2</v>
      </c>
      <c r="I226" s="9"/>
      <c r="J226" s="9"/>
      <c r="K226" s="9"/>
      <c r="L226" s="9"/>
      <c r="M226" s="9"/>
      <c r="N226" s="9"/>
      <c r="O226" s="9"/>
      <c r="Q226" s="9"/>
      <c r="R226" s="9"/>
      <c r="T226" s="9"/>
      <c r="U226" s="9"/>
    </row>
    <row r="227" spans="1:21" s="36" customFormat="1" ht="15" x14ac:dyDescent="0.25">
      <c r="A227" s="31"/>
      <c r="B227"/>
      <c r="C227"/>
      <c r="D227" s="2">
        <v>15</v>
      </c>
      <c r="E227" s="39"/>
      <c r="F227"/>
      <c r="G227" s="30">
        <v>4.462E-2</v>
      </c>
      <c r="I227" s="9"/>
      <c r="J227" s="9"/>
      <c r="K227" s="9"/>
      <c r="L227" s="9"/>
      <c r="M227" s="9"/>
      <c r="N227" s="9"/>
      <c r="O227" s="9"/>
      <c r="Q227" s="9"/>
      <c r="R227" s="9"/>
      <c r="U227" s="9"/>
    </row>
    <row r="228" spans="1:21" s="36" customFormat="1" ht="15" x14ac:dyDescent="0.25">
      <c r="A228" s="31"/>
      <c r="B228"/>
      <c r="C228"/>
      <c r="D228" s="2">
        <v>16</v>
      </c>
      <c r="E228" s="39"/>
      <c r="F228"/>
      <c r="G228" s="30">
        <v>4.4609999999999997E-2</v>
      </c>
      <c r="I228" s="9"/>
      <c r="J228" s="9"/>
      <c r="K228" s="9"/>
      <c r="L228" s="9"/>
      <c r="M228" s="9"/>
      <c r="N228" s="9"/>
      <c r="O228" s="9"/>
      <c r="Q228" s="9"/>
      <c r="R228" s="9"/>
      <c r="U228" s="9"/>
    </row>
    <row r="229" spans="1:21" s="36" customFormat="1" ht="15" x14ac:dyDescent="0.25">
      <c r="A229" s="31"/>
      <c r="B229"/>
      <c r="C229"/>
      <c r="D229" s="2">
        <v>17</v>
      </c>
      <c r="E229" s="39"/>
      <c r="F229"/>
      <c r="G229" s="30">
        <v>4.462E-2</v>
      </c>
      <c r="I229" s="9"/>
      <c r="J229" s="9"/>
      <c r="K229" s="9"/>
      <c r="L229" s="9"/>
      <c r="M229" s="9"/>
      <c r="N229" s="9"/>
      <c r="O229" s="9"/>
      <c r="Q229" s="9"/>
      <c r="R229" s="9"/>
      <c r="U229" s="9"/>
    </row>
    <row r="230" spans="1:21" s="36" customFormat="1" ht="15" x14ac:dyDescent="0.25">
      <c r="A230" s="31"/>
      <c r="B230"/>
      <c r="C230"/>
      <c r="D230" s="2">
        <v>18</v>
      </c>
      <c r="E230" s="39"/>
      <c r="F230"/>
      <c r="G230" s="30">
        <v>4.4609999999999997E-2</v>
      </c>
      <c r="I230" s="9"/>
      <c r="J230" s="9"/>
      <c r="K230" s="9"/>
      <c r="L230" s="9"/>
      <c r="M230" s="9"/>
      <c r="N230" s="9"/>
      <c r="O230" s="9"/>
      <c r="Q230" s="9"/>
      <c r="R230" s="9"/>
      <c r="U230" s="9"/>
    </row>
    <row r="231" spans="1:21" s="36" customFormat="1" ht="15" x14ac:dyDescent="0.25">
      <c r="A231" s="31"/>
      <c r="B231"/>
      <c r="C231"/>
      <c r="D231" s="2">
        <v>19</v>
      </c>
      <c r="E231" s="39"/>
      <c r="F231"/>
      <c r="G231" s="30">
        <v>4.462E-2</v>
      </c>
      <c r="I231" s="9"/>
      <c r="J231" s="9"/>
      <c r="K231" s="9"/>
      <c r="L231" s="9"/>
      <c r="M231" s="9"/>
      <c r="N231" s="9"/>
      <c r="O231" s="9"/>
      <c r="Q231" s="9"/>
      <c r="R231" s="9"/>
      <c r="U231" s="9"/>
    </row>
    <row r="232" spans="1:21" s="36" customFormat="1" ht="15" x14ac:dyDescent="0.25">
      <c r="A232" s="31"/>
      <c r="B232"/>
      <c r="C232"/>
      <c r="D232" s="2">
        <v>20</v>
      </c>
      <c r="E232" s="39"/>
      <c r="F232"/>
      <c r="G232" s="30">
        <v>4.4609999999999997E-2</v>
      </c>
      <c r="I232" s="9"/>
      <c r="J232" s="9"/>
      <c r="K232" s="9"/>
      <c r="L232" s="9"/>
      <c r="M232" s="9"/>
      <c r="N232" s="9"/>
      <c r="O232" s="9"/>
      <c r="Q232" s="9"/>
      <c r="R232" s="9"/>
      <c r="U232" s="9"/>
    </row>
    <row r="233" spans="1:21" s="36" customFormat="1" ht="15" x14ac:dyDescent="0.25">
      <c r="A233" s="31"/>
      <c r="B233"/>
      <c r="C233"/>
      <c r="D233" s="2">
        <v>21</v>
      </c>
      <c r="E233" s="39"/>
      <c r="F233"/>
      <c r="G233" s="30">
        <v>2.231E-2</v>
      </c>
      <c r="I233" s="9"/>
      <c r="J233" s="9"/>
      <c r="K233" s="9"/>
      <c r="L233" s="9"/>
      <c r="M233" s="9"/>
      <c r="N233" s="9"/>
      <c r="O233" s="9"/>
      <c r="Q233" s="9"/>
      <c r="R233" s="9"/>
      <c r="U233" s="9"/>
    </row>
    <row r="234" spans="1:21" s="36" customFormat="1" ht="15.75" thickBot="1" x14ac:dyDescent="0.3">
      <c r="A234" s="32"/>
      <c r="B234" s="33"/>
      <c r="C234" s="33"/>
      <c r="D234" s="34">
        <v>22</v>
      </c>
      <c r="E234" s="40"/>
      <c r="F234" s="33"/>
      <c r="G234" s="35">
        <v>0</v>
      </c>
      <c r="I234" s="9"/>
      <c r="J234" s="9"/>
      <c r="K234" s="9"/>
      <c r="L234" s="9"/>
      <c r="M234" s="9"/>
      <c r="N234" s="9"/>
      <c r="O234" s="9"/>
      <c r="Q234" s="9"/>
      <c r="R234" s="9"/>
      <c r="T234" s="9"/>
      <c r="U234" s="9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AO189"/>
  <sheetViews>
    <sheetView zoomScale="70" zoomScaleNormal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J9" sqref="AJ9:AJ20"/>
    </sheetView>
  </sheetViews>
  <sheetFormatPr defaultColWidth="8.85546875" defaultRowHeight="12.75" x14ac:dyDescent="0.2"/>
  <cols>
    <col min="1" max="1" width="1.7109375" style="3" customWidth="1"/>
    <col min="2" max="2" width="10.140625" style="3" customWidth="1"/>
    <col min="3" max="3" width="2.5703125" style="3" customWidth="1"/>
    <col min="4" max="4" width="8.140625" style="3" customWidth="1"/>
    <col min="5" max="5" width="2.5703125" style="3" customWidth="1"/>
    <col min="6" max="6" width="17.7109375" style="3" customWidth="1"/>
    <col min="7" max="7" width="2.5703125" style="3" customWidth="1"/>
    <col min="8" max="8" width="14" style="3" customWidth="1"/>
    <col min="9" max="9" width="2.5703125" style="3" customWidth="1"/>
    <col min="10" max="10" width="12.42578125" style="3" customWidth="1"/>
    <col min="11" max="11" width="2.5703125" style="3" customWidth="1"/>
    <col min="12" max="12" width="12.42578125" style="3" customWidth="1"/>
    <col min="13" max="13" width="2.5703125" style="3" customWidth="1"/>
    <col min="14" max="14" width="12.42578125" style="3" customWidth="1"/>
    <col min="15" max="15" width="2.5703125" style="3" customWidth="1"/>
    <col min="16" max="16" width="12.42578125" style="3" customWidth="1"/>
    <col min="17" max="17" width="2.5703125" style="3" customWidth="1"/>
    <col min="18" max="18" width="14.5703125" style="3" customWidth="1"/>
    <col min="19" max="19" width="2.5703125" style="3" customWidth="1"/>
    <col min="20" max="20" width="14.5703125" style="3" customWidth="1"/>
    <col min="21" max="21" width="2.5703125" style="3" customWidth="1"/>
    <col min="22" max="22" width="10.7109375" style="3" customWidth="1"/>
    <col min="23" max="23" width="2.5703125" style="3" customWidth="1"/>
    <col min="24" max="24" width="8.5703125" style="3" customWidth="1"/>
    <col min="25" max="25" width="2.5703125" style="3" customWidth="1"/>
    <col min="26" max="26" width="12.140625" style="3" customWidth="1"/>
    <col min="27" max="27" width="2.5703125" style="3" customWidth="1"/>
    <col min="28" max="28" width="12.140625" style="3" customWidth="1"/>
    <col min="29" max="29" width="2.5703125" style="3" customWidth="1"/>
    <col min="30" max="30" width="14.5703125" style="3" customWidth="1"/>
    <col min="31" max="31" width="2.5703125" style="3" customWidth="1"/>
    <col min="32" max="32" width="14.5703125" style="3" customWidth="1"/>
    <col min="33" max="33" width="2.5703125" style="3" customWidth="1"/>
    <col min="34" max="34" width="12.28515625" style="3" customWidth="1"/>
    <col min="35" max="35" width="2.140625" style="3" customWidth="1"/>
    <col min="36" max="36" width="12" style="3" customWidth="1"/>
    <col min="37" max="37" width="8.85546875" style="3"/>
    <col min="38" max="39" width="12.85546875" style="3" bestFit="1" customWidth="1"/>
    <col min="40" max="40" width="9.85546875" style="3" bestFit="1" customWidth="1"/>
    <col min="41" max="16384" width="8.85546875" style="3"/>
  </cols>
  <sheetData>
    <row r="1" spans="2:41" ht="15" customHeight="1" x14ac:dyDescent="0.2">
      <c r="B1" s="387" t="s">
        <v>65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  <c r="AC1" s="387"/>
      <c r="AD1" s="387"/>
      <c r="AE1" s="387"/>
      <c r="AF1" s="387"/>
      <c r="AG1" s="387"/>
      <c r="AH1" s="387"/>
      <c r="AI1" s="387"/>
      <c r="AJ1" s="387"/>
    </row>
    <row r="2" spans="2:41" ht="15" customHeight="1" thickBot="1" x14ac:dyDescent="0.25"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  <c r="AC2" s="388"/>
      <c r="AD2" s="388"/>
      <c r="AE2" s="388"/>
      <c r="AF2" s="388"/>
      <c r="AG2" s="388"/>
      <c r="AH2" s="388"/>
      <c r="AI2" s="388"/>
      <c r="AJ2" s="388"/>
    </row>
    <row r="3" spans="2:41" x14ac:dyDescent="0.2">
      <c r="B3" s="13"/>
    </row>
    <row r="4" spans="2:41" ht="12.75" customHeight="1" x14ac:dyDescent="0.2">
      <c r="B4" s="3" t="s">
        <v>0</v>
      </c>
      <c r="F4" s="381" t="s">
        <v>202</v>
      </c>
      <c r="G4" s="382"/>
      <c r="H4" s="382"/>
      <c r="I4" s="382"/>
      <c r="J4" s="383"/>
      <c r="L4" s="384" t="s">
        <v>231</v>
      </c>
      <c r="M4" s="385"/>
      <c r="N4" s="385"/>
      <c r="O4" s="385"/>
      <c r="P4" s="386"/>
      <c r="Z4" s="201"/>
      <c r="AD4" s="380" t="s">
        <v>232</v>
      </c>
      <c r="AF4" s="377" t="s">
        <v>51</v>
      </c>
      <c r="AH4" s="377" t="s">
        <v>215</v>
      </c>
      <c r="AJ4" s="377" t="s">
        <v>198</v>
      </c>
    </row>
    <row r="5" spans="2:41" ht="24" customHeight="1" x14ac:dyDescent="0.2">
      <c r="B5" s="377" t="s">
        <v>200</v>
      </c>
      <c r="C5" s="4"/>
      <c r="E5" s="4"/>
      <c r="F5" s="389" t="s">
        <v>202</v>
      </c>
      <c r="G5" s="4"/>
      <c r="H5" s="377" t="s">
        <v>1</v>
      </c>
      <c r="J5" s="390" t="s">
        <v>233</v>
      </c>
      <c r="L5" s="378" t="s">
        <v>231</v>
      </c>
      <c r="M5" s="261"/>
      <c r="N5" s="380" t="s">
        <v>228</v>
      </c>
      <c r="O5" s="261"/>
      <c r="P5" s="379" t="s">
        <v>233</v>
      </c>
      <c r="R5" s="377" t="s">
        <v>3</v>
      </c>
      <c r="T5" s="377" t="s">
        <v>194</v>
      </c>
      <c r="V5" s="377" t="s">
        <v>4</v>
      </c>
      <c r="X5" s="377" t="s">
        <v>5</v>
      </c>
      <c r="Z5" s="377" t="s">
        <v>23</v>
      </c>
      <c r="AA5" s="5"/>
      <c r="AB5" s="377" t="s">
        <v>199</v>
      </c>
      <c r="AC5" s="5"/>
      <c r="AD5" s="380"/>
      <c r="AE5" s="5"/>
      <c r="AF5" s="377"/>
      <c r="AH5" s="377"/>
      <c r="AJ5" s="377"/>
      <c r="AO5" s="192"/>
    </row>
    <row r="6" spans="2:41" s="7" customFormat="1" ht="14.25" customHeight="1" x14ac:dyDescent="0.2">
      <c r="B6" s="377"/>
      <c r="C6" s="6"/>
      <c r="D6" s="6" t="s">
        <v>7</v>
      </c>
      <c r="E6" s="6"/>
      <c r="F6" s="389"/>
      <c r="G6" s="6"/>
      <c r="H6" s="377"/>
      <c r="J6" s="390"/>
      <c r="L6" s="378"/>
      <c r="M6" s="268"/>
      <c r="N6" s="380"/>
      <c r="O6" s="268"/>
      <c r="P6" s="379"/>
      <c r="R6" s="377"/>
      <c r="T6" s="377"/>
      <c r="V6" s="377"/>
      <c r="X6" s="377"/>
      <c r="Z6" s="377"/>
      <c r="AA6" s="5"/>
      <c r="AB6" s="377"/>
      <c r="AC6" s="5"/>
      <c r="AD6" s="380"/>
      <c r="AE6" s="5"/>
      <c r="AF6" s="377"/>
      <c r="AH6" s="377"/>
      <c r="AJ6" s="377"/>
      <c r="AO6" s="194"/>
    </row>
    <row r="7" spans="2:41" s="8" customFormat="1" x14ac:dyDescent="0.2">
      <c r="B7" s="191">
        <v>-1</v>
      </c>
      <c r="C7" s="191" t="s">
        <v>0</v>
      </c>
      <c r="D7" s="191">
        <f>B7-1</f>
        <v>-2</v>
      </c>
      <c r="E7" s="191" t="s">
        <v>0</v>
      </c>
      <c r="F7" s="222">
        <f>D7-1</f>
        <v>-3</v>
      </c>
      <c r="G7" s="191" t="s">
        <v>0</v>
      </c>
      <c r="H7" s="191">
        <f>F7-1</f>
        <v>-4</v>
      </c>
      <c r="I7" s="191" t="s">
        <v>0</v>
      </c>
      <c r="J7" s="223">
        <f>H7-1</f>
        <v>-5</v>
      </c>
      <c r="K7" s="191" t="s">
        <v>0</v>
      </c>
      <c r="L7" s="269"/>
      <c r="M7" s="270" t="s">
        <v>0</v>
      </c>
      <c r="N7" s="270"/>
      <c r="O7" s="270" t="s">
        <v>0</v>
      </c>
      <c r="P7" s="271"/>
      <c r="Q7" s="191" t="s">
        <v>0</v>
      </c>
      <c r="R7" s="191">
        <f>J7-1</f>
        <v>-6</v>
      </c>
      <c r="S7" s="191" t="s">
        <v>0</v>
      </c>
      <c r="T7" s="191">
        <f>R7-1</f>
        <v>-7</v>
      </c>
      <c r="U7" s="191" t="s">
        <v>0</v>
      </c>
      <c r="V7" s="191">
        <f>T7-1</f>
        <v>-8</v>
      </c>
      <c r="W7" s="191" t="s">
        <v>0</v>
      </c>
      <c r="X7" s="191">
        <f>V7-1</f>
        <v>-9</v>
      </c>
      <c r="Y7" s="191"/>
      <c r="Z7" s="191">
        <f>X7-1</f>
        <v>-10</v>
      </c>
      <c r="AA7" s="191" t="s">
        <v>0</v>
      </c>
      <c r="AB7" s="191">
        <f>Z7-1</f>
        <v>-11</v>
      </c>
      <c r="AC7" s="191" t="s">
        <v>0</v>
      </c>
      <c r="AD7" s="270">
        <f>AB7-1</f>
        <v>-12</v>
      </c>
      <c r="AE7" s="191" t="s">
        <v>0</v>
      </c>
      <c r="AF7" s="191">
        <f>AD7-1</f>
        <v>-13</v>
      </c>
      <c r="AG7" s="191" t="s">
        <v>0</v>
      </c>
      <c r="AH7" s="191">
        <f>AF7-1</f>
        <v>-14</v>
      </c>
      <c r="AI7" s="191"/>
      <c r="AJ7" s="191">
        <f>AH7-1</f>
        <v>-15</v>
      </c>
    </row>
    <row r="8" spans="2:41" ht="5.25" customHeight="1" x14ac:dyDescent="0.2">
      <c r="B8" s="119"/>
      <c r="C8" s="122"/>
      <c r="D8" s="120"/>
      <c r="E8" s="122"/>
      <c r="F8" s="224"/>
      <c r="G8" s="122"/>
      <c r="H8" s="123"/>
      <c r="I8" s="120"/>
      <c r="J8" s="225"/>
      <c r="K8" s="120"/>
      <c r="L8" s="230"/>
      <c r="M8" s="120"/>
      <c r="N8" s="123"/>
      <c r="O8" s="120"/>
      <c r="P8" s="225"/>
      <c r="Q8" s="120"/>
      <c r="R8" s="123"/>
      <c r="S8" s="120"/>
      <c r="T8" s="123"/>
      <c r="U8" s="120"/>
      <c r="V8" s="121"/>
      <c r="W8" s="120"/>
      <c r="X8" s="124"/>
      <c r="Y8" s="120"/>
      <c r="Z8" s="121"/>
      <c r="AA8" s="120"/>
      <c r="AB8" s="121"/>
      <c r="AC8" s="120"/>
      <c r="AD8" s="125"/>
      <c r="AE8" s="120"/>
      <c r="AF8" s="125"/>
      <c r="AG8" s="120"/>
      <c r="AH8" s="125"/>
      <c r="AI8" s="125"/>
      <c r="AJ8" s="125"/>
    </row>
    <row r="9" spans="2:41" x14ac:dyDescent="0.2">
      <c r="B9" s="23" t="s">
        <v>11</v>
      </c>
      <c r="C9" s="4"/>
      <c r="D9" s="3">
        <v>2026</v>
      </c>
      <c r="E9" s="4"/>
      <c r="F9" s="226">
        <f>'Depr and ADFIT'!$C$1</f>
        <v>57798518.958269402</v>
      </c>
      <c r="G9" s="4"/>
      <c r="H9" s="14">
        <f>'Depr and ADFIT'!C7</f>
        <v>-321104</v>
      </c>
      <c r="J9" s="227">
        <f>'Depr and ADFIT'!J7</f>
        <v>29502</v>
      </c>
      <c r="L9" s="260">
        <f>'Depr and ADFIT'!$N$1</f>
        <v>20059165.356256999</v>
      </c>
      <c r="M9" s="261"/>
      <c r="N9" s="259">
        <f>'Depr and ADFIT'!N7</f>
        <v>-111440</v>
      </c>
      <c r="O9" s="261"/>
      <c r="P9" s="262">
        <f>'Depr and ADFIT'!P7</f>
        <v>-4189022</v>
      </c>
      <c r="R9" s="198">
        <f t="shared" ref="R9:R40" si="0">SUM(F9:Q9)</f>
        <v>73265620.314526409</v>
      </c>
      <c r="T9" s="20">
        <f>WACC!$S$16</f>
        <v>8.1600000000000006E-2</v>
      </c>
      <c r="V9" s="16">
        <f t="shared" ref="V9:V70" si="1">R9*T9/12</f>
        <v>498206.21813877957</v>
      </c>
      <c r="X9" s="17">
        <f>'O&amp;M'!$B$11</f>
        <v>56250</v>
      </c>
      <c r="Z9" s="17">
        <f>(ROUND(F9*'Depr and ADFIT'!$C$4/12,0))</f>
        <v>321104</v>
      </c>
      <c r="AA9" s="17"/>
      <c r="AB9" s="17">
        <f>F9*'Alloc. Factors and Property Tax'!$E$24*'Alloc. Factors and Property Tax'!$E$25*'Alloc. Factors and Property Tax'!$E$26/12</f>
        <v>2866.2285551405798</v>
      </c>
      <c r="AC9" s="17"/>
      <c r="AD9" s="267">
        <f>Repayment!$AB$81/180</f>
        <v>111439.8075347611</v>
      </c>
      <c r="AE9" s="17"/>
      <c r="AF9" s="17">
        <f>SUM(V9:AD9)</f>
        <v>989866.25422868121</v>
      </c>
      <c r="AH9" s="21">
        <f>'Alloc. Factors and Property Tax'!$C$18</f>
        <v>0.9604166666666667</v>
      </c>
      <c r="AJ9" s="19">
        <f t="shared" ref="AJ9:AJ70" si="2">AF9*AH9</f>
        <v>950684.04833212926</v>
      </c>
      <c r="AL9" s="220"/>
      <c r="AM9" s="220"/>
      <c r="AN9" s="198"/>
    </row>
    <row r="10" spans="2:41" x14ac:dyDescent="0.2">
      <c r="B10" s="23" t="s">
        <v>12</v>
      </c>
      <c r="C10" s="16"/>
      <c r="D10" s="3">
        <v>2026</v>
      </c>
      <c r="E10" s="16"/>
      <c r="F10" s="226">
        <f>'Depr and ADFIT'!$C$1</f>
        <v>57798518.958269402</v>
      </c>
      <c r="G10" s="16"/>
      <c r="H10" s="14">
        <f>'Depr and ADFIT'!C8</f>
        <v>-642208</v>
      </c>
      <c r="J10" s="227">
        <f>'Depr and ADFIT'!J8</f>
        <v>59003</v>
      </c>
      <c r="L10" s="260">
        <f>'Depr and ADFIT'!$N$1</f>
        <v>20059165.356256999</v>
      </c>
      <c r="M10" s="261"/>
      <c r="N10" s="259">
        <f>'Depr and ADFIT'!N8</f>
        <v>-222880</v>
      </c>
      <c r="O10" s="261"/>
      <c r="P10" s="262">
        <f>'Depr and ADFIT'!P8</f>
        <v>-4165620</v>
      </c>
      <c r="R10" s="198">
        <f t="shared" si="0"/>
        <v>72885979.314526409</v>
      </c>
      <c r="T10" s="20">
        <f>WACC!$S$16</f>
        <v>8.1600000000000006E-2</v>
      </c>
      <c r="V10" s="16">
        <f t="shared" si="1"/>
        <v>495624.65933877957</v>
      </c>
      <c r="X10" s="17">
        <f>'O&amp;M'!$B$11</f>
        <v>56250</v>
      </c>
      <c r="Z10" s="17">
        <f>(ROUND(F10*'Depr and ADFIT'!$C$4/12,0))</f>
        <v>321104</v>
      </c>
      <c r="AA10" s="17"/>
      <c r="AB10" s="17">
        <f>F10*'Alloc. Factors and Property Tax'!$E$24*'Alloc. Factors and Property Tax'!$E$25*'Alloc. Factors and Property Tax'!$E$26/12</f>
        <v>2866.2285551405798</v>
      </c>
      <c r="AC10" s="17"/>
      <c r="AD10" s="267">
        <f>Repayment!$AB$81/180</f>
        <v>111439.8075347611</v>
      </c>
      <c r="AE10" s="17"/>
      <c r="AF10" s="17">
        <f t="shared" ref="AF10:AF73" si="3">SUM(V10:AD10)</f>
        <v>987284.69542868121</v>
      </c>
      <c r="AH10" s="21">
        <f>'Alloc. Factors and Property Tax'!$C$18</f>
        <v>0.9604166666666667</v>
      </c>
      <c r="AJ10" s="19">
        <f t="shared" si="2"/>
        <v>948204.67623462924</v>
      </c>
      <c r="AL10" s="16"/>
    </row>
    <row r="11" spans="2:41" x14ac:dyDescent="0.2">
      <c r="B11" s="23" t="s">
        <v>13</v>
      </c>
      <c r="C11" s="16"/>
      <c r="D11" s="3">
        <v>2026</v>
      </c>
      <c r="E11" s="16"/>
      <c r="F11" s="226">
        <f>'Depr and ADFIT'!$C$1</f>
        <v>57798518.958269402</v>
      </c>
      <c r="G11" s="16"/>
      <c r="H11" s="14">
        <f>'Depr and ADFIT'!C9</f>
        <v>-963312</v>
      </c>
      <c r="J11" s="227">
        <f>'Depr and ADFIT'!J9</f>
        <v>88505</v>
      </c>
      <c r="L11" s="260">
        <f>'Depr and ADFIT'!$N$1</f>
        <v>20059165.356256999</v>
      </c>
      <c r="M11" s="261"/>
      <c r="N11" s="259">
        <f>'Depr and ADFIT'!N9</f>
        <v>-334320</v>
      </c>
      <c r="O11" s="261"/>
      <c r="P11" s="262">
        <f>'Depr and ADFIT'!P9</f>
        <v>-4142218</v>
      </c>
      <c r="R11" s="198">
        <f t="shared" si="0"/>
        <v>72506339.314526409</v>
      </c>
      <c r="T11" s="20">
        <f>WACC!$S$16</f>
        <v>8.1600000000000006E-2</v>
      </c>
      <c r="V11" s="16">
        <f t="shared" si="1"/>
        <v>493043.10733877961</v>
      </c>
      <c r="X11" s="17">
        <f>'O&amp;M'!$B$11</f>
        <v>56250</v>
      </c>
      <c r="Z11" s="17">
        <f>(ROUND(F11*'Depr and ADFIT'!$C$4/12,0))</f>
        <v>321104</v>
      </c>
      <c r="AA11" s="17"/>
      <c r="AB11" s="17">
        <f>F11*'Alloc. Factors and Property Tax'!$E$24*'Alloc. Factors and Property Tax'!$E$25*'Alloc. Factors and Property Tax'!$E$26/12</f>
        <v>2866.2285551405798</v>
      </c>
      <c r="AC11" s="17"/>
      <c r="AD11" s="267">
        <f>Repayment!$AB$81/180</f>
        <v>111439.8075347611</v>
      </c>
      <c r="AE11" s="17"/>
      <c r="AF11" s="17">
        <f t="shared" si="3"/>
        <v>984703.1434286813</v>
      </c>
      <c r="AH11" s="21">
        <f>'Alloc. Factors and Property Tax'!$C$18</f>
        <v>0.9604166666666667</v>
      </c>
      <c r="AJ11" s="19">
        <f t="shared" si="2"/>
        <v>945725.31066796265</v>
      </c>
    </row>
    <row r="12" spans="2:41" x14ac:dyDescent="0.2">
      <c r="B12" s="23" t="s">
        <v>14</v>
      </c>
      <c r="C12" s="16"/>
      <c r="D12" s="3">
        <v>2026</v>
      </c>
      <c r="E12" s="16"/>
      <c r="F12" s="226">
        <f>'Depr and ADFIT'!$C$1</f>
        <v>57798518.958269402</v>
      </c>
      <c r="G12" s="16"/>
      <c r="H12" s="14">
        <f>'Depr and ADFIT'!C10</f>
        <v>-1284416</v>
      </c>
      <c r="J12" s="227">
        <f>'Depr and ADFIT'!J10</f>
        <v>118006</v>
      </c>
      <c r="L12" s="260">
        <f>'Depr and ADFIT'!$N$1</f>
        <v>20059165.356256999</v>
      </c>
      <c r="M12" s="261"/>
      <c r="N12" s="259">
        <f>'Depr and ADFIT'!N10</f>
        <v>-445760</v>
      </c>
      <c r="O12" s="261"/>
      <c r="P12" s="262">
        <f>'Depr and ADFIT'!P10</f>
        <v>-4118815</v>
      </c>
      <c r="R12" s="198">
        <f t="shared" si="0"/>
        <v>72126699.314526409</v>
      </c>
      <c r="T12" s="20">
        <f>WACC!$S$16</f>
        <v>8.1600000000000006E-2</v>
      </c>
      <c r="V12" s="16">
        <f t="shared" si="1"/>
        <v>490461.55533877964</v>
      </c>
      <c r="X12" s="17">
        <f>'O&amp;M'!$B$11</f>
        <v>56250</v>
      </c>
      <c r="Z12" s="17">
        <f>(ROUND(F12*'Depr and ADFIT'!$C$4/12,0))</f>
        <v>321104</v>
      </c>
      <c r="AA12" s="17"/>
      <c r="AB12" s="17">
        <f>F12*'Alloc. Factors and Property Tax'!$E$24*'Alloc. Factors and Property Tax'!$E$25*'Alloc. Factors and Property Tax'!$E$26/12</f>
        <v>2866.2285551405798</v>
      </c>
      <c r="AC12" s="17"/>
      <c r="AD12" s="267">
        <f>Repayment!$AB$81/180</f>
        <v>111439.8075347611</v>
      </c>
      <c r="AE12" s="17"/>
      <c r="AF12" s="17">
        <f t="shared" si="3"/>
        <v>982121.59142868139</v>
      </c>
      <c r="AH12" s="21">
        <f>'Alloc. Factors and Property Tax'!$C$18</f>
        <v>0.9604166666666667</v>
      </c>
      <c r="AJ12" s="19">
        <f t="shared" si="2"/>
        <v>943245.94510129606</v>
      </c>
    </row>
    <row r="13" spans="2:41" x14ac:dyDescent="0.2">
      <c r="B13" s="23" t="s">
        <v>15</v>
      </c>
      <c r="C13" s="18"/>
      <c r="D13" s="3">
        <v>2026</v>
      </c>
      <c r="E13" s="18"/>
      <c r="F13" s="226">
        <f>'Depr and ADFIT'!$C$1</f>
        <v>57798518.958269402</v>
      </c>
      <c r="G13" s="18"/>
      <c r="H13" s="14">
        <f>'Depr and ADFIT'!C11</f>
        <v>-1605520</v>
      </c>
      <c r="J13" s="227">
        <f>'Depr and ADFIT'!J11</f>
        <v>147508</v>
      </c>
      <c r="L13" s="260">
        <f>'Depr and ADFIT'!$N$1</f>
        <v>20059165.356256999</v>
      </c>
      <c r="M13" s="261"/>
      <c r="N13" s="259">
        <f>'Depr and ADFIT'!N11</f>
        <v>-557200</v>
      </c>
      <c r="O13" s="261"/>
      <c r="P13" s="262">
        <f>'Depr and ADFIT'!P11</f>
        <v>-4095413</v>
      </c>
      <c r="R13" s="198">
        <f t="shared" si="0"/>
        <v>71747059.314526409</v>
      </c>
      <c r="T13" s="20">
        <f>WACC!$S$16</f>
        <v>8.1600000000000006E-2</v>
      </c>
      <c r="V13" s="16">
        <f t="shared" si="1"/>
        <v>487880.00333877961</v>
      </c>
      <c r="X13" s="17">
        <f>'O&amp;M'!$B$11</f>
        <v>56250</v>
      </c>
      <c r="Z13" s="17">
        <f>(ROUND(F13*'Depr and ADFIT'!$C$4/12,0))</f>
        <v>321104</v>
      </c>
      <c r="AA13" s="17"/>
      <c r="AB13" s="17">
        <f>F13*'Alloc. Factors and Property Tax'!$E$24*'Alloc. Factors and Property Tax'!$E$25*'Alloc. Factors and Property Tax'!$E$26/12</f>
        <v>2866.2285551405798</v>
      </c>
      <c r="AC13" s="17"/>
      <c r="AD13" s="267">
        <f>Repayment!$AB$81/180</f>
        <v>111439.8075347611</v>
      </c>
      <c r="AE13" s="17"/>
      <c r="AF13" s="17">
        <f t="shared" si="3"/>
        <v>979540.03942868125</v>
      </c>
      <c r="AH13" s="21">
        <f>'Alloc. Factors and Property Tax'!$C$18</f>
        <v>0.9604166666666667</v>
      </c>
      <c r="AJ13" s="19">
        <f t="shared" si="2"/>
        <v>940766.57953462936</v>
      </c>
    </row>
    <row r="14" spans="2:41" x14ac:dyDescent="0.2">
      <c r="B14" s="23" t="s">
        <v>16</v>
      </c>
      <c r="C14" s="16"/>
      <c r="D14" s="3">
        <v>2026</v>
      </c>
      <c r="E14" s="16"/>
      <c r="F14" s="226">
        <f>'Depr and ADFIT'!$C$1</f>
        <v>57798518.958269402</v>
      </c>
      <c r="G14" s="16"/>
      <c r="H14" s="14">
        <f>'Depr and ADFIT'!C12</f>
        <v>-1926624</v>
      </c>
      <c r="J14" s="227">
        <f>'Depr and ADFIT'!J12</f>
        <v>177009</v>
      </c>
      <c r="L14" s="260">
        <f>'Depr and ADFIT'!$N$1</f>
        <v>20059165.356256999</v>
      </c>
      <c r="M14" s="261"/>
      <c r="N14" s="259">
        <f>'Depr and ADFIT'!N12</f>
        <v>-668640</v>
      </c>
      <c r="O14" s="261"/>
      <c r="P14" s="262">
        <f>'Depr and ADFIT'!P12</f>
        <v>-4072010</v>
      </c>
      <c r="R14" s="198">
        <f t="shared" si="0"/>
        <v>71367419.314526409</v>
      </c>
      <c r="T14" s="20">
        <f>WACC!$S$16</f>
        <v>8.1600000000000006E-2</v>
      </c>
      <c r="V14" s="16">
        <f t="shared" si="1"/>
        <v>485298.45133877965</v>
      </c>
      <c r="X14" s="17">
        <f>'O&amp;M'!$B$11</f>
        <v>56250</v>
      </c>
      <c r="Z14" s="17">
        <f>(ROUND(F14*'Depr and ADFIT'!$C$4/12,0))</f>
        <v>321104</v>
      </c>
      <c r="AA14" s="17"/>
      <c r="AB14" s="17">
        <f>F14*'Alloc. Factors and Property Tax'!$E$24*'Alloc. Factors and Property Tax'!$E$25*'Alloc. Factors and Property Tax'!$E$26/12</f>
        <v>2866.2285551405798</v>
      </c>
      <c r="AC14" s="17"/>
      <c r="AD14" s="267">
        <f>Repayment!$AB$81/180</f>
        <v>111439.8075347611</v>
      </c>
      <c r="AE14" s="17"/>
      <c r="AF14" s="17">
        <f t="shared" si="3"/>
        <v>976958.48742868134</v>
      </c>
      <c r="AH14" s="21">
        <f>'Alloc. Factors and Property Tax'!$C$18</f>
        <v>0.9604166666666667</v>
      </c>
      <c r="AJ14" s="19">
        <f t="shared" si="2"/>
        <v>938287.21396796277</v>
      </c>
    </row>
    <row r="15" spans="2:41" x14ac:dyDescent="0.2">
      <c r="B15" s="23" t="s">
        <v>17</v>
      </c>
      <c r="C15" s="16"/>
      <c r="D15" s="3">
        <v>2026</v>
      </c>
      <c r="E15" s="16"/>
      <c r="F15" s="226">
        <f>'Depr and ADFIT'!$C$1</f>
        <v>57798518.958269402</v>
      </c>
      <c r="G15" s="16"/>
      <c r="H15" s="14">
        <f>'Depr and ADFIT'!C13</f>
        <v>-2247728</v>
      </c>
      <c r="J15" s="227">
        <f>'Depr and ADFIT'!J13</f>
        <v>206511</v>
      </c>
      <c r="L15" s="260">
        <f>'Depr and ADFIT'!$N$1</f>
        <v>20059165.356256999</v>
      </c>
      <c r="M15" s="261"/>
      <c r="N15" s="259">
        <f>'Depr and ADFIT'!N13</f>
        <v>-780080</v>
      </c>
      <c r="O15" s="261"/>
      <c r="P15" s="262">
        <f>'Depr and ADFIT'!P13</f>
        <v>-4048608</v>
      </c>
      <c r="R15" s="198">
        <f t="shared" si="0"/>
        <v>70987779.314526409</v>
      </c>
      <c r="T15" s="20">
        <f>WACC!$S$16</f>
        <v>8.1600000000000006E-2</v>
      </c>
      <c r="V15" s="16">
        <f t="shared" si="1"/>
        <v>482716.89933877956</v>
      </c>
      <c r="X15" s="17">
        <f>'O&amp;M'!$B$11</f>
        <v>56250</v>
      </c>
      <c r="Z15" s="17">
        <f>(ROUND(F15*'Depr and ADFIT'!$C$4/12,0))</f>
        <v>321104</v>
      </c>
      <c r="AA15" s="17"/>
      <c r="AB15" s="17">
        <f>F15*'Alloc. Factors and Property Tax'!$E$24*'Alloc. Factors and Property Tax'!$E$25*'Alloc. Factors and Property Tax'!$E$26/12</f>
        <v>2866.2285551405798</v>
      </c>
      <c r="AC15" s="17"/>
      <c r="AD15" s="267">
        <f>Repayment!$AB$81/180</f>
        <v>111439.8075347611</v>
      </c>
      <c r="AE15" s="17"/>
      <c r="AF15" s="17">
        <f t="shared" si="3"/>
        <v>974376.9354286812</v>
      </c>
      <c r="AH15" s="21">
        <f>'Alloc. Factors and Property Tax'!$C$18</f>
        <v>0.9604166666666667</v>
      </c>
      <c r="AJ15" s="19">
        <f t="shared" si="2"/>
        <v>935807.84840129595</v>
      </c>
    </row>
    <row r="16" spans="2:41" x14ac:dyDescent="0.2">
      <c r="B16" s="23" t="s">
        <v>18</v>
      </c>
      <c r="C16" s="16"/>
      <c r="D16" s="3">
        <v>2026</v>
      </c>
      <c r="E16" s="16"/>
      <c r="F16" s="226">
        <f>'Depr and ADFIT'!$C$1</f>
        <v>57798518.958269402</v>
      </c>
      <c r="G16" s="16"/>
      <c r="H16" s="14">
        <f>'Depr and ADFIT'!C14</f>
        <v>-2568832</v>
      </c>
      <c r="J16" s="227">
        <f>'Depr and ADFIT'!J14</f>
        <v>236012</v>
      </c>
      <c r="L16" s="260">
        <f>'Depr and ADFIT'!$N$1</f>
        <v>20059165.356256999</v>
      </c>
      <c r="M16" s="261"/>
      <c r="N16" s="259">
        <f>'Depr and ADFIT'!N14</f>
        <v>-891520</v>
      </c>
      <c r="O16" s="261"/>
      <c r="P16" s="262">
        <f>'Depr and ADFIT'!P14</f>
        <v>-4025206</v>
      </c>
      <c r="R16" s="198">
        <f t="shared" si="0"/>
        <v>70608138.314526409</v>
      </c>
      <c r="T16" s="20">
        <f>WACC!$S$16</f>
        <v>8.1600000000000006E-2</v>
      </c>
      <c r="V16" s="16">
        <f t="shared" si="1"/>
        <v>480135.34053877956</v>
      </c>
      <c r="X16" s="17">
        <f>'O&amp;M'!$B$11</f>
        <v>56250</v>
      </c>
      <c r="Z16" s="17">
        <f>(ROUND(F16*'Depr and ADFIT'!$C$4/12,0))</f>
        <v>321104</v>
      </c>
      <c r="AA16" s="17"/>
      <c r="AB16" s="17">
        <f>F16*'Alloc. Factors and Property Tax'!$E$24*'Alloc. Factors and Property Tax'!$E$25*'Alloc. Factors and Property Tax'!$E$26/12</f>
        <v>2866.2285551405798</v>
      </c>
      <c r="AC16" s="17"/>
      <c r="AD16" s="267">
        <f>Repayment!$AB$81/180</f>
        <v>111439.8075347611</v>
      </c>
      <c r="AE16" s="17"/>
      <c r="AF16" s="17">
        <f t="shared" si="3"/>
        <v>971795.3766286812</v>
      </c>
      <c r="AH16" s="21">
        <f>'Alloc. Factors and Property Tax'!$C$18</f>
        <v>0.9604166666666667</v>
      </c>
      <c r="AJ16" s="19">
        <f t="shared" si="2"/>
        <v>933328.47630379593</v>
      </c>
    </row>
    <row r="17" spans="2:36" x14ac:dyDescent="0.2">
      <c r="B17" s="23" t="s">
        <v>19</v>
      </c>
      <c r="C17" s="16"/>
      <c r="D17" s="3">
        <v>2026</v>
      </c>
      <c r="E17" s="16"/>
      <c r="F17" s="226">
        <f>'Depr and ADFIT'!$C$1</f>
        <v>57798518.958269402</v>
      </c>
      <c r="G17" s="16"/>
      <c r="H17" s="14">
        <f>'Depr and ADFIT'!C15</f>
        <v>-2889936</v>
      </c>
      <c r="J17" s="227">
        <f>'Depr and ADFIT'!J15</f>
        <v>265514</v>
      </c>
      <c r="L17" s="260">
        <f>'Depr and ADFIT'!$N$1</f>
        <v>20059165.356256999</v>
      </c>
      <c r="M17" s="261"/>
      <c r="N17" s="259">
        <f>'Depr and ADFIT'!N15</f>
        <v>-1002960</v>
      </c>
      <c r="O17" s="261"/>
      <c r="P17" s="262">
        <f>'Depr and ADFIT'!P15</f>
        <v>-4001803</v>
      </c>
      <c r="R17" s="198">
        <f t="shared" si="0"/>
        <v>70228499.314526409</v>
      </c>
      <c r="T17" s="20">
        <f>WACC!$S$16</f>
        <v>8.1600000000000006E-2</v>
      </c>
      <c r="V17" s="16">
        <f t="shared" si="1"/>
        <v>477553.79533877963</v>
      </c>
      <c r="X17" s="17">
        <f>'O&amp;M'!$B$11</f>
        <v>56250</v>
      </c>
      <c r="Z17" s="17">
        <f>(ROUND(F17*'Depr and ADFIT'!$C$4/12,0))</f>
        <v>321104</v>
      </c>
      <c r="AA17" s="17"/>
      <c r="AB17" s="17">
        <f>F17*'Alloc. Factors and Property Tax'!$E$24*'Alloc. Factors and Property Tax'!$E$25*'Alloc. Factors and Property Tax'!$E$26/12</f>
        <v>2866.2285551405798</v>
      </c>
      <c r="AC17" s="17"/>
      <c r="AD17" s="267">
        <f>Repayment!$AB$81/180</f>
        <v>111439.8075347611</v>
      </c>
      <c r="AE17" s="17"/>
      <c r="AF17" s="17">
        <f t="shared" si="3"/>
        <v>969213.83142868138</v>
      </c>
      <c r="AH17" s="21">
        <f>'Alloc. Factors and Property Tax'!$C$18</f>
        <v>0.9604166666666667</v>
      </c>
      <c r="AJ17" s="19">
        <f t="shared" si="2"/>
        <v>930849.11726796278</v>
      </c>
    </row>
    <row r="18" spans="2:36" x14ac:dyDescent="0.2">
      <c r="B18" s="23" t="s">
        <v>8</v>
      </c>
      <c r="C18" s="16"/>
      <c r="D18" s="3">
        <v>2026</v>
      </c>
      <c r="E18" s="16"/>
      <c r="F18" s="226">
        <f>'Depr and ADFIT'!$C$1</f>
        <v>57798518.958269402</v>
      </c>
      <c r="G18" s="16"/>
      <c r="H18" s="14">
        <f>'Depr and ADFIT'!C16</f>
        <v>-3211040</v>
      </c>
      <c r="J18" s="227">
        <f>'Depr and ADFIT'!J16</f>
        <v>295016</v>
      </c>
      <c r="L18" s="260">
        <f>'Depr and ADFIT'!$N$1</f>
        <v>20059165.356256999</v>
      </c>
      <c r="M18" s="261"/>
      <c r="N18" s="259">
        <f>'Depr and ADFIT'!N16</f>
        <v>-1114400</v>
      </c>
      <c r="O18" s="261"/>
      <c r="P18" s="262">
        <f>'Depr and ADFIT'!P16</f>
        <v>-3978401</v>
      </c>
      <c r="R18" s="198">
        <f t="shared" si="0"/>
        <v>69848859.314526409</v>
      </c>
      <c r="T18" s="20">
        <f>WACC!$S$16</f>
        <v>8.1600000000000006E-2</v>
      </c>
      <c r="V18" s="16">
        <f t="shared" si="1"/>
        <v>474972.2433387796</v>
      </c>
      <c r="X18" s="17">
        <f>'O&amp;M'!$B$11</f>
        <v>56250</v>
      </c>
      <c r="Z18" s="17">
        <f>(ROUND(F18*'Depr and ADFIT'!$C$4/12,0))</f>
        <v>321104</v>
      </c>
      <c r="AA18" s="17"/>
      <c r="AB18" s="17">
        <f>F18*'Alloc. Factors and Property Tax'!$E$24*'Alloc. Factors and Property Tax'!$E$25*'Alloc. Factors and Property Tax'!$E$26/12</f>
        <v>2866.2285551405798</v>
      </c>
      <c r="AC18" s="17"/>
      <c r="AD18" s="267">
        <f>Repayment!$AB$81/180</f>
        <v>111439.8075347611</v>
      </c>
      <c r="AE18" s="17"/>
      <c r="AF18" s="17">
        <f t="shared" si="3"/>
        <v>966632.27942868124</v>
      </c>
      <c r="AH18" s="21">
        <f>'Alloc. Factors and Property Tax'!$C$18</f>
        <v>0.9604166666666667</v>
      </c>
      <c r="AJ18" s="19">
        <f t="shared" si="2"/>
        <v>928369.75170129596</v>
      </c>
    </row>
    <row r="19" spans="2:36" x14ac:dyDescent="0.2">
      <c r="B19" s="23" t="s">
        <v>9</v>
      </c>
      <c r="C19" s="16"/>
      <c r="D19" s="3">
        <v>2026</v>
      </c>
      <c r="E19" s="16"/>
      <c r="F19" s="226">
        <f>'Depr and ADFIT'!$C$1</f>
        <v>57798518.958269402</v>
      </c>
      <c r="G19" s="16"/>
      <c r="H19" s="14">
        <f>'Depr and ADFIT'!C17</f>
        <v>-3532144</v>
      </c>
      <c r="J19" s="227">
        <f>'Depr and ADFIT'!J17</f>
        <v>324517</v>
      </c>
      <c r="L19" s="260">
        <f>'Depr and ADFIT'!$N$1</f>
        <v>20059165.356256999</v>
      </c>
      <c r="M19" s="261"/>
      <c r="N19" s="259">
        <f>'Depr and ADFIT'!N17</f>
        <v>-1225840</v>
      </c>
      <c r="O19" s="261"/>
      <c r="P19" s="262">
        <f>'Depr and ADFIT'!P17</f>
        <v>-3954998</v>
      </c>
      <c r="R19" s="198">
        <f t="shared" si="0"/>
        <v>69469219.314526409</v>
      </c>
      <c r="T19" s="20">
        <f>WACC!$S$16</f>
        <v>8.1600000000000006E-2</v>
      </c>
      <c r="V19" s="16">
        <f t="shared" si="1"/>
        <v>472390.69133877964</v>
      </c>
      <c r="X19" s="17">
        <f>'O&amp;M'!$B$11</f>
        <v>56250</v>
      </c>
      <c r="Z19" s="17">
        <f>(ROUND(F19*'Depr and ADFIT'!$C$4/12,0))</f>
        <v>321104</v>
      </c>
      <c r="AA19" s="17"/>
      <c r="AB19" s="17">
        <f>F19*'Alloc. Factors and Property Tax'!$E$24*'Alloc. Factors and Property Tax'!$E$25*'Alloc. Factors and Property Tax'!$E$26/12</f>
        <v>2866.2285551405798</v>
      </c>
      <c r="AC19" s="17"/>
      <c r="AD19" s="267">
        <f>Repayment!$AB$81/180</f>
        <v>111439.8075347611</v>
      </c>
      <c r="AE19" s="17"/>
      <c r="AF19" s="17">
        <f t="shared" si="3"/>
        <v>964050.72742868133</v>
      </c>
      <c r="AH19" s="21">
        <f>'Alloc. Factors and Property Tax'!$C$18</f>
        <v>0.9604166666666667</v>
      </c>
      <c r="AJ19" s="19">
        <f t="shared" si="2"/>
        <v>925890.38613462937</v>
      </c>
    </row>
    <row r="20" spans="2:36" x14ac:dyDescent="0.2">
      <c r="B20" s="23" t="s">
        <v>10</v>
      </c>
      <c r="C20" s="16"/>
      <c r="D20" s="3">
        <v>2026</v>
      </c>
      <c r="E20" s="16"/>
      <c r="F20" s="226">
        <f>'Depr and ADFIT'!$C$1</f>
        <v>57798518.958269402</v>
      </c>
      <c r="G20" s="16"/>
      <c r="H20" s="14">
        <f>'Depr and ADFIT'!C18</f>
        <v>-3853248</v>
      </c>
      <c r="J20" s="227">
        <f>'Depr and ADFIT'!J18</f>
        <v>354019</v>
      </c>
      <c r="L20" s="260">
        <f>'Depr and ADFIT'!$N$1</f>
        <v>20059165.356256999</v>
      </c>
      <c r="M20" s="261"/>
      <c r="N20" s="259">
        <f>'Depr and ADFIT'!N18</f>
        <v>-1337280</v>
      </c>
      <c r="O20" s="261"/>
      <c r="P20" s="262">
        <f>'Depr and ADFIT'!P18</f>
        <v>-3931596</v>
      </c>
      <c r="R20" s="198">
        <f t="shared" si="0"/>
        <v>69089579.314526409</v>
      </c>
      <c r="T20" s="20">
        <f>WACC!$S$16</f>
        <v>8.1600000000000006E-2</v>
      </c>
      <c r="V20" s="16">
        <f t="shared" si="1"/>
        <v>469809.13933877967</v>
      </c>
      <c r="X20" s="17">
        <f>'O&amp;M'!$B$11</f>
        <v>56250</v>
      </c>
      <c r="Z20" s="17">
        <f>(ROUND(F20*'Depr and ADFIT'!$C$4/12,0))</f>
        <v>321104</v>
      </c>
      <c r="AA20" s="17"/>
      <c r="AB20" s="17">
        <f>F20*'Alloc. Factors and Property Tax'!$E$24*'Alloc. Factors and Property Tax'!$E$25*'Alloc. Factors and Property Tax'!$E$26/12</f>
        <v>2866.2285551405798</v>
      </c>
      <c r="AC20" s="17"/>
      <c r="AD20" s="267">
        <f>Repayment!$AB$81/180</f>
        <v>111439.8075347611</v>
      </c>
      <c r="AE20" s="17"/>
      <c r="AF20" s="17">
        <f t="shared" si="3"/>
        <v>961469.17542868142</v>
      </c>
      <c r="AH20" s="21">
        <f>'Alloc. Factors and Property Tax'!$C$18</f>
        <v>0.9604166666666667</v>
      </c>
      <c r="AJ20" s="19">
        <f t="shared" si="2"/>
        <v>923411.02056796278</v>
      </c>
    </row>
    <row r="21" spans="2:36" x14ac:dyDescent="0.2">
      <c r="B21" s="23" t="s">
        <v>11</v>
      </c>
      <c r="C21" s="16"/>
      <c r="D21" s="3">
        <v>2027</v>
      </c>
      <c r="E21" s="16"/>
      <c r="F21" s="226">
        <f>'Depr and ADFIT'!$C$1</f>
        <v>57798518.958269402</v>
      </c>
      <c r="G21" s="16"/>
      <c r="H21" s="14">
        <f>'Depr and ADFIT'!C19</f>
        <v>-4174352</v>
      </c>
      <c r="J21" s="227">
        <f>'Depr and ADFIT'!J19</f>
        <v>348432</v>
      </c>
      <c r="L21" s="260">
        <f>'Depr and ADFIT'!$N$1</f>
        <v>20059165.356256999</v>
      </c>
      <c r="M21" s="261"/>
      <c r="N21" s="259">
        <f>'Depr and ADFIT'!N19</f>
        <v>-1448720</v>
      </c>
      <c r="O21" s="261"/>
      <c r="P21" s="262">
        <f>'Depr and ADFIT'!P19</f>
        <v>-3908194</v>
      </c>
      <c r="R21" s="198">
        <f t="shared" si="0"/>
        <v>68674850.314526409</v>
      </c>
      <c r="T21" s="20">
        <f>WACC!$S$16</f>
        <v>8.1600000000000006E-2</v>
      </c>
      <c r="V21" s="16">
        <f t="shared" si="1"/>
        <v>466988.98213877965</v>
      </c>
      <c r="X21" s="17">
        <f>'O&amp;M'!$C$11</f>
        <v>59375</v>
      </c>
      <c r="Z21" s="17">
        <f>(ROUND(F21*'Depr and ADFIT'!$C$4/12,0))</f>
        <v>321104</v>
      </c>
      <c r="AA21" s="17"/>
      <c r="AB21" s="17">
        <f>F21*'Alloc. Factors and Property Tax'!$E$24*'Alloc. Factors and Property Tax'!$E$25*'Alloc. Factors and Property Tax'!$E$26/12</f>
        <v>2866.2285551405798</v>
      </c>
      <c r="AC21" s="17"/>
      <c r="AD21" s="267">
        <f>Repayment!$AB$81/180</f>
        <v>111439.8075347611</v>
      </c>
      <c r="AE21" s="17"/>
      <c r="AF21" s="17">
        <f t="shared" si="3"/>
        <v>961774.01822868141</v>
      </c>
      <c r="AH21" s="21">
        <f>'Alloc. Factors and Property Tax'!$C$18</f>
        <v>0.9604166666666667</v>
      </c>
      <c r="AJ21" s="19">
        <f t="shared" si="2"/>
        <v>923703.79667379614</v>
      </c>
    </row>
    <row r="22" spans="2:36" x14ac:dyDescent="0.2">
      <c r="B22" s="23" t="s">
        <v>12</v>
      </c>
      <c r="C22" s="16"/>
      <c r="D22" s="3">
        <v>2027</v>
      </c>
      <c r="E22" s="16"/>
      <c r="F22" s="226">
        <f>'Depr and ADFIT'!$C$1</f>
        <v>57798518.958269402</v>
      </c>
      <c r="G22" s="16"/>
      <c r="H22" s="14">
        <f>'Depr and ADFIT'!C20</f>
        <v>-4495456</v>
      </c>
      <c r="J22" s="227">
        <f>'Depr and ADFIT'!J20</f>
        <v>342846</v>
      </c>
      <c r="L22" s="260">
        <f>'Depr and ADFIT'!$N$1</f>
        <v>20059165.356256999</v>
      </c>
      <c r="M22" s="261"/>
      <c r="N22" s="259">
        <f>'Depr and ADFIT'!N20</f>
        <v>-1560160</v>
      </c>
      <c r="O22" s="261"/>
      <c r="P22" s="262">
        <f>'Depr and ADFIT'!P20</f>
        <v>-3884791</v>
      </c>
      <c r="R22" s="198">
        <f t="shared" si="0"/>
        <v>68260123.314526409</v>
      </c>
      <c r="T22" s="20">
        <f>WACC!$S$16</f>
        <v>8.1600000000000006E-2</v>
      </c>
      <c r="V22" s="16">
        <f t="shared" si="1"/>
        <v>464168.83853877964</v>
      </c>
      <c r="X22" s="17">
        <f>'O&amp;M'!$C$11</f>
        <v>59375</v>
      </c>
      <c r="Z22" s="17">
        <f>(ROUND(F22*'Depr and ADFIT'!$C$4/12,0))</f>
        <v>321104</v>
      </c>
      <c r="AA22" s="17"/>
      <c r="AB22" s="17">
        <f>F22*'Alloc. Factors and Property Tax'!$E$24*'Alloc. Factors and Property Tax'!$E$25*'Alloc. Factors and Property Tax'!$E$26/12</f>
        <v>2866.2285551405798</v>
      </c>
      <c r="AC22" s="17"/>
      <c r="AD22" s="267">
        <f>Repayment!$AB$81/180</f>
        <v>111439.8075347611</v>
      </c>
      <c r="AE22" s="17"/>
      <c r="AF22" s="17">
        <f t="shared" si="3"/>
        <v>958953.87462868134</v>
      </c>
      <c r="AH22" s="21">
        <f>'Alloc. Factors and Property Tax'!$C$18</f>
        <v>0.9604166666666667</v>
      </c>
      <c r="AJ22" s="19">
        <f t="shared" si="2"/>
        <v>920995.28375796275</v>
      </c>
    </row>
    <row r="23" spans="2:36" x14ac:dyDescent="0.2">
      <c r="B23" s="23" t="s">
        <v>13</v>
      </c>
      <c r="C23" s="16"/>
      <c r="D23" s="3">
        <v>2027</v>
      </c>
      <c r="E23" s="16"/>
      <c r="F23" s="226">
        <f>'Depr and ADFIT'!$C$1</f>
        <v>57798518.958269402</v>
      </c>
      <c r="G23" s="16"/>
      <c r="H23" s="14">
        <f>'Depr and ADFIT'!C21</f>
        <v>-4816560</v>
      </c>
      <c r="J23" s="227">
        <f>'Depr and ADFIT'!J21</f>
        <v>337259</v>
      </c>
      <c r="L23" s="260">
        <f>'Depr and ADFIT'!$N$1</f>
        <v>20059165.356256999</v>
      </c>
      <c r="M23" s="261"/>
      <c r="N23" s="259">
        <f>'Depr and ADFIT'!N21</f>
        <v>-1671600</v>
      </c>
      <c r="O23" s="261"/>
      <c r="P23" s="262">
        <f>'Depr and ADFIT'!P21</f>
        <v>-3861389</v>
      </c>
      <c r="R23" s="198">
        <f t="shared" si="0"/>
        <v>67845394.314526409</v>
      </c>
      <c r="T23" s="20">
        <f>WACC!$S$16</f>
        <v>8.1600000000000006E-2</v>
      </c>
      <c r="V23" s="16">
        <f t="shared" si="1"/>
        <v>461348.68133877963</v>
      </c>
      <c r="X23" s="17">
        <f>'O&amp;M'!$C$11</f>
        <v>59375</v>
      </c>
      <c r="Z23" s="17">
        <f>(ROUND(F23*'Depr and ADFIT'!$C$4/12,0))</f>
        <v>321104</v>
      </c>
      <c r="AA23" s="17"/>
      <c r="AB23" s="17">
        <f>F23*'Alloc. Factors and Property Tax'!$E$24*'Alloc. Factors and Property Tax'!$E$25*'Alloc. Factors and Property Tax'!$E$26/12</f>
        <v>2866.2285551405798</v>
      </c>
      <c r="AC23" s="17"/>
      <c r="AD23" s="267">
        <f>Repayment!$AB$81/180</f>
        <v>111439.8075347611</v>
      </c>
      <c r="AE23" s="17"/>
      <c r="AF23" s="17">
        <f t="shared" si="3"/>
        <v>956133.71742868132</v>
      </c>
      <c r="AH23" s="21">
        <f>'Alloc. Factors and Property Tax'!$C$18</f>
        <v>0.9604166666666667</v>
      </c>
      <c r="AJ23" s="19">
        <f t="shared" si="2"/>
        <v>918286.75778046274</v>
      </c>
    </row>
    <row r="24" spans="2:36" x14ac:dyDescent="0.2">
      <c r="B24" s="23" t="s">
        <v>14</v>
      </c>
      <c r="C24" s="16"/>
      <c r="D24" s="3">
        <v>2027</v>
      </c>
      <c r="E24" s="16"/>
      <c r="F24" s="226">
        <f>'Depr and ADFIT'!$C$1</f>
        <v>57798518.958269402</v>
      </c>
      <c r="G24" s="16"/>
      <c r="H24" s="14">
        <f>'Depr and ADFIT'!C22</f>
        <v>-5137664</v>
      </c>
      <c r="J24" s="227">
        <f>'Depr and ADFIT'!J22</f>
        <v>331673</v>
      </c>
      <c r="L24" s="260">
        <f>'Depr and ADFIT'!$N$1</f>
        <v>20059165.356256999</v>
      </c>
      <c r="M24" s="261"/>
      <c r="N24" s="259">
        <f>'Depr and ADFIT'!N22</f>
        <v>-1783040</v>
      </c>
      <c r="O24" s="261"/>
      <c r="P24" s="262">
        <f>'Depr and ADFIT'!P22</f>
        <v>-3837986</v>
      </c>
      <c r="R24" s="198">
        <f t="shared" si="0"/>
        <v>67430667.314526409</v>
      </c>
      <c r="T24" s="20">
        <f>WACC!$S$16</f>
        <v>8.1600000000000006E-2</v>
      </c>
      <c r="V24" s="16">
        <f t="shared" si="1"/>
        <v>458528.53773877962</v>
      </c>
      <c r="X24" s="17">
        <f>'O&amp;M'!$C$11</f>
        <v>59375</v>
      </c>
      <c r="Z24" s="17">
        <f>(ROUND(F24*'Depr and ADFIT'!$C$4/12,0))</f>
        <v>321104</v>
      </c>
      <c r="AA24" s="17"/>
      <c r="AB24" s="17">
        <f>F24*'Alloc. Factors and Property Tax'!$E$24*'Alloc. Factors and Property Tax'!$E$25*'Alloc. Factors and Property Tax'!$E$26/12</f>
        <v>2866.2285551405798</v>
      </c>
      <c r="AC24" s="17"/>
      <c r="AD24" s="267">
        <f>Repayment!$AB$81/180</f>
        <v>111439.8075347611</v>
      </c>
      <c r="AE24" s="17"/>
      <c r="AF24" s="17">
        <f t="shared" si="3"/>
        <v>953313.57382868126</v>
      </c>
      <c r="AH24" s="21">
        <f>'Alloc. Factors and Property Tax'!$C$18</f>
        <v>0.9604166666666667</v>
      </c>
      <c r="AJ24" s="19">
        <f t="shared" si="2"/>
        <v>915578.24486462935</v>
      </c>
    </row>
    <row r="25" spans="2:36" x14ac:dyDescent="0.2">
      <c r="B25" s="23" t="s">
        <v>15</v>
      </c>
      <c r="C25" s="16"/>
      <c r="D25" s="3">
        <v>2027</v>
      </c>
      <c r="E25" s="16"/>
      <c r="F25" s="226">
        <f>'Depr and ADFIT'!$C$1</f>
        <v>57798518.958269402</v>
      </c>
      <c r="G25" s="16"/>
      <c r="H25" s="14">
        <f>'Depr and ADFIT'!C23</f>
        <v>-5458768</v>
      </c>
      <c r="J25" s="227">
        <f>'Depr and ADFIT'!J23</f>
        <v>326086</v>
      </c>
      <c r="L25" s="260">
        <f>'Depr and ADFIT'!$N$1</f>
        <v>20059165.356256999</v>
      </c>
      <c r="M25" s="261"/>
      <c r="N25" s="259">
        <f>'Depr and ADFIT'!N23</f>
        <v>-1894480</v>
      </c>
      <c r="O25" s="261"/>
      <c r="P25" s="262">
        <f>'Depr and ADFIT'!P23</f>
        <v>-3814584</v>
      </c>
      <c r="R25" s="198">
        <f t="shared" si="0"/>
        <v>67015938.314526409</v>
      </c>
      <c r="T25" s="20">
        <f>WACC!$S$16</f>
        <v>8.1600000000000006E-2</v>
      </c>
      <c r="V25" s="16">
        <f t="shared" si="1"/>
        <v>455708.3805387796</v>
      </c>
      <c r="X25" s="17">
        <f>'O&amp;M'!$C$11</f>
        <v>59375</v>
      </c>
      <c r="Z25" s="17">
        <f>(ROUND(F25*'Depr and ADFIT'!$C$4/12,0))</f>
        <v>321104</v>
      </c>
      <c r="AA25" s="17"/>
      <c r="AB25" s="17">
        <f>F25*'Alloc. Factors and Property Tax'!$E$24*'Alloc. Factors and Property Tax'!$E$25*'Alloc. Factors and Property Tax'!$E$26/12</f>
        <v>2866.2285551405798</v>
      </c>
      <c r="AC25" s="17"/>
      <c r="AD25" s="267">
        <f>Repayment!$AB$81/180</f>
        <v>111439.8075347611</v>
      </c>
      <c r="AE25" s="17"/>
      <c r="AF25" s="17">
        <f t="shared" si="3"/>
        <v>950493.41662868124</v>
      </c>
      <c r="AH25" s="21">
        <f>'Alloc. Factors and Property Tax'!$C$18</f>
        <v>0.9604166666666667</v>
      </c>
      <c r="AJ25" s="19">
        <f t="shared" si="2"/>
        <v>912869.71888712933</v>
      </c>
    </row>
    <row r="26" spans="2:36" x14ac:dyDescent="0.2">
      <c r="B26" s="23" t="s">
        <v>16</v>
      </c>
      <c r="C26" s="16"/>
      <c r="D26" s="3">
        <v>2027</v>
      </c>
      <c r="E26" s="16"/>
      <c r="F26" s="226">
        <f>'Depr and ADFIT'!$C$1</f>
        <v>57798518.958269402</v>
      </c>
      <c r="G26" s="16"/>
      <c r="H26" s="14">
        <f>'Depr and ADFIT'!C24</f>
        <v>-5779872</v>
      </c>
      <c r="J26" s="227">
        <f>'Depr and ADFIT'!J24</f>
        <v>320500</v>
      </c>
      <c r="L26" s="260">
        <f>'Depr and ADFIT'!$N$1</f>
        <v>20059165.356256999</v>
      </c>
      <c r="M26" s="261"/>
      <c r="N26" s="259">
        <f>'Depr and ADFIT'!N24</f>
        <v>-2005920</v>
      </c>
      <c r="O26" s="261"/>
      <c r="P26" s="262">
        <f>'Depr and ADFIT'!P24</f>
        <v>-3791182</v>
      </c>
      <c r="R26" s="198">
        <f t="shared" si="0"/>
        <v>66601210.314526409</v>
      </c>
      <c r="T26" s="20">
        <f>WACC!$S$16</f>
        <v>8.1600000000000006E-2</v>
      </c>
      <c r="V26" s="16">
        <f t="shared" si="1"/>
        <v>452888.23013877962</v>
      </c>
      <c r="X26" s="17">
        <f>'O&amp;M'!$C$11</f>
        <v>59375</v>
      </c>
      <c r="Z26" s="17">
        <f>(ROUND(F26*'Depr and ADFIT'!$C$4/12,0))</f>
        <v>321104</v>
      </c>
      <c r="AA26" s="17"/>
      <c r="AB26" s="17">
        <f>F26*'Alloc. Factors and Property Tax'!$E$24*'Alloc. Factors and Property Tax'!$E$25*'Alloc. Factors and Property Tax'!$E$26/12</f>
        <v>2866.2285551405798</v>
      </c>
      <c r="AC26" s="17"/>
      <c r="AD26" s="267">
        <f>Repayment!$AB$81/180</f>
        <v>111439.8075347611</v>
      </c>
      <c r="AE26" s="17"/>
      <c r="AF26" s="17">
        <f t="shared" si="3"/>
        <v>947673.26622868131</v>
      </c>
      <c r="AH26" s="21">
        <f>'Alloc. Factors and Property Tax'!$C$18</f>
        <v>0.9604166666666667</v>
      </c>
      <c r="AJ26" s="19">
        <f t="shared" si="2"/>
        <v>910161.19944046275</v>
      </c>
    </row>
    <row r="27" spans="2:36" x14ac:dyDescent="0.2">
      <c r="B27" s="23" t="s">
        <v>17</v>
      </c>
      <c r="C27" s="16"/>
      <c r="D27" s="3">
        <v>2027</v>
      </c>
      <c r="E27" s="16"/>
      <c r="F27" s="226">
        <f>'Depr and ADFIT'!$C$1</f>
        <v>57798518.958269402</v>
      </c>
      <c r="G27" s="16"/>
      <c r="H27" s="14">
        <f>'Depr and ADFIT'!C25</f>
        <v>-6100976</v>
      </c>
      <c r="J27" s="227">
        <f>'Depr and ADFIT'!J25</f>
        <v>314913</v>
      </c>
      <c r="L27" s="260">
        <f>'Depr and ADFIT'!$N$1</f>
        <v>20059165.356256999</v>
      </c>
      <c r="M27" s="261"/>
      <c r="N27" s="259">
        <f>'Depr and ADFIT'!N25</f>
        <v>-2117360</v>
      </c>
      <c r="O27" s="261"/>
      <c r="P27" s="262">
        <f>'Depr and ADFIT'!P25</f>
        <v>-3767779</v>
      </c>
      <c r="R27" s="198">
        <f t="shared" si="0"/>
        <v>66186482.314526409</v>
      </c>
      <c r="T27" s="20">
        <f>WACC!$S$16</f>
        <v>8.1600000000000006E-2</v>
      </c>
      <c r="V27" s="16">
        <f t="shared" si="1"/>
        <v>450068.07973877963</v>
      </c>
      <c r="X27" s="17">
        <f>'O&amp;M'!$C$11</f>
        <v>59375</v>
      </c>
      <c r="Z27" s="17">
        <f>(ROUND(F27*'Depr and ADFIT'!$C$4/12,0))</f>
        <v>321104</v>
      </c>
      <c r="AA27" s="17"/>
      <c r="AB27" s="17">
        <f>F27*'Alloc. Factors and Property Tax'!$E$24*'Alloc. Factors and Property Tax'!$E$25*'Alloc. Factors and Property Tax'!$E$26/12</f>
        <v>2866.2285551405798</v>
      </c>
      <c r="AC27" s="17"/>
      <c r="AD27" s="267">
        <f>Repayment!$AB$81/180</f>
        <v>111439.8075347611</v>
      </c>
      <c r="AE27" s="17"/>
      <c r="AF27" s="17">
        <f t="shared" si="3"/>
        <v>944853.11582868139</v>
      </c>
      <c r="AH27" s="21">
        <f>'Alloc. Factors and Property Tax'!$C$18</f>
        <v>0.9604166666666667</v>
      </c>
      <c r="AJ27" s="19">
        <f t="shared" si="2"/>
        <v>907452.67999379616</v>
      </c>
    </row>
    <row r="28" spans="2:36" x14ac:dyDescent="0.2">
      <c r="B28" s="23" t="s">
        <v>18</v>
      </c>
      <c r="C28" s="16"/>
      <c r="D28" s="3">
        <v>2027</v>
      </c>
      <c r="E28" s="16"/>
      <c r="F28" s="226">
        <f>'Depr and ADFIT'!$C$1</f>
        <v>57798518.958269402</v>
      </c>
      <c r="G28" s="16"/>
      <c r="H28" s="14">
        <f>'Depr and ADFIT'!C26</f>
        <v>-6422080</v>
      </c>
      <c r="J28" s="227">
        <f>'Depr and ADFIT'!J26</f>
        <v>309327</v>
      </c>
      <c r="L28" s="260">
        <f>'Depr and ADFIT'!$N$1</f>
        <v>20059165.356256999</v>
      </c>
      <c r="M28" s="261"/>
      <c r="N28" s="259">
        <f>'Depr and ADFIT'!N26</f>
        <v>-2228800</v>
      </c>
      <c r="O28" s="261"/>
      <c r="P28" s="262">
        <f>'Depr and ADFIT'!P26</f>
        <v>-3744377</v>
      </c>
      <c r="R28" s="198">
        <f t="shared" si="0"/>
        <v>65771754.314526409</v>
      </c>
      <c r="T28" s="20">
        <f>WACC!$S$16</f>
        <v>8.1600000000000006E-2</v>
      </c>
      <c r="V28" s="16">
        <f t="shared" si="1"/>
        <v>447247.92933877959</v>
      </c>
      <c r="X28" s="17">
        <f>'O&amp;M'!$C$11</f>
        <v>59375</v>
      </c>
      <c r="Z28" s="17">
        <f>(ROUND(F28*'Depr and ADFIT'!$C$4/12,0))</f>
        <v>321104</v>
      </c>
      <c r="AA28" s="17"/>
      <c r="AB28" s="17">
        <f>F28*'Alloc. Factors and Property Tax'!$E$24*'Alloc. Factors and Property Tax'!$E$25*'Alloc. Factors and Property Tax'!$E$26/12</f>
        <v>2866.2285551405798</v>
      </c>
      <c r="AC28" s="17"/>
      <c r="AD28" s="267">
        <f>Repayment!$AB$81/180</f>
        <v>111439.8075347611</v>
      </c>
      <c r="AE28" s="17"/>
      <c r="AF28" s="17">
        <f t="shared" si="3"/>
        <v>942032.96542868123</v>
      </c>
      <c r="AH28" s="21">
        <f>'Alloc. Factors and Property Tax'!$C$18</f>
        <v>0.9604166666666667</v>
      </c>
      <c r="AJ28" s="19">
        <f t="shared" si="2"/>
        <v>904744.16054712934</v>
      </c>
    </row>
    <row r="29" spans="2:36" x14ac:dyDescent="0.2">
      <c r="B29" s="23" t="s">
        <v>19</v>
      </c>
      <c r="C29" s="16"/>
      <c r="D29" s="3">
        <v>2027</v>
      </c>
      <c r="E29" s="16"/>
      <c r="F29" s="226">
        <f>'Depr and ADFIT'!$C$1</f>
        <v>57798518.958269402</v>
      </c>
      <c r="G29" s="16"/>
      <c r="H29" s="14">
        <f>'Depr and ADFIT'!C27</f>
        <v>-6743184</v>
      </c>
      <c r="J29" s="227">
        <f>'Depr and ADFIT'!J27</f>
        <v>303740</v>
      </c>
      <c r="L29" s="260">
        <f>'Depr and ADFIT'!$N$1</f>
        <v>20059165.356256999</v>
      </c>
      <c r="M29" s="261"/>
      <c r="N29" s="259">
        <f>'Depr and ADFIT'!N27</f>
        <v>-2340240</v>
      </c>
      <c r="O29" s="261"/>
      <c r="P29" s="262">
        <f>'Depr and ADFIT'!P27</f>
        <v>-3720974</v>
      </c>
      <c r="R29" s="198">
        <f t="shared" si="0"/>
        <v>65357026.314526409</v>
      </c>
      <c r="T29" s="20">
        <f>WACC!$S$16</f>
        <v>8.1600000000000006E-2</v>
      </c>
      <c r="V29" s="16">
        <f t="shared" si="1"/>
        <v>444427.77893877961</v>
      </c>
      <c r="X29" s="17">
        <f>'O&amp;M'!$C$11</f>
        <v>59375</v>
      </c>
      <c r="Z29" s="17">
        <f>(ROUND(F29*'Depr and ADFIT'!$C$4/12,0))</f>
        <v>321104</v>
      </c>
      <c r="AA29" s="17"/>
      <c r="AB29" s="17">
        <f>F29*'Alloc. Factors and Property Tax'!$E$24*'Alloc. Factors and Property Tax'!$E$25*'Alloc. Factors and Property Tax'!$E$26/12</f>
        <v>2866.2285551405798</v>
      </c>
      <c r="AC29" s="17"/>
      <c r="AD29" s="267">
        <f>Repayment!$AB$81/180</f>
        <v>111439.8075347611</v>
      </c>
      <c r="AE29" s="17"/>
      <c r="AF29" s="17">
        <f t="shared" si="3"/>
        <v>939212.8150286813</v>
      </c>
      <c r="AH29" s="21">
        <f>'Alloc. Factors and Property Tax'!$C$18</f>
        <v>0.9604166666666667</v>
      </c>
      <c r="AJ29" s="19">
        <f t="shared" si="2"/>
        <v>902035.64110046264</v>
      </c>
    </row>
    <row r="30" spans="2:36" x14ac:dyDescent="0.2">
      <c r="B30" s="23" t="s">
        <v>8</v>
      </c>
      <c r="C30" s="16"/>
      <c r="D30" s="3">
        <v>2027</v>
      </c>
      <c r="E30" s="16"/>
      <c r="F30" s="226">
        <f>'Depr and ADFIT'!$C$1</f>
        <v>57798518.958269402</v>
      </c>
      <c r="G30" s="16"/>
      <c r="H30" s="14">
        <f>'Depr and ADFIT'!C28</f>
        <v>-7064288</v>
      </c>
      <c r="J30" s="227">
        <f>'Depr and ADFIT'!J28</f>
        <v>298154</v>
      </c>
      <c r="L30" s="260">
        <f>'Depr and ADFIT'!$N$1</f>
        <v>20059165.356256999</v>
      </c>
      <c r="M30" s="261"/>
      <c r="N30" s="259">
        <f>'Depr and ADFIT'!N28</f>
        <v>-2451680</v>
      </c>
      <c r="O30" s="261"/>
      <c r="P30" s="262">
        <f>'Depr and ADFIT'!P28</f>
        <v>-3697572</v>
      </c>
      <c r="R30" s="198">
        <f t="shared" si="0"/>
        <v>64942298.314526409</v>
      </c>
      <c r="T30" s="20">
        <f>WACC!$S$16</f>
        <v>8.1600000000000006E-2</v>
      </c>
      <c r="V30" s="16">
        <f t="shared" si="1"/>
        <v>441607.62853877962</v>
      </c>
      <c r="X30" s="17">
        <f>'O&amp;M'!$C$11</f>
        <v>59375</v>
      </c>
      <c r="Z30" s="17">
        <f>(ROUND(F30*'Depr and ADFIT'!$C$4/12,0))</f>
        <v>321104</v>
      </c>
      <c r="AA30" s="17"/>
      <c r="AB30" s="17">
        <f>F30*'Alloc. Factors and Property Tax'!$E$24*'Alloc. Factors and Property Tax'!$E$25*'Alloc. Factors and Property Tax'!$E$26/12</f>
        <v>2866.2285551405798</v>
      </c>
      <c r="AC30" s="17"/>
      <c r="AD30" s="267">
        <f>Repayment!$AB$81/180</f>
        <v>111439.8075347611</v>
      </c>
      <c r="AE30" s="17"/>
      <c r="AF30" s="17">
        <f t="shared" si="3"/>
        <v>936392.66462868138</v>
      </c>
      <c r="AH30" s="21">
        <f>'Alloc. Factors and Property Tax'!$C$18</f>
        <v>0.9604166666666667</v>
      </c>
      <c r="AJ30" s="19">
        <f t="shared" si="2"/>
        <v>899327.12165379606</v>
      </c>
    </row>
    <row r="31" spans="2:36" x14ac:dyDescent="0.2">
      <c r="B31" s="23" t="s">
        <v>9</v>
      </c>
      <c r="C31" s="16"/>
      <c r="D31" s="3">
        <v>2027</v>
      </c>
      <c r="E31" s="16"/>
      <c r="F31" s="226">
        <f>'Depr and ADFIT'!$C$1</f>
        <v>57798518.958269402</v>
      </c>
      <c r="G31" s="16"/>
      <c r="H31" s="14">
        <f>'Depr and ADFIT'!C29</f>
        <v>-7385392</v>
      </c>
      <c r="J31" s="227">
        <f>'Depr and ADFIT'!J29</f>
        <v>292568</v>
      </c>
      <c r="L31" s="260">
        <f>'Depr and ADFIT'!$N$1</f>
        <v>20059165.356256999</v>
      </c>
      <c r="M31" s="261"/>
      <c r="N31" s="259">
        <f>'Depr and ADFIT'!N29</f>
        <v>-2563120</v>
      </c>
      <c r="O31" s="261"/>
      <c r="P31" s="262">
        <f>'Depr and ADFIT'!P29</f>
        <v>-3674170</v>
      </c>
      <c r="R31" s="198">
        <f t="shared" si="0"/>
        <v>64527570.314526409</v>
      </c>
      <c r="T31" s="20">
        <f>WACC!$S$16</f>
        <v>8.1600000000000006E-2</v>
      </c>
      <c r="V31" s="16">
        <f t="shared" si="1"/>
        <v>438787.47813877958</v>
      </c>
      <c r="X31" s="17">
        <f>'O&amp;M'!$C$11</f>
        <v>59375</v>
      </c>
      <c r="Z31" s="17">
        <f>(ROUND(F31*'Depr and ADFIT'!$C$4/12,0))</f>
        <v>321104</v>
      </c>
      <c r="AA31" s="17"/>
      <c r="AB31" s="17">
        <f>F31*'Alloc. Factors and Property Tax'!$E$24*'Alloc. Factors and Property Tax'!$E$25*'Alloc. Factors and Property Tax'!$E$26/12</f>
        <v>2866.2285551405798</v>
      </c>
      <c r="AC31" s="17"/>
      <c r="AD31" s="267">
        <f>Repayment!$AB$81/180</f>
        <v>111439.8075347611</v>
      </c>
      <c r="AE31" s="17"/>
      <c r="AF31" s="17">
        <f t="shared" si="3"/>
        <v>933572.51422868122</v>
      </c>
      <c r="AH31" s="21">
        <f>'Alloc. Factors and Property Tax'!$C$18</f>
        <v>0.9604166666666667</v>
      </c>
      <c r="AJ31" s="19">
        <f t="shared" si="2"/>
        <v>896618.60220712924</v>
      </c>
    </row>
    <row r="32" spans="2:36" x14ac:dyDescent="0.2">
      <c r="B32" s="23" t="s">
        <v>10</v>
      </c>
      <c r="C32" s="16"/>
      <c r="D32" s="3">
        <v>2027</v>
      </c>
      <c r="E32" s="16"/>
      <c r="F32" s="226">
        <f>'Depr and ADFIT'!$C$1</f>
        <v>57798518.958269402</v>
      </c>
      <c r="G32" s="16"/>
      <c r="H32" s="14">
        <f>'Depr and ADFIT'!C30</f>
        <v>-7706496</v>
      </c>
      <c r="J32" s="227">
        <f>'Depr and ADFIT'!J30</f>
        <v>286981</v>
      </c>
      <c r="L32" s="260">
        <f>'Depr and ADFIT'!$N$1</f>
        <v>20059165.356256999</v>
      </c>
      <c r="M32" s="261"/>
      <c r="N32" s="259">
        <f>'Depr and ADFIT'!N30</f>
        <v>-2674560</v>
      </c>
      <c r="O32" s="261"/>
      <c r="P32" s="262">
        <f>'Depr and ADFIT'!P30</f>
        <v>-3650767</v>
      </c>
      <c r="R32" s="198">
        <f t="shared" si="0"/>
        <v>64112842.314526409</v>
      </c>
      <c r="T32" s="20">
        <f>WACC!$S$16</f>
        <v>8.1600000000000006E-2</v>
      </c>
      <c r="V32" s="16">
        <f t="shared" si="1"/>
        <v>435967.3277387796</v>
      </c>
      <c r="X32" s="17">
        <f>'O&amp;M'!$C$11</f>
        <v>59375</v>
      </c>
      <c r="Z32" s="17">
        <f>(ROUND(F32*'Depr and ADFIT'!$C$4/12,0))</f>
        <v>321104</v>
      </c>
      <c r="AA32" s="17"/>
      <c r="AB32" s="17">
        <f>F32*'Alloc. Factors and Property Tax'!$E$24*'Alloc. Factors and Property Tax'!$E$25*'Alloc. Factors and Property Tax'!$E$26/12</f>
        <v>2866.2285551405798</v>
      </c>
      <c r="AC32" s="17"/>
      <c r="AD32" s="267">
        <f>Repayment!$AB$81/180</f>
        <v>111439.8075347611</v>
      </c>
      <c r="AE32" s="17"/>
      <c r="AF32" s="17">
        <f t="shared" si="3"/>
        <v>930752.36382868129</v>
      </c>
      <c r="AH32" s="21">
        <f>'Alloc. Factors and Property Tax'!$C$18</f>
        <v>0.9604166666666667</v>
      </c>
      <c r="AJ32" s="19">
        <f t="shared" si="2"/>
        <v>893910.08276046265</v>
      </c>
    </row>
    <row r="33" spans="2:36" x14ac:dyDescent="0.2">
      <c r="B33" s="23" t="s">
        <v>11</v>
      </c>
      <c r="D33" s="3">
        <v>2028</v>
      </c>
      <c r="F33" s="226">
        <f>'Depr and ADFIT'!$C$1</f>
        <v>57798518.958269402</v>
      </c>
      <c r="H33" s="14">
        <f>'Depr and ADFIT'!C31</f>
        <v>-8027600</v>
      </c>
      <c r="J33" s="227">
        <f>'Depr and ADFIT'!J31</f>
        <v>286877</v>
      </c>
      <c r="L33" s="260">
        <f>'Depr and ADFIT'!$N$1</f>
        <v>20059165.356256999</v>
      </c>
      <c r="M33" s="261"/>
      <c r="N33" s="259">
        <f>'Depr and ADFIT'!N31</f>
        <v>-2786000</v>
      </c>
      <c r="O33" s="261"/>
      <c r="P33" s="262">
        <f>'Depr and ADFIT'!P31</f>
        <v>-3627365</v>
      </c>
      <c r="R33" s="198">
        <f t="shared" si="0"/>
        <v>63703596.314526409</v>
      </c>
      <c r="T33" s="20">
        <f>WACC!$S$16</f>
        <v>8.1600000000000006E-2</v>
      </c>
      <c r="V33" s="16">
        <f t="shared" si="1"/>
        <v>433184.45493877959</v>
      </c>
      <c r="X33" s="17">
        <f>'O&amp;M'!$D$11</f>
        <v>55208.333333333336</v>
      </c>
      <c r="Z33" s="17">
        <f>(ROUND(F33*'Depr and ADFIT'!$C$4/12,0))</f>
        <v>321104</v>
      </c>
      <c r="AB33" s="17">
        <f>F33*'Alloc. Factors and Property Tax'!$E$24*'Alloc. Factors and Property Tax'!$E$25*'Alloc. Factors and Property Tax'!$E$26/12</f>
        <v>2866.2285551405798</v>
      </c>
      <c r="AD33" s="267">
        <f>Repayment!$AB$81/180</f>
        <v>111439.8075347611</v>
      </c>
      <c r="AF33" s="17">
        <f t="shared" si="3"/>
        <v>923802.82436201454</v>
      </c>
      <c r="AH33" s="21">
        <f>'Alloc. Factors and Property Tax'!$C$18</f>
        <v>0.9604166666666667</v>
      </c>
      <c r="AJ33" s="19">
        <f t="shared" si="2"/>
        <v>887235.62923101813</v>
      </c>
    </row>
    <row r="34" spans="2:36" x14ac:dyDescent="0.2">
      <c r="B34" s="23" t="s">
        <v>12</v>
      </c>
      <c r="D34" s="3">
        <v>2028</v>
      </c>
      <c r="F34" s="226">
        <f>'Depr and ADFIT'!$C$1</f>
        <v>57798518.958269402</v>
      </c>
      <c r="H34" s="14">
        <f>'Depr and ADFIT'!C32</f>
        <v>-8348704</v>
      </c>
      <c r="J34" s="227">
        <f>'Depr and ADFIT'!J32</f>
        <v>286772</v>
      </c>
      <c r="L34" s="260">
        <f>'Depr and ADFIT'!$N$1</f>
        <v>20059165.356256999</v>
      </c>
      <c r="M34" s="261"/>
      <c r="N34" s="259">
        <f>'Depr and ADFIT'!N32</f>
        <v>-2897440</v>
      </c>
      <c r="O34" s="261"/>
      <c r="P34" s="262">
        <f>'Depr and ADFIT'!P32</f>
        <v>-3603962</v>
      </c>
      <c r="R34" s="198">
        <f t="shared" si="0"/>
        <v>63294350.314526409</v>
      </c>
      <c r="T34" s="20">
        <f>WACC!$S$16</f>
        <v>8.1600000000000006E-2</v>
      </c>
      <c r="V34" s="16">
        <f t="shared" si="1"/>
        <v>430401.58213877957</v>
      </c>
      <c r="X34" s="17">
        <f>'O&amp;M'!$D$11</f>
        <v>55208.333333333336</v>
      </c>
      <c r="Z34" s="17">
        <f>(ROUND(F34*'Depr and ADFIT'!$C$4/12,0))</f>
        <v>321104</v>
      </c>
      <c r="AB34" s="17">
        <f>F34*'Alloc. Factors and Property Tax'!$E$24*'Alloc. Factors and Property Tax'!$E$25*'Alloc. Factors and Property Tax'!$E$26/12</f>
        <v>2866.2285551405798</v>
      </c>
      <c r="AD34" s="267">
        <f>Repayment!$AB$81/180</f>
        <v>111439.8075347611</v>
      </c>
      <c r="AF34" s="17">
        <f t="shared" si="3"/>
        <v>921019.95156201452</v>
      </c>
      <c r="AH34" s="21">
        <f>'Alloc. Factors and Property Tax'!$C$18</f>
        <v>0.9604166666666667</v>
      </c>
      <c r="AJ34" s="19">
        <f t="shared" si="2"/>
        <v>884562.91181268485</v>
      </c>
    </row>
    <row r="35" spans="2:36" x14ac:dyDescent="0.2">
      <c r="B35" s="23" t="s">
        <v>13</v>
      </c>
      <c r="D35" s="3">
        <v>2028</v>
      </c>
      <c r="F35" s="226">
        <f>'Depr and ADFIT'!$C$1</f>
        <v>57798518.958269402</v>
      </c>
      <c r="H35" s="14">
        <f>'Depr and ADFIT'!C33</f>
        <v>-8669808</v>
      </c>
      <c r="J35" s="227">
        <f>'Depr and ADFIT'!J33</f>
        <v>286668</v>
      </c>
      <c r="L35" s="260">
        <f>'Depr and ADFIT'!$N$1</f>
        <v>20059165.356256999</v>
      </c>
      <c r="M35" s="261"/>
      <c r="N35" s="259">
        <f>'Depr and ADFIT'!N33</f>
        <v>-3008880</v>
      </c>
      <c r="O35" s="261"/>
      <c r="P35" s="262">
        <f>'Depr and ADFIT'!P33</f>
        <v>-3580560</v>
      </c>
      <c r="R35" s="198">
        <f t="shared" si="0"/>
        <v>62885104.314526409</v>
      </c>
      <c r="T35" s="20">
        <f>WACC!$S$16</f>
        <v>8.1600000000000006E-2</v>
      </c>
      <c r="V35" s="16">
        <f t="shared" si="1"/>
        <v>427618.70933877962</v>
      </c>
      <c r="X35" s="17">
        <f>'O&amp;M'!$D$11</f>
        <v>55208.333333333336</v>
      </c>
      <c r="Z35" s="17">
        <f>(ROUND(F35*'Depr and ADFIT'!$C$4/12,0))</f>
        <v>321104</v>
      </c>
      <c r="AB35" s="17">
        <f>F35*'Alloc. Factors and Property Tax'!$E$24*'Alloc. Factors and Property Tax'!$E$25*'Alloc. Factors and Property Tax'!$E$26/12</f>
        <v>2866.2285551405798</v>
      </c>
      <c r="AD35" s="267">
        <f>Repayment!$AB$81/180</f>
        <v>111439.8075347611</v>
      </c>
      <c r="AF35" s="17">
        <f t="shared" si="3"/>
        <v>918237.07876201463</v>
      </c>
      <c r="AH35" s="21">
        <f>'Alloc. Factors and Property Tax'!$C$18</f>
        <v>0.9604166666666667</v>
      </c>
      <c r="AJ35" s="19">
        <f t="shared" si="2"/>
        <v>881890.19439435157</v>
      </c>
    </row>
    <row r="36" spans="2:36" x14ac:dyDescent="0.2">
      <c r="B36" s="23" t="s">
        <v>14</v>
      </c>
      <c r="D36" s="3">
        <v>2028</v>
      </c>
      <c r="F36" s="226">
        <f>'Depr and ADFIT'!$C$1</f>
        <v>57798518.958269402</v>
      </c>
      <c r="H36" s="14">
        <f>'Depr and ADFIT'!C34</f>
        <v>-8990912</v>
      </c>
      <c r="J36" s="227">
        <f>'Depr and ADFIT'!J34</f>
        <v>286564</v>
      </c>
      <c r="L36" s="260">
        <f>'Depr and ADFIT'!$N$1</f>
        <v>20059165.356256999</v>
      </c>
      <c r="M36" s="261"/>
      <c r="N36" s="259">
        <f>'Depr and ADFIT'!N34</f>
        <v>-3120320</v>
      </c>
      <c r="O36" s="261"/>
      <c r="P36" s="262">
        <f>'Depr and ADFIT'!P34</f>
        <v>-3557158</v>
      </c>
      <c r="R36" s="198">
        <f t="shared" si="0"/>
        <v>62475858.314526409</v>
      </c>
      <c r="T36" s="20">
        <f>WACC!$S$16</f>
        <v>8.1600000000000006E-2</v>
      </c>
      <c r="V36" s="16">
        <f t="shared" si="1"/>
        <v>424835.83653877961</v>
      </c>
      <c r="X36" s="17">
        <f>'O&amp;M'!$D$11</f>
        <v>55208.333333333336</v>
      </c>
      <c r="Z36" s="17">
        <f>(ROUND(F36*'Depr and ADFIT'!$C$4/12,0))</f>
        <v>321104</v>
      </c>
      <c r="AB36" s="17">
        <f>F36*'Alloc. Factors and Property Tax'!$E$24*'Alloc. Factors and Property Tax'!$E$25*'Alloc. Factors and Property Tax'!$E$26/12</f>
        <v>2866.2285551405798</v>
      </c>
      <c r="AD36" s="267">
        <f>Repayment!$AB$81/180</f>
        <v>111439.8075347611</v>
      </c>
      <c r="AF36" s="17">
        <f t="shared" si="3"/>
        <v>915454.20596201462</v>
      </c>
      <c r="AH36" s="21">
        <f>'Alloc. Factors and Property Tax'!$C$18</f>
        <v>0.9604166666666667</v>
      </c>
      <c r="AJ36" s="19">
        <f t="shared" si="2"/>
        <v>879217.47697601828</v>
      </c>
    </row>
    <row r="37" spans="2:36" x14ac:dyDescent="0.2">
      <c r="B37" s="23" t="s">
        <v>15</v>
      </c>
      <c r="D37" s="3">
        <v>2028</v>
      </c>
      <c r="F37" s="226">
        <f>'Depr and ADFIT'!$C$1</f>
        <v>57798518.958269402</v>
      </c>
      <c r="H37" s="14">
        <f>'Depr and ADFIT'!C35</f>
        <v>-9312016</v>
      </c>
      <c r="J37" s="227">
        <f>'Depr and ADFIT'!J35</f>
        <v>286460</v>
      </c>
      <c r="L37" s="260">
        <f>'Depr and ADFIT'!$N$1</f>
        <v>20059165.356256999</v>
      </c>
      <c r="M37" s="261"/>
      <c r="N37" s="259">
        <f>'Depr and ADFIT'!N35</f>
        <v>-3231760</v>
      </c>
      <c r="O37" s="261"/>
      <c r="P37" s="262">
        <f>'Depr and ADFIT'!P35</f>
        <v>-3533755</v>
      </c>
      <c r="R37" s="198">
        <f t="shared" si="0"/>
        <v>62066613.314526409</v>
      </c>
      <c r="T37" s="20">
        <f>WACC!$S$16</f>
        <v>8.1600000000000006E-2</v>
      </c>
      <c r="V37" s="16">
        <f t="shared" si="1"/>
        <v>422052.97053877963</v>
      </c>
      <c r="X37" s="17">
        <f>'O&amp;M'!$D$11</f>
        <v>55208.333333333336</v>
      </c>
      <c r="Z37" s="17">
        <f>(ROUND(F37*'Depr and ADFIT'!$C$4/12,0))</f>
        <v>321104</v>
      </c>
      <c r="AB37" s="17">
        <f>F37*'Alloc. Factors and Property Tax'!$E$24*'Alloc. Factors and Property Tax'!$E$25*'Alloc. Factors and Property Tax'!$E$26/12</f>
        <v>2866.2285551405798</v>
      </c>
      <c r="AD37" s="267">
        <f>Repayment!$AB$81/180</f>
        <v>111439.8075347611</v>
      </c>
      <c r="AF37" s="17">
        <f t="shared" si="3"/>
        <v>912671.33996201458</v>
      </c>
      <c r="AH37" s="21">
        <f>'Alloc. Factors and Property Tax'!$C$18</f>
        <v>0.9604166666666667</v>
      </c>
      <c r="AJ37" s="19">
        <f t="shared" si="2"/>
        <v>876544.7660885182</v>
      </c>
    </row>
    <row r="38" spans="2:36" x14ac:dyDescent="0.2">
      <c r="B38" s="23" t="s">
        <v>16</v>
      </c>
      <c r="D38" s="3">
        <v>2028</v>
      </c>
      <c r="F38" s="226">
        <f>'Depr and ADFIT'!$C$1</f>
        <v>57798518.958269402</v>
      </c>
      <c r="H38" s="14">
        <f>'Depr and ADFIT'!C36</f>
        <v>-9633120</v>
      </c>
      <c r="J38" s="227">
        <f>'Depr and ADFIT'!J36</f>
        <v>286355</v>
      </c>
      <c r="L38" s="260">
        <f>'Depr and ADFIT'!$N$1</f>
        <v>20059165.356256999</v>
      </c>
      <c r="M38" s="261"/>
      <c r="N38" s="259">
        <f>'Depr and ADFIT'!N36</f>
        <v>-3343200</v>
      </c>
      <c r="O38" s="261"/>
      <c r="P38" s="262">
        <f>'Depr and ADFIT'!P36</f>
        <v>-3510353</v>
      </c>
      <c r="R38" s="198">
        <f t="shared" si="0"/>
        <v>61657366.314526409</v>
      </c>
      <c r="T38" s="20">
        <f>WACC!$S$16</f>
        <v>8.1600000000000006E-2</v>
      </c>
      <c r="V38" s="16">
        <f t="shared" si="1"/>
        <v>419270.09093877958</v>
      </c>
      <c r="X38" s="17">
        <f>'O&amp;M'!$D$11</f>
        <v>55208.333333333336</v>
      </c>
      <c r="Z38" s="17">
        <f>(ROUND(F38*'Depr and ADFIT'!$C$4/12,0))</f>
        <v>321104</v>
      </c>
      <c r="AB38" s="17">
        <f>F38*'Alloc. Factors and Property Tax'!$E$24*'Alloc. Factors and Property Tax'!$E$25*'Alloc. Factors and Property Tax'!$E$26/12</f>
        <v>2866.2285551405798</v>
      </c>
      <c r="AD38" s="267">
        <f>Repayment!$AB$81/180</f>
        <v>111439.8075347611</v>
      </c>
      <c r="AF38" s="17">
        <f t="shared" si="3"/>
        <v>909888.46036201459</v>
      </c>
      <c r="AH38" s="21">
        <f>'Alloc. Factors and Property Tax'!$C$18</f>
        <v>0.9604166666666667</v>
      </c>
      <c r="AJ38" s="19">
        <f t="shared" si="2"/>
        <v>873872.0421393516</v>
      </c>
    </row>
    <row r="39" spans="2:36" x14ac:dyDescent="0.2">
      <c r="B39" s="23" t="s">
        <v>17</v>
      </c>
      <c r="D39" s="3">
        <v>2028</v>
      </c>
      <c r="F39" s="226">
        <f>'Depr and ADFIT'!$C$1</f>
        <v>57798518.958269402</v>
      </c>
      <c r="H39" s="14">
        <f>'Depr and ADFIT'!C37</f>
        <v>-9954224</v>
      </c>
      <c r="J39" s="227">
        <f>'Depr and ADFIT'!J37</f>
        <v>286251</v>
      </c>
      <c r="L39" s="260">
        <f>'Depr and ADFIT'!$N$1</f>
        <v>20059165.356256999</v>
      </c>
      <c r="M39" s="261"/>
      <c r="N39" s="259">
        <f>'Depr and ADFIT'!N37</f>
        <v>-3454640</v>
      </c>
      <c r="O39" s="261"/>
      <c r="P39" s="262">
        <f>'Depr and ADFIT'!P37</f>
        <v>-3486950</v>
      </c>
      <c r="R39" s="198">
        <f t="shared" si="0"/>
        <v>61248121.314526409</v>
      </c>
      <c r="T39" s="20">
        <f>WACC!$S$16</f>
        <v>8.1600000000000006E-2</v>
      </c>
      <c r="V39" s="16">
        <f t="shared" si="1"/>
        <v>416487.2249387796</v>
      </c>
      <c r="X39" s="17">
        <f>'O&amp;M'!$D$11</f>
        <v>55208.333333333336</v>
      </c>
      <c r="Z39" s="17">
        <f>(ROUND(F39*'Depr and ADFIT'!$C$4/12,0))</f>
        <v>321104</v>
      </c>
      <c r="AB39" s="17">
        <f>F39*'Alloc. Factors and Property Tax'!$E$24*'Alloc. Factors and Property Tax'!$E$25*'Alloc. Factors and Property Tax'!$E$26/12</f>
        <v>2866.2285551405798</v>
      </c>
      <c r="AD39" s="267">
        <f>Repayment!$AB$81/180</f>
        <v>111439.8075347611</v>
      </c>
      <c r="AF39" s="17">
        <f t="shared" si="3"/>
        <v>907105.59436201456</v>
      </c>
      <c r="AH39" s="21">
        <f>'Alloc. Factors and Property Tax'!$C$18</f>
        <v>0.9604166666666667</v>
      </c>
      <c r="AJ39" s="19">
        <f t="shared" si="2"/>
        <v>871199.33125185152</v>
      </c>
    </row>
    <row r="40" spans="2:36" x14ac:dyDescent="0.2">
      <c r="B40" s="23" t="s">
        <v>18</v>
      </c>
      <c r="D40" s="3">
        <v>2028</v>
      </c>
      <c r="F40" s="226">
        <f>'Depr and ADFIT'!$C$1</f>
        <v>57798518.958269402</v>
      </c>
      <c r="H40" s="14">
        <f>'Depr and ADFIT'!C38</f>
        <v>-10275328</v>
      </c>
      <c r="J40" s="227">
        <f>'Depr and ADFIT'!J38</f>
        <v>286147</v>
      </c>
      <c r="L40" s="260">
        <f>'Depr and ADFIT'!$N$1</f>
        <v>20059165.356256999</v>
      </c>
      <c r="M40" s="261"/>
      <c r="N40" s="259">
        <f>'Depr and ADFIT'!N38</f>
        <v>-3566080</v>
      </c>
      <c r="O40" s="261"/>
      <c r="P40" s="262">
        <f>'Depr and ADFIT'!P38</f>
        <v>-3463548</v>
      </c>
      <c r="R40" s="198">
        <f t="shared" si="0"/>
        <v>60838875.314526409</v>
      </c>
      <c r="T40" s="20">
        <f>WACC!$S$16</f>
        <v>8.1600000000000006E-2</v>
      </c>
      <c r="V40" s="16">
        <f t="shared" si="1"/>
        <v>413704.35213877959</v>
      </c>
      <c r="X40" s="17">
        <f>'O&amp;M'!$D$11</f>
        <v>55208.333333333336</v>
      </c>
      <c r="Z40" s="17">
        <f>(ROUND(F40*'Depr and ADFIT'!$C$4/12,0))</f>
        <v>321104</v>
      </c>
      <c r="AB40" s="17">
        <f>F40*'Alloc. Factors and Property Tax'!$E$24*'Alloc. Factors and Property Tax'!$E$25*'Alloc. Factors and Property Tax'!$E$26/12</f>
        <v>2866.2285551405798</v>
      </c>
      <c r="AD40" s="267">
        <f>Repayment!$AB$81/180</f>
        <v>111439.8075347611</v>
      </c>
      <c r="AF40" s="17">
        <f t="shared" si="3"/>
        <v>904322.72156201454</v>
      </c>
      <c r="AH40" s="21">
        <f>'Alloc. Factors and Property Tax'!$C$18</f>
        <v>0.9604166666666667</v>
      </c>
      <c r="AJ40" s="19">
        <f t="shared" si="2"/>
        <v>868526.61383351812</v>
      </c>
    </row>
    <row r="41" spans="2:36" x14ac:dyDescent="0.2">
      <c r="B41" s="23" t="s">
        <v>19</v>
      </c>
      <c r="D41" s="3">
        <v>2028</v>
      </c>
      <c r="F41" s="226">
        <f>'Depr and ADFIT'!$C$1</f>
        <v>57798518.958269402</v>
      </c>
      <c r="H41" s="14">
        <f>'Depr and ADFIT'!C39</f>
        <v>-10596432</v>
      </c>
      <c r="J41" s="227">
        <f>'Depr and ADFIT'!J39</f>
        <v>286042</v>
      </c>
      <c r="L41" s="260">
        <f>'Depr and ADFIT'!$N$1</f>
        <v>20059165.356256999</v>
      </c>
      <c r="M41" s="261"/>
      <c r="N41" s="259">
        <f>'Depr and ADFIT'!N39</f>
        <v>-3677520</v>
      </c>
      <c r="O41" s="261"/>
      <c r="P41" s="262">
        <f>'Depr and ADFIT'!P39</f>
        <v>-3440146</v>
      </c>
      <c r="R41" s="198">
        <f t="shared" ref="R41:R72" si="4">SUM(F41:Q41)</f>
        <v>60429628.314526409</v>
      </c>
      <c r="T41" s="20">
        <f>WACC!$S$16</f>
        <v>8.1600000000000006E-2</v>
      </c>
      <c r="V41" s="16">
        <f t="shared" si="1"/>
        <v>410921.47253877966</v>
      </c>
      <c r="X41" s="17">
        <f>'O&amp;M'!$D$11</f>
        <v>55208.333333333336</v>
      </c>
      <c r="Z41" s="17">
        <f>(ROUND(F41*'Depr and ADFIT'!$C$4/12,0))</f>
        <v>321104</v>
      </c>
      <c r="AB41" s="17">
        <f>F41*'Alloc. Factors and Property Tax'!$E$24*'Alloc. Factors and Property Tax'!$E$25*'Alloc. Factors and Property Tax'!$E$26/12</f>
        <v>2866.2285551405798</v>
      </c>
      <c r="AD41" s="267">
        <f>Repayment!$AB$81/180</f>
        <v>111439.8075347611</v>
      </c>
      <c r="AF41" s="17">
        <f t="shared" si="3"/>
        <v>901539.84196201467</v>
      </c>
      <c r="AH41" s="21">
        <f>'Alloc. Factors and Property Tax'!$C$18</f>
        <v>0.9604166666666667</v>
      </c>
      <c r="AJ41" s="19">
        <f t="shared" si="2"/>
        <v>865853.88988435164</v>
      </c>
    </row>
    <row r="42" spans="2:36" x14ac:dyDescent="0.2">
      <c r="B42" s="23" t="s">
        <v>8</v>
      </c>
      <c r="D42" s="3">
        <v>2028</v>
      </c>
      <c r="F42" s="226">
        <f>'Depr and ADFIT'!$C$1</f>
        <v>57798518.958269402</v>
      </c>
      <c r="H42" s="14">
        <f>'Depr and ADFIT'!C40</f>
        <v>-10917536</v>
      </c>
      <c r="J42" s="227">
        <f>'Depr and ADFIT'!J40</f>
        <v>285938</v>
      </c>
      <c r="L42" s="260">
        <f>'Depr and ADFIT'!$N$1</f>
        <v>20059165.356256999</v>
      </c>
      <c r="M42" s="261"/>
      <c r="N42" s="259">
        <f>'Depr and ADFIT'!N40</f>
        <v>-3788960</v>
      </c>
      <c r="O42" s="261"/>
      <c r="P42" s="262">
        <f>'Depr and ADFIT'!P40</f>
        <v>-3416743</v>
      </c>
      <c r="R42" s="198">
        <f t="shared" si="4"/>
        <v>60020383.314526409</v>
      </c>
      <c r="T42" s="20">
        <f>WACC!$S$16</f>
        <v>8.1600000000000006E-2</v>
      </c>
      <c r="V42" s="16">
        <f t="shared" si="1"/>
        <v>408138.60653877963</v>
      </c>
      <c r="X42" s="17">
        <f>'O&amp;M'!$D$11</f>
        <v>55208.333333333336</v>
      </c>
      <c r="Z42" s="17">
        <f>(ROUND(F42*'Depr and ADFIT'!$C$4/12,0))</f>
        <v>321104</v>
      </c>
      <c r="AB42" s="17">
        <f>F42*'Alloc. Factors and Property Tax'!$E$24*'Alloc. Factors and Property Tax'!$E$25*'Alloc. Factors and Property Tax'!$E$26/12</f>
        <v>2866.2285551405798</v>
      </c>
      <c r="AD42" s="267">
        <f>Repayment!$AB$81/180</f>
        <v>111439.8075347611</v>
      </c>
      <c r="AF42" s="17">
        <f t="shared" si="3"/>
        <v>898756.97596201464</v>
      </c>
      <c r="AH42" s="21">
        <f>'Alloc. Factors and Property Tax'!$C$18</f>
        <v>0.9604166666666667</v>
      </c>
      <c r="AJ42" s="19">
        <f t="shared" si="2"/>
        <v>863181.17899685155</v>
      </c>
    </row>
    <row r="43" spans="2:36" x14ac:dyDescent="0.2">
      <c r="B43" s="23" t="s">
        <v>9</v>
      </c>
      <c r="D43" s="3">
        <v>2028</v>
      </c>
      <c r="F43" s="226">
        <f>'Depr and ADFIT'!$C$1</f>
        <v>57798518.958269402</v>
      </c>
      <c r="H43" s="14">
        <f>'Depr and ADFIT'!C41</f>
        <v>-11238640</v>
      </c>
      <c r="J43" s="227">
        <f>'Depr and ADFIT'!J41</f>
        <v>285834</v>
      </c>
      <c r="L43" s="260">
        <f>'Depr and ADFIT'!$N$1</f>
        <v>20059165.356256999</v>
      </c>
      <c r="M43" s="261"/>
      <c r="N43" s="259">
        <f>'Depr and ADFIT'!N41</f>
        <v>-3900400</v>
      </c>
      <c r="O43" s="261"/>
      <c r="P43" s="262">
        <f>'Depr and ADFIT'!P41</f>
        <v>-3393341</v>
      </c>
      <c r="R43" s="198">
        <f t="shared" si="4"/>
        <v>59611137.314526401</v>
      </c>
      <c r="T43" s="20">
        <f>WACC!$S$16</f>
        <v>8.1600000000000006E-2</v>
      </c>
      <c r="V43" s="16">
        <f t="shared" si="1"/>
        <v>405355.73373877956</v>
      </c>
      <c r="X43" s="17">
        <f>'O&amp;M'!$D$11</f>
        <v>55208.333333333336</v>
      </c>
      <c r="Z43" s="17">
        <f>(ROUND(F43*'Depr and ADFIT'!$C$4/12,0))</f>
        <v>321104</v>
      </c>
      <c r="AB43" s="17">
        <f>F43*'Alloc. Factors and Property Tax'!$E$24*'Alloc. Factors and Property Tax'!$E$25*'Alloc. Factors and Property Tax'!$E$26/12</f>
        <v>2866.2285551405798</v>
      </c>
      <c r="AD43" s="267">
        <f>Repayment!$AB$81/180</f>
        <v>111439.8075347611</v>
      </c>
      <c r="AF43" s="17">
        <f t="shared" si="3"/>
        <v>895974.10316201451</v>
      </c>
      <c r="AH43" s="21">
        <f>'Alloc. Factors and Property Tax'!$C$18</f>
        <v>0.9604166666666667</v>
      </c>
      <c r="AJ43" s="19">
        <f t="shared" si="2"/>
        <v>860508.46157851815</v>
      </c>
    </row>
    <row r="44" spans="2:36" x14ac:dyDescent="0.2">
      <c r="B44" s="23" t="s">
        <v>10</v>
      </c>
      <c r="D44" s="3">
        <v>2028</v>
      </c>
      <c r="F44" s="226">
        <f>'Depr and ADFIT'!$C$1</f>
        <v>57798518.958269402</v>
      </c>
      <c r="H44" s="14">
        <f>'Depr and ADFIT'!C42</f>
        <v>-11559744</v>
      </c>
      <c r="J44" s="227">
        <f>'Depr and ADFIT'!J42</f>
        <v>285730</v>
      </c>
      <c r="L44" s="260">
        <f>'Depr and ADFIT'!$N$1</f>
        <v>20059165.356256999</v>
      </c>
      <c r="M44" s="261"/>
      <c r="N44" s="259">
        <f>'Depr and ADFIT'!N42</f>
        <v>-4011840</v>
      </c>
      <c r="O44" s="261"/>
      <c r="P44" s="262">
        <f>'Depr and ADFIT'!P42</f>
        <v>-3369938</v>
      </c>
      <c r="R44" s="198">
        <f t="shared" si="4"/>
        <v>59201892.314526401</v>
      </c>
      <c r="T44" s="20">
        <f>WACC!$S$16</f>
        <v>8.1600000000000006E-2</v>
      </c>
      <c r="V44" s="16">
        <f t="shared" si="1"/>
        <v>402572.86773877958</v>
      </c>
      <c r="X44" s="17">
        <f>'O&amp;M'!$D$11</f>
        <v>55208.333333333336</v>
      </c>
      <c r="Z44" s="17">
        <f>(ROUND(F44*'Depr and ADFIT'!$C$4/12,0))</f>
        <v>321104</v>
      </c>
      <c r="AB44" s="17">
        <f>F44*'Alloc. Factors and Property Tax'!$E$24*'Alloc. Factors and Property Tax'!$E$25*'Alloc. Factors and Property Tax'!$E$26/12</f>
        <v>2866.2285551405798</v>
      </c>
      <c r="AD44" s="267">
        <f>Repayment!$AB$81/180</f>
        <v>111439.8075347611</v>
      </c>
      <c r="AF44" s="17">
        <f t="shared" si="3"/>
        <v>893191.23716201459</v>
      </c>
      <c r="AH44" s="21">
        <f>'Alloc. Factors and Property Tax'!$C$18</f>
        <v>0.9604166666666667</v>
      </c>
      <c r="AJ44" s="19">
        <f t="shared" si="2"/>
        <v>857835.75069101818</v>
      </c>
    </row>
    <row r="45" spans="2:36" x14ac:dyDescent="0.2">
      <c r="B45" s="23" t="s">
        <v>11</v>
      </c>
      <c r="D45" s="3">
        <v>2029</v>
      </c>
      <c r="F45" s="226">
        <f>'Depr and ADFIT'!$C$1</f>
        <v>57798518.958269402</v>
      </c>
      <c r="H45" s="14">
        <f>'Depr and ADFIT'!C43</f>
        <v>-11880848</v>
      </c>
      <c r="J45" s="227">
        <f>'Depr and ADFIT'!J43</f>
        <v>290683</v>
      </c>
      <c r="L45" s="260">
        <f>'Depr and ADFIT'!$N$1</f>
        <v>20059165.356256999</v>
      </c>
      <c r="M45" s="261"/>
      <c r="N45" s="259">
        <f>'Depr and ADFIT'!N43</f>
        <v>-4123280</v>
      </c>
      <c r="O45" s="261"/>
      <c r="P45" s="262">
        <f>'Depr and ADFIT'!P43</f>
        <v>-3346536</v>
      </c>
      <c r="R45" s="198">
        <f t="shared" si="4"/>
        <v>58797703.314526401</v>
      </c>
      <c r="T45" s="20">
        <f>WACC!$S$16</f>
        <v>8.1600000000000006E-2</v>
      </c>
      <c r="V45" s="16">
        <f t="shared" si="1"/>
        <v>399824.38253877958</v>
      </c>
      <c r="X45" s="17">
        <f>'O&amp;M'!$E$11</f>
        <v>54166.666666666664</v>
      </c>
      <c r="Z45" s="17">
        <f>(ROUND(F45*'Depr and ADFIT'!$C$4/12,0))</f>
        <v>321104</v>
      </c>
      <c r="AB45" s="17">
        <f>F45*'Alloc. Factors and Property Tax'!$E$24*'Alloc. Factors and Property Tax'!$E$25*'Alloc. Factors and Property Tax'!$E$26/12</f>
        <v>2866.2285551405798</v>
      </c>
      <c r="AD45" s="267">
        <f>Repayment!$AB$81/180</f>
        <v>111439.8075347611</v>
      </c>
      <c r="AF45" s="17">
        <f t="shared" si="3"/>
        <v>889401.08529534796</v>
      </c>
      <c r="AH45" s="21">
        <f>'Alloc. Factors and Property Tax'!$C$18</f>
        <v>0.9604166666666667</v>
      </c>
      <c r="AJ45" s="19">
        <f t="shared" si="2"/>
        <v>854195.62566907378</v>
      </c>
    </row>
    <row r="46" spans="2:36" x14ac:dyDescent="0.2">
      <c r="B46" s="23" t="s">
        <v>12</v>
      </c>
      <c r="D46" s="3">
        <v>2029</v>
      </c>
      <c r="F46" s="226">
        <f>'Depr and ADFIT'!$C$1</f>
        <v>57798518.958269402</v>
      </c>
      <c r="H46" s="14">
        <f>'Depr and ADFIT'!C44</f>
        <v>-12201952</v>
      </c>
      <c r="J46" s="227">
        <f>'Depr and ADFIT'!J44</f>
        <v>295636</v>
      </c>
      <c r="L46" s="260">
        <f>'Depr and ADFIT'!$N$1</f>
        <v>20059165.356256999</v>
      </c>
      <c r="M46" s="261"/>
      <c r="N46" s="259">
        <f>'Depr and ADFIT'!N44</f>
        <v>-4234720</v>
      </c>
      <c r="O46" s="261"/>
      <c r="P46" s="262">
        <f>'Depr and ADFIT'!P44</f>
        <v>-3323134</v>
      </c>
      <c r="R46" s="198">
        <f t="shared" si="4"/>
        <v>58393514.314526401</v>
      </c>
      <c r="T46" s="20">
        <f>WACC!$S$16</f>
        <v>8.1600000000000006E-2</v>
      </c>
      <c r="V46" s="16">
        <f t="shared" si="1"/>
        <v>397075.89733877958</v>
      </c>
      <c r="X46" s="17">
        <f>'O&amp;M'!$E$11</f>
        <v>54166.666666666664</v>
      </c>
      <c r="Z46" s="17">
        <f>(ROUND(F46*'Depr and ADFIT'!$C$4/12,0))</f>
        <v>321104</v>
      </c>
      <c r="AB46" s="17">
        <f>F46*'Alloc. Factors and Property Tax'!$E$24*'Alloc. Factors and Property Tax'!$E$25*'Alloc. Factors and Property Tax'!$E$26/12</f>
        <v>2866.2285551405798</v>
      </c>
      <c r="AD46" s="267">
        <f>Repayment!$AB$81/180</f>
        <v>111439.8075347611</v>
      </c>
      <c r="AF46" s="17">
        <f t="shared" si="3"/>
        <v>886652.60009534797</v>
      </c>
      <c r="AH46" s="21">
        <f>'Alloc. Factors and Property Tax'!$C$18</f>
        <v>0.9604166666666667</v>
      </c>
      <c r="AJ46" s="19">
        <f t="shared" si="2"/>
        <v>851555.93467490713</v>
      </c>
    </row>
    <row r="47" spans="2:36" x14ac:dyDescent="0.2">
      <c r="B47" s="23" t="s">
        <v>13</v>
      </c>
      <c r="D47" s="3">
        <v>2029</v>
      </c>
      <c r="F47" s="226">
        <f>'Depr and ADFIT'!$C$1</f>
        <v>57798518.958269402</v>
      </c>
      <c r="H47" s="14">
        <f>'Depr and ADFIT'!C45</f>
        <v>-12523056</v>
      </c>
      <c r="J47" s="227">
        <f>'Depr and ADFIT'!J45</f>
        <v>300589</v>
      </c>
      <c r="L47" s="260">
        <f>'Depr and ADFIT'!$N$1</f>
        <v>20059165.356256999</v>
      </c>
      <c r="M47" s="261"/>
      <c r="N47" s="259">
        <f>'Depr and ADFIT'!N45</f>
        <v>-4346160</v>
      </c>
      <c r="O47" s="261"/>
      <c r="P47" s="262">
        <f>'Depr and ADFIT'!P45</f>
        <v>-3299731</v>
      </c>
      <c r="R47" s="198">
        <f t="shared" si="4"/>
        <v>57989326.314526401</v>
      </c>
      <c r="T47" s="20">
        <f>WACC!$S$16</f>
        <v>8.1600000000000006E-2</v>
      </c>
      <c r="V47" s="16">
        <f t="shared" si="1"/>
        <v>394327.41893877956</v>
      </c>
      <c r="X47" s="17">
        <f>'O&amp;M'!$E$11</f>
        <v>54166.666666666664</v>
      </c>
      <c r="Z47" s="17">
        <f>(ROUND(F47*'Depr and ADFIT'!$C$4/12,0))</f>
        <v>321104</v>
      </c>
      <c r="AB47" s="17">
        <f>F47*'Alloc. Factors and Property Tax'!$E$24*'Alloc. Factors and Property Tax'!$E$25*'Alloc. Factors and Property Tax'!$E$26/12</f>
        <v>2866.2285551405798</v>
      </c>
      <c r="AD47" s="267">
        <f>Repayment!$AB$81/180</f>
        <v>111439.8075347611</v>
      </c>
      <c r="AF47" s="17">
        <f t="shared" si="3"/>
        <v>883904.12169534795</v>
      </c>
      <c r="AH47" s="21">
        <f>'Alloc. Factors and Property Tax'!$C$18</f>
        <v>0.9604166666666667</v>
      </c>
      <c r="AJ47" s="19">
        <f t="shared" si="2"/>
        <v>848916.25021157379</v>
      </c>
    </row>
    <row r="48" spans="2:36" x14ac:dyDescent="0.2">
      <c r="B48" s="23" t="s">
        <v>14</v>
      </c>
      <c r="D48" s="3">
        <v>2029</v>
      </c>
      <c r="F48" s="226">
        <f>'Depr and ADFIT'!$C$1</f>
        <v>57798518.958269402</v>
      </c>
      <c r="H48" s="14">
        <f>'Depr and ADFIT'!C46</f>
        <v>-12844160</v>
      </c>
      <c r="J48" s="227">
        <f>'Depr and ADFIT'!J46</f>
        <v>305542</v>
      </c>
      <c r="L48" s="260">
        <f>'Depr and ADFIT'!$N$1</f>
        <v>20059165.356256999</v>
      </c>
      <c r="M48" s="261"/>
      <c r="N48" s="259">
        <f>'Depr and ADFIT'!N46</f>
        <v>-4457600</v>
      </c>
      <c r="O48" s="261"/>
      <c r="P48" s="262">
        <f>'Depr and ADFIT'!P46</f>
        <v>-3276329</v>
      </c>
      <c r="R48" s="198">
        <f t="shared" si="4"/>
        <v>57585137.314526401</v>
      </c>
      <c r="T48" s="20">
        <f>WACC!$S$16</f>
        <v>8.1600000000000006E-2</v>
      </c>
      <c r="V48" s="16">
        <f t="shared" si="1"/>
        <v>391578.93373877957</v>
      </c>
      <c r="X48" s="17">
        <f>'O&amp;M'!$E$11</f>
        <v>54166.666666666664</v>
      </c>
      <c r="Z48" s="17">
        <f>(ROUND(F48*'Depr and ADFIT'!$C$4/12,0))</f>
        <v>321104</v>
      </c>
      <c r="AB48" s="17">
        <f>F48*'Alloc. Factors and Property Tax'!$E$24*'Alloc. Factors and Property Tax'!$E$25*'Alloc. Factors and Property Tax'!$E$26/12</f>
        <v>2866.2285551405798</v>
      </c>
      <c r="AD48" s="267">
        <f>Repayment!$AB$81/180</f>
        <v>111439.8075347611</v>
      </c>
      <c r="AF48" s="17">
        <f t="shared" si="3"/>
        <v>881155.63649534795</v>
      </c>
      <c r="AH48" s="21">
        <f>'Alloc. Factors and Property Tax'!$C$18</f>
        <v>0.9604166666666667</v>
      </c>
      <c r="AJ48" s="19">
        <f t="shared" si="2"/>
        <v>846276.55921740714</v>
      </c>
    </row>
    <row r="49" spans="2:36" x14ac:dyDescent="0.2">
      <c r="B49" s="23" t="s">
        <v>15</v>
      </c>
      <c r="D49" s="3">
        <v>2029</v>
      </c>
      <c r="F49" s="226">
        <f>'Depr and ADFIT'!$C$1</f>
        <v>57798518.958269402</v>
      </c>
      <c r="H49" s="14">
        <f>'Depr and ADFIT'!C47</f>
        <v>-13165264</v>
      </c>
      <c r="J49" s="227">
        <f>'Depr and ADFIT'!J47</f>
        <v>310495</v>
      </c>
      <c r="L49" s="260">
        <f>'Depr and ADFIT'!$N$1</f>
        <v>20059165.356256999</v>
      </c>
      <c r="M49" s="261"/>
      <c r="N49" s="259">
        <f>'Depr and ADFIT'!N47</f>
        <v>-4569040</v>
      </c>
      <c r="O49" s="261"/>
      <c r="P49" s="262">
        <f>'Depr and ADFIT'!P47</f>
        <v>-3252926</v>
      </c>
      <c r="R49" s="198">
        <f t="shared" si="4"/>
        <v>57180949.314526401</v>
      </c>
      <c r="T49" s="20">
        <f>WACC!$S$16</f>
        <v>8.1600000000000006E-2</v>
      </c>
      <c r="V49" s="16">
        <f t="shared" si="1"/>
        <v>388830.45533877955</v>
      </c>
      <c r="X49" s="17">
        <f>'O&amp;M'!$E$11</f>
        <v>54166.666666666664</v>
      </c>
      <c r="Z49" s="17">
        <f>(ROUND(F49*'Depr and ADFIT'!$C$4/12,0))</f>
        <v>321104</v>
      </c>
      <c r="AB49" s="17">
        <f>F49*'Alloc. Factors and Property Tax'!$E$24*'Alloc. Factors and Property Tax'!$E$25*'Alloc. Factors and Property Tax'!$E$26/12</f>
        <v>2866.2285551405798</v>
      </c>
      <c r="AD49" s="267">
        <f>Repayment!$AB$81/180</f>
        <v>111439.8075347611</v>
      </c>
      <c r="AF49" s="17">
        <f t="shared" si="3"/>
        <v>878407.15809534793</v>
      </c>
      <c r="AH49" s="21">
        <f>'Alloc. Factors and Property Tax'!$C$18</f>
        <v>0.9604166666666667</v>
      </c>
      <c r="AJ49" s="19">
        <f t="shared" si="2"/>
        <v>843636.8747540738</v>
      </c>
    </row>
    <row r="50" spans="2:36" x14ac:dyDescent="0.2">
      <c r="B50" s="23" t="s">
        <v>16</v>
      </c>
      <c r="D50" s="3">
        <v>2029</v>
      </c>
      <c r="F50" s="226">
        <f>'Depr and ADFIT'!$C$1</f>
        <v>57798518.958269402</v>
      </c>
      <c r="H50" s="14">
        <f>'Depr and ADFIT'!C48</f>
        <v>-13486368</v>
      </c>
      <c r="J50" s="227">
        <f>'Depr and ADFIT'!J48</f>
        <v>315448</v>
      </c>
      <c r="L50" s="260">
        <f>'Depr and ADFIT'!$N$1</f>
        <v>20059165.356256999</v>
      </c>
      <c r="M50" s="261"/>
      <c r="N50" s="259">
        <f>'Depr and ADFIT'!N48</f>
        <v>-4680480</v>
      </c>
      <c r="O50" s="261"/>
      <c r="P50" s="262">
        <f>'Depr and ADFIT'!P48</f>
        <v>-3229524</v>
      </c>
      <c r="R50" s="198">
        <f t="shared" si="4"/>
        <v>56776760.314526401</v>
      </c>
      <c r="T50" s="20">
        <f>WACC!$S$16</f>
        <v>8.1600000000000006E-2</v>
      </c>
      <c r="V50" s="16">
        <f t="shared" si="1"/>
        <v>386081.97013877955</v>
      </c>
      <c r="X50" s="17">
        <f>'O&amp;M'!$E$11</f>
        <v>54166.666666666664</v>
      </c>
      <c r="Z50" s="17">
        <f>(ROUND(F50*'Depr and ADFIT'!$C$4/12,0))</f>
        <v>321104</v>
      </c>
      <c r="AB50" s="17">
        <f>F50*'Alloc. Factors and Property Tax'!$E$24*'Alloc. Factors and Property Tax'!$E$25*'Alloc. Factors and Property Tax'!$E$26/12</f>
        <v>2866.2285551405798</v>
      </c>
      <c r="AD50" s="267">
        <f>Repayment!$AB$81/180</f>
        <v>111439.8075347611</v>
      </c>
      <c r="AF50" s="17">
        <f t="shared" si="3"/>
        <v>875658.67289534793</v>
      </c>
      <c r="AH50" s="21">
        <f>'Alloc. Factors and Property Tax'!$C$18</f>
        <v>0.9604166666666667</v>
      </c>
      <c r="AJ50" s="19">
        <f t="shared" si="2"/>
        <v>840997.18375990714</v>
      </c>
    </row>
    <row r="51" spans="2:36" x14ac:dyDescent="0.2">
      <c r="B51" s="23" t="s">
        <v>17</v>
      </c>
      <c r="D51" s="3">
        <v>2029</v>
      </c>
      <c r="F51" s="226">
        <f>'Depr and ADFIT'!$C$1</f>
        <v>57798518.958269402</v>
      </c>
      <c r="H51" s="14">
        <f>'Depr and ADFIT'!C49</f>
        <v>-13807472</v>
      </c>
      <c r="J51" s="227">
        <f>'Depr and ADFIT'!J49</f>
        <v>320401</v>
      </c>
      <c r="L51" s="260">
        <f>'Depr and ADFIT'!$N$1</f>
        <v>20059165.356256999</v>
      </c>
      <c r="M51" s="261"/>
      <c r="N51" s="259">
        <f>'Depr and ADFIT'!N49</f>
        <v>-4791920</v>
      </c>
      <c r="O51" s="261"/>
      <c r="P51" s="262">
        <f>'Depr and ADFIT'!P49</f>
        <v>-3206122</v>
      </c>
      <c r="R51" s="198">
        <f t="shared" si="4"/>
        <v>56372571.314526401</v>
      </c>
      <c r="T51" s="20">
        <f>WACC!$S$16</f>
        <v>8.1600000000000006E-2</v>
      </c>
      <c r="V51" s="16">
        <f t="shared" si="1"/>
        <v>383333.48493877955</v>
      </c>
      <c r="X51" s="17">
        <f>'O&amp;M'!$E$11</f>
        <v>54166.666666666664</v>
      </c>
      <c r="Z51" s="17">
        <f>(ROUND(F51*'Depr and ADFIT'!$C$4/12,0))</f>
        <v>321104</v>
      </c>
      <c r="AB51" s="17">
        <f>F51*'Alloc. Factors and Property Tax'!$E$24*'Alloc. Factors and Property Tax'!$E$25*'Alloc. Factors and Property Tax'!$E$26/12</f>
        <v>2866.2285551405798</v>
      </c>
      <c r="AD51" s="267">
        <f>Repayment!$AB$81/180</f>
        <v>111439.8075347611</v>
      </c>
      <c r="AF51" s="17">
        <f t="shared" si="3"/>
        <v>872910.18769534794</v>
      </c>
      <c r="AH51" s="21">
        <f>'Alloc. Factors and Property Tax'!$C$18</f>
        <v>0.9604166666666667</v>
      </c>
      <c r="AJ51" s="19">
        <f t="shared" si="2"/>
        <v>838357.49276574049</v>
      </c>
    </row>
    <row r="52" spans="2:36" x14ac:dyDescent="0.2">
      <c r="B52" s="23" t="s">
        <v>18</v>
      </c>
      <c r="D52" s="3">
        <v>2029</v>
      </c>
      <c r="F52" s="226">
        <f>'Depr and ADFIT'!$C$1</f>
        <v>57798518.958269402</v>
      </c>
      <c r="H52" s="14">
        <f>'Depr and ADFIT'!C50</f>
        <v>-14128576</v>
      </c>
      <c r="J52" s="227">
        <f>'Depr and ADFIT'!J50</f>
        <v>325354</v>
      </c>
      <c r="L52" s="260">
        <f>'Depr and ADFIT'!$N$1</f>
        <v>20059165.356256999</v>
      </c>
      <c r="M52" s="261"/>
      <c r="N52" s="259">
        <f>'Depr and ADFIT'!N50</f>
        <v>-4903360</v>
      </c>
      <c r="O52" s="261"/>
      <c r="P52" s="262">
        <f>'Depr and ADFIT'!P50</f>
        <v>-3182719</v>
      </c>
      <c r="R52" s="198">
        <f t="shared" si="4"/>
        <v>55968383.314526401</v>
      </c>
      <c r="T52" s="20">
        <f>WACC!$S$16</f>
        <v>8.1600000000000006E-2</v>
      </c>
      <c r="V52" s="16">
        <f t="shared" si="1"/>
        <v>380585.00653877953</v>
      </c>
      <c r="X52" s="17">
        <f>'O&amp;M'!$E$11</f>
        <v>54166.666666666664</v>
      </c>
      <c r="Z52" s="17">
        <f>(ROUND(F52*'Depr and ADFIT'!$C$4/12,0))</f>
        <v>321104</v>
      </c>
      <c r="AB52" s="17">
        <f>F52*'Alloc. Factors and Property Tax'!$E$24*'Alloc. Factors and Property Tax'!$E$25*'Alloc. Factors and Property Tax'!$E$26/12</f>
        <v>2866.2285551405798</v>
      </c>
      <c r="AD52" s="267">
        <f>Repayment!$AB$81/180</f>
        <v>111439.8075347611</v>
      </c>
      <c r="AF52" s="17">
        <f t="shared" si="3"/>
        <v>870161.70929534792</v>
      </c>
      <c r="AH52" s="21">
        <f>'Alloc. Factors and Property Tax'!$C$18</f>
        <v>0.9604166666666667</v>
      </c>
      <c r="AJ52" s="19">
        <f t="shared" si="2"/>
        <v>835717.80830240704</v>
      </c>
    </row>
    <row r="53" spans="2:36" x14ac:dyDescent="0.2">
      <c r="B53" s="23" t="s">
        <v>19</v>
      </c>
      <c r="D53" s="3">
        <v>2029</v>
      </c>
      <c r="F53" s="226">
        <f>'Depr and ADFIT'!$C$1</f>
        <v>57798518.958269402</v>
      </c>
      <c r="H53" s="14">
        <f>'Depr and ADFIT'!C51</f>
        <v>-14449680</v>
      </c>
      <c r="J53" s="227">
        <f>'Depr and ADFIT'!J51</f>
        <v>330307</v>
      </c>
      <c r="L53" s="260">
        <f>'Depr and ADFIT'!$N$1</f>
        <v>20059165.356256999</v>
      </c>
      <c r="M53" s="261"/>
      <c r="N53" s="259">
        <f>'Depr and ADFIT'!N51</f>
        <v>-5014800</v>
      </c>
      <c r="O53" s="261"/>
      <c r="P53" s="262">
        <f>'Depr and ADFIT'!P51</f>
        <v>-3159317</v>
      </c>
      <c r="R53" s="198">
        <f t="shared" si="4"/>
        <v>55564194.314526401</v>
      </c>
      <c r="T53" s="20">
        <f>WACC!$S$16</f>
        <v>8.1600000000000006E-2</v>
      </c>
      <c r="V53" s="16">
        <f t="shared" si="1"/>
        <v>377836.52133877954</v>
      </c>
      <c r="X53" s="17">
        <f>'O&amp;M'!$E$11</f>
        <v>54166.666666666664</v>
      </c>
      <c r="Z53" s="17">
        <f>(ROUND(F53*'Depr and ADFIT'!$C$4/12,0))</f>
        <v>321104</v>
      </c>
      <c r="AB53" s="17">
        <f>F53*'Alloc. Factors and Property Tax'!$E$24*'Alloc. Factors and Property Tax'!$E$25*'Alloc. Factors and Property Tax'!$E$26/12</f>
        <v>2866.2285551405798</v>
      </c>
      <c r="AD53" s="267">
        <f>Repayment!$AB$81/180</f>
        <v>111439.8075347611</v>
      </c>
      <c r="AF53" s="17">
        <f t="shared" si="3"/>
        <v>867413.22409534792</v>
      </c>
      <c r="AH53" s="21">
        <f>'Alloc. Factors and Property Tax'!$C$18</f>
        <v>0.9604166666666667</v>
      </c>
      <c r="AJ53" s="19">
        <f t="shared" si="2"/>
        <v>833078.11730824038</v>
      </c>
    </row>
    <row r="54" spans="2:36" x14ac:dyDescent="0.2">
      <c r="B54" s="23" t="s">
        <v>8</v>
      </c>
      <c r="D54" s="3">
        <v>2029</v>
      </c>
      <c r="F54" s="226">
        <f>'Depr and ADFIT'!$C$1</f>
        <v>57798518.958269402</v>
      </c>
      <c r="H54" s="14">
        <f>'Depr and ADFIT'!C52</f>
        <v>-14770784</v>
      </c>
      <c r="J54" s="227">
        <f>'Depr and ADFIT'!J52</f>
        <v>335261</v>
      </c>
      <c r="L54" s="260">
        <f>'Depr and ADFIT'!$N$1</f>
        <v>20059165.356256999</v>
      </c>
      <c r="M54" s="261"/>
      <c r="N54" s="259">
        <f>'Depr and ADFIT'!N52</f>
        <v>-5126240</v>
      </c>
      <c r="O54" s="261"/>
      <c r="P54" s="262">
        <f>'Depr and ADFIT'!P52</f>
        <v>-3135914</v>
      </c>
      <c r="R54" s="198">
        <f t="shared" si="4"/>
        <v>55160007.314526401</v>
      </c>
      <c r="T54" s="20">
        <f>WACC!$S$16</f>
        <v>8.1600000000000006E-2</v>
      </c>
      <c r="V54" s="16">
        <f t="shared" si="1"/>
        <v>375088.04973877961</v>
      </c>
      <c r="X54" s="17">
        <f>'O&amp;M'!$E$11</f>
        <v>54166.666666666664</v>
      </c>
      <c r="Z54" s="17">
        <f>(ROUND(F54*'Depr and ADFIT'!$C$4/12,0))</f>
        <v>321104</v>
      </c>
      <c r="AB54" s="17">
        <f>F54*'Alloc. Factors and Property Tax'!$E$24*'Alloc. Factors and Property Tax'!$E$25*'Alloc. Factors and Property Tax'!$E$26/12</f>
        <v>2866.2285551405798</v>
      </c>
      <c r="AD54" s="267">
        <f>Repayment!$AB$81/180</f>
        <v>111439.8075347611</v>
      </c>
      <c r="AF54" s="17">
        <f t="shared" si="3"/>
        <v>864664.75249534799</v>
      </c>
      <c r="AH54" s="21">
        <f>'Alloc. Factors and Property Tax'!$C$18</f>
        <v>0.9604166666666667</v>
      </c>
      <c r="AJ54" s="19">
        <f t="shared" si="2"/>
        <v>830438.43937574048</v>
      </c>
    </row>
    <row r="55" spans="2:36" x14ac:dyDescent="0.2">
      <c r="B55" s="23" t="s">
        <v>9</v>
      </c>
      <c r="D55" s="3">
        <v>2029</v>
      </c>
      <c r="F55" s="226">
        <f>'Depr and ADFIT'!$C$1</f>
        <v>57798518.958269402</v>
      </c>
      <c r="H55" s="14">
        <f>'Depr and ADFIT'!C53</f>
        <v>-15091888</v>
      </c>
      <c r="J55" s="227">
        <f>'Depr and ADFIT'!J53</f>
        <v>340214</v>
      </c>
      <c r="L55" s="260">
        <f>'Depr and ADFIT'!$N$1</f>
        <v>20059165.356256999</v>
      </c>
      <c r="M55" s="261"/>
      <c r="N55" s="259">
        <f>'Depr and ADFIT'!N53</f>
        <v>-5237680</v>
      </c>
      <c r="O55" s="261"/>
      <c r="P55" s="262">
        <f>'Depr and ADFIT'!P53</f>
        <v>-3112512</v>
      </c>
      <c r="R55" s="198">
        <f t="shared" si="4"/>
        <v>54755818.314526401</v>
      </c>
      <c r="T55" s="20">
        <f>WACC!$S$16</f>
        <v>8.1600000000000006E-2</v>
      </c>
      <c r="V55" s="16">
        <f t="shared" si="1"/>
        <v>372339.56453877961</v>
      </c>
      <c r="X55" s="17">
        <f>'O&amp;M'!$E$11</f>
        <v>54166.666666666664</v>
      </c>
      <c r="Z55" s="17">
        <f>(ROUND(F55*'Depr and ADFIT'!$C$4/12,0))</f>
        <v>321104</v>
      </c>
      <c r="AB55" s="17">
        <f>F55*'Alloc. Factors and Property Tax'!$E$24*'Alloc. Factors and Property Tax'!$E$25*'Alloc. Factors and Property Tax'!$E$26/12</f>
        <v>2866.2285551405798</v>
      </c>
      <c r="AD55" s="267">
        <f>Repayment!$AB$81/180</f>
        <v>111439.8075347611</v>
      </c>
      <c r="AF55" s="17">
        <f t="shared" si="3"/>
        <v>861916.26729534799</v>
      </c>
      <c r="AH55" s="21">
        <f>'Alloc. Factors and Property Tax'!$C$18</f>
        <v>0.9604166666666667</v>
      </c>
      <c r="AJ55" s="19">
        <f t="shared" si="2"/>
        <v>827798.74838157382</v>
      </c>
    </row>
    <row r="56" spans="2:36" x14ac:dyDescent="0.2">
      <c r="B56" s="23" t="s">
        <v>10</v>
      </c>
      <c r="D56" s="3">
        <v>2029</v>
      </c>
      <c r="F56" s="226">
        <f>'Depr and ADFIT'!$C$1</f>
        <v>57798518.958269402</v>
      </c>
      <c r="H56" s="14">
        <f>'Depr and ADFIT'!C54</f>
        <v>-15412992</v>
      </c>
      <c r="J56" s="227">
        <f>'Depr and ADFIT'!J54</f>
        <v>345167</v>
      </c>
      <c r="L56" s="260">
        <f>'Depr and ADFIT'!$N$1</f>
        <v>20059165.356256999</v>
      </c>
      <c r="M56" s="261"/>
      <c r="N56" s="259">
        <f>'Depr and ADFIT'!N54</f>
        <v>-5349120</v>
      </c>
      <c r="O56" s="261"/>
      <c r="P56" s="262">
        <f>'Depr and ADFIT'!P54</f>
        <v>-3089110</v>
      </c>
      <c r="R56" s="198">
        <f t="shared" si="4"/>
        <v>54351629.314526401</v>
      </c>
      <c r="T56" s="20">
        <f>WACC!$S$16</f>
        <v>8.1600000000000006E-2</v>
      </c>
      <c r="V56" s="16">
        <f t="shared" si="1"/>
        <v>369591.0793387795</v>
      </c>
      <c r="X56" s="17">
        <f>'O&amp;M'!$E$11</f>
        <v>54166.666666666664</v>
      </c>
      <c r="Z56" s="17">
        <f>(ROUND(F56*'Depr and ADFIT'!$C$4/12,0))</f>
        <v>321104</v>
      </c>
      <c r="AB56" s="17">
        <f>F56*'Alloc. Factors and Property Tax'!$E$24*'Alloc. Factors and Property Tax'!$E$25*'Alloc. Factors and Property Tax'!$E$26/12</f>
        <v>2866.2285551405798</v>
      </c>
      <c r="AD56" s="267">
        <f>Repayment!$AB$81/180</f>
        <v>111439.8075347611</v>
      </c>
      <c r="AF56" s="17">
        <f t="shared" si="3"/>
        <v>859167.78209534788</v>
      </c>
      <c r="AH56" s="21">
        <f>'Alloc. Factors and Property Tax'!$C$18</f>
        <v>0.9604166666666667</v>
      </c>
      <c r="AJ56" s="19">
        <f t="shared" si="2"/>
        <v>825159.05738740705</v>
      </c>
    </row>
    <row r="57" spans="2:36" x14ac:dyDescent="0.2">
      <c r="B57" s="23" t="s">
        <v>11</v>
      </c>
      <c r="D57" s="3">
        <v>2030</v>
      </c>
      <c r="F57" s="226">
        <f>'Depr and ADFIT'!$C$1</f>
        <v>57798518.958269402</v>
      </c>
      <c r="H57" s="14">
        <f>'Depr and ADFIT'!C55</f>
        <v>-15734096</v>
      </c>
      <c r="J57" s="227">
        <f>'Depr and ADFIT'!J55</f>
        <v>354813</v>
      </c>
      <c r="L57" s="260">
        <f>'Depr and ADFIT'!$N$1</f>
        <v>20059165.356256999</v>
      </c>
      <c r="M57" s="261"/>
      <c r="N57" s="259">
        <f>'Depr and ADFIT'!N55</f>
        <v>-5460560</v>
      </c>
      <c r="O57" s="261"/>
      <c r="P57" s="262">
        <f>'Depr and ADFIT'!P55</f>
        <v>-3065707</v>
      </c>
      <c r="R57" s="198">
        <f t="shared" si="4"/>
        <v>53952134.314526401</v>
      </c>
      <c r="T57" s="20">
        <f>WACC!$S$16</f>
        <v>8.1600000000000006E-2</v>
      </c>
      <c r="V57" s="16">
        <f t="shared" si="1"/>
        <v>366874.51333877956</v>
      </c>
      <c r="X57" s="17">
        <f>'O&amp;M'!$F$11</f>
        <v>58333.333333333336</v>
      </c>
      <c r="Z57" s="17">
        <f>(ROUND(F57*'Depr and ADFIT'!$C$4/12,0))</f>
        <v>321104</v>
      </c>
      <c r="AB57" s="17">
        <f>F57*'Alloc. Factors and Property Tax'!$E$24*'Alloc. Factors and Property Tax'!$E$25*'Alloc. Factors and Property Tax'!$E$26/12</f>
        <v>2866.2285551405798</v>
      </c>
      <c r="AD57" s="267">
        <f>Repayment!$AB$81/180</f>
        <v>111439.8075347611</v>
      </c>
      <c r="AF57" s="17">
        <f t="shared" si="3"/>
        <v>860617.88276201452</v>
      </c>
      <c r="AH57" s="21">
        <f>'Alloc. Factors and Property Tax'!$C$18</f>
        <v>0.9604166666666667</v>
      </c>
      <c r="AJ57" s="19">
        <f t="shared" si="2"/>
        <v>826551.75823601813</v>
      </c>
    </row>
    <row r="58" spans="2:36" x14ac:dyDescent="0.2">
      <c r="B58" s="23" t="s">
        <v>12</v>
      </c>
      <c r="D58" s="3">
        <v>2030</v>
      </c>
      <c r="F58" s="226">
        <f>'Depr and ADFIT'!$C$1</f>
        <v>57798518.958269402</v>
      </c>
      <c r="H58" s="14">
        <f>'Depr and ADFIT'!C56</f>
        <v>-16055200</v>
      </c>
      <c r="J58" s="227">
        <f>'Depr and ADFIT'!J56</f>
        <v>364459</v>
      </c>
      <c r="L58" s="260">
        <f>'Depr and ADFIT'!$N$1</f>
        <v>20059165.356256999</v>
      </c>
      <c r="M58" s="261"/>
      <c r="N58" s="259">
        <f>'Depr and ADFIT'!N56</f>
        <v>-5572000</v>
      </c>
      <c r="O58" s="261"/>
      <c r="P58" s="262">
        <f>'Depr and ADFIT'!P56</f>
        <v>-3042305</v>
      </c>
      <c r="R58" s="198">
        <f t="shared" si="4"/>
        <v>53552638.314526401</v>
      </c>
      <c r="T58" s="20">
        <f>WACC!$S$16</f>
        <v>8.1600000000000006E-2</v>
      </c>
      <c r="V58" s="16">
        <f t="shared" si="1"/>
        <v>364157.94053877954</v>
      </c>
      <c r="W58" s="17"/>
      <c r="X58" s="17">
        <f>'O&amp;M'!$F$11</f>
        <v>58333.333333333336</v>
      </c>
      <c r="Z58" s="17">
        <f>(ROUND(F58*'Depr and ADFIT'!$C$4/12,0))</f>
        <v>321104</v>
      </c>
      <c r="AB58" s="17">
        <f>F58*'Alloc. Factors and Property Tax'!$E$24*'Alloc. Factors and Property Tax'!$E$25*'Alloc. Factors and Property Tax'!$E$26/12</f>
        <v>2866.2285551405798</v>
      </c>
      <c r="AD58" s="267">
        <f>Repayment!$AB$81/180</f>
        <v>111439.8075347611</v>
      </c>
      <c r="AF58" s="17">
        <f t="shared" si="3"/>
        <v>857901.30996201455</v>
      </c>
      <c r="AH58" s="21">
        <f>'Alloc. Factors and Property Tax'!$C$18</f>
        <v>0.9604166666666667</v>
      </c>
      <c r="AJ58" s="19">
        <f t="shared" si="2"/>
        <v>823942.71644268488</v>
      </c>
    </row>
    <row r="59" spans="2:36" x14ac:dyDescent="0.2">
      <c r="B59" s="23" t="s">
        <v>13</v>
      </c>
      <c r="D59" s="3">
        <v>2030</v>
      </c>
      <c r="F59" s="226">
        <f>'Depr and ADFIT'!$C$1</f>
        <v>57798518.958269402</v>
      </c>
      <c r="H59" s="14">
        <f>'Depr and ADFIT'!C57</f>
        <v>-16376304</v>
      </c>
      <c r="J59" s="227">
        <f>'Depr and ADFIT'!J57</f>
        <v>374106</v>
      </c>
      <c r="L59" s="260">
        <f>'Depr and ADFIT'!$N$1</f>
        <v>20059165.356256999</v>
      </c>
      <c r="M59" s="261"/>
      <c r="N59" s="259">
        <f>'Depr and ADFIT'!N57</f>
        <v>-5683440</v>
      </c>
      <c r="O59" s="261"/>
      <c r="P59" s="262">
        <f>'Depr and ADFIT'!P57</f>
        <v>-3018902</v>
      </c>
      <c r="R59" s="198">
        <f t="shared" si="4"/>
        <v>53153144.314526401</v>
      </c>
      <c r="T59" s="20">
        <f>WACC!$S$16</f>
        <v>8.1600000000000006E-2</v>
      </c>
      <c r="V59" s="16">
        <f t="shared" si="1"/>
        <v>361441.38133877958</v>
      </c>
      <c r="W59" s="17"/>
      <c r="X59" s="17">
        <f>'O&amp;M'!$F$11</f>
        <v>58333.333333333336</v>
      </c>
      <c r="Z59" s="17">
        <f>(ROUND(F59*'Depr and ADFIT'!$C$4/12,0))</f>
        <v>321104</v>
      </c>
      <c r="AB59" s="17">
        <f>F59*'Alloc. Factors and Property Tax'!$E$24*'Alloc. Factors and Property Tax'!$E$25*'Alloc. Factors and Property Tax'!$E$26/12</f>
        <v>2866.2285551405798</v>
      </c>
      <c r="AD59" s="267">
        <f>Repayment!$AB$81/180</f>
        <v>111439.8075347611</v>
      </c>
      <c r="AF59" s="17">
        <f t="shared" si="3"/>
        <v>855184.75076201453</v>
      </c>
      <c r="AH59" s="21">
        <f>'Alloc. Factors and Property Tax'!$C$18</f>
        <v>0.9604166666666667</v>
      </c>
      <c r="AJ59" s="19">
        <f t="shared" si="2"/>
        <v>821333.68771101814</v>
      </c>
    </row>
    <row r="60" spans="2:36" x14ac:dyDescent="0.2">
      <c r="B60" s="23" t="s">
        <v>14</v>
      </c>
      <c r="D60" s="3">
        <v>2030</v>
      </c>
      <c r="F60" s="226">
        <f>'Depr and ADFIT'!$C$1</f>
        <v>57798518.958269402</v>
      </c>
      <c r="H60" s="14">
        <f>'Depr and ADFIT'!C58</f>
        <v>-16697408</v>
      </c>
      <c r="J60" s="227">
        <f>'Depr and ADFIT'!J58</f>
        <v>383752</v>
      </c>
      <c r="L60" s="260">
        <f>'Depr and ADFIT'!$N$1</f>
        <v>20059165.356256999</v>
      </c>
      <c r="M60" s="261"/>
      <c r="N60" s="259">
        <f>'Depr and ADFIT'!N58</f>
        <v>-5794880</v>
      </c>
      <c r="O60" s="261"/>
      <c r="P60" s="262">
        <f>'Depr and ADFIT'!P58</f>
        <v>-2995500</v>
      </c>
      <c r="R60" s="198">
        <f t="shared" si="4"/>
        <v>52753648.314526401</v>
      </c>
      <c r="T60" s="20">
        <f>WACC!$S$16</f>
        <v>8.1600000000000006E-2</v>
      </c>
      <c r="V60" s="16">
        <f t="shared" si="1"/>
        <v>358724.80853877956</v>
      </c>
      <c r="W60" s="17"/>
      <c r="X60" s="17">
        <f>'O&amp;M'!$F$11</f>
        <v>58333.333333333336</v>
      </c>
      <c r="Z60" s="17">
        <f>(ROUND(F60*'Depr and ADFIT'!$C$4/12,0))</f>
        <v>321104</v>
      </c>
      <c r="AB60" s="17">
        <f>F60*'Alloc. Factors and Property Tax'!$E$24*'Alloc. Factors and Property Tax'!$E$25*'Alloc. Factors and Property Tax'!$E$26/12</f>
        <v>2866.2285551405798</v>
      </c>
      <c r="AD60" s="267">
        <f>Repayment!$AB$81/180</f>
        <v>111439.8075347611</v>
      </c>
      <c r="AF60" s="17">
        <f t="shared" si="3"/>
        <v>852468.17796201457</v>
      </c>
      <c r="AH60" s="21">
        <f>'Alloc. Factors and Property Tax'!$C$18</f>
        <v>0.9604166666666667</v>
      </c>
      <c r="AJ60" s="19">
        <f t="shared" si="2"/>
        <v>818724.64591768489</v>
      </c>
    </row>
    <row r="61" spans="2:36" x14ac:dyDescent="0.2">
      <c r="B61" s="23" t="s">
        <v>15</v>
      </c>
      <c r="D61" s="3">
        <v>2030</v>
      </c>
      <c r="F61" s="226">
        <f>'Depr and ADFIT'!$C$1</f>
        <v>57798518.958269402</v>
      </c>
      <c r="H61" s="14">
        <f>'Depr and ADFIT'!C59</f>
        <v>-17018512</v>
      </c>
      <c r="J61" s="227">
        <f>'Depr and ADFIT'!J59</f>
        <v>393398</v>
      </c>
      <c r="L61" s="260">
        <f>'Depr and ADFIT'!$N$1</f>
        <v>20059165.356256999</v>
      </c>
      <c r="M61" s="261"/>
      <c r="N61" s="259">
        <f>'Depr and ADFIT'!N59</f>
        <v>-5906320</v>
      </c>
      <c r="O61" s="261"/>
      <c r="P61" s="262">
        <f>'Depr and ADFIT'!P59</f>
        <v>-2972098</v>
      </c>
      <c r="R61" s="198">
        <f t="shared" si="4"/>
        <v>52354152.314526401</v>
      </c>
      <c r="T61" s="20">
        <f>WACC!$S$16</f>
        <v>8.1600000000000006E-2</v>
      </c>
      <c r="V61" s="16">
        <f t="shared" si="1"/>
        <v>356008.23573877959</v>
      </c>
      <c r="W61" s="17"/>
      <c r="X61" s="17">
        <f>'O&amp;M'!$F$11</f>
        <v>58333.333333333336</v>
      </c>
      <c r="Z61" s="17">
        <f>(ROUND(F61*'Depr and ADFIT'!$C$4/12,0))</f>
        <v>321104</v>
      </c>
      <c r="AB61" s="17">
        <f>F61*'Alloc. Factors and Property Tax'!$E$24*'Alloc. Factors and Property Tax'!$E$25*'Alloc. Factors and Property Tax'!$E$26/12</f>
        <v>2866.2285551405798</v>
      </c>
      <c r="AD61" s="267">
        <f>Repayment!$AB$81/180</f>
        <v>111439.8075347611</v>
      </c>
      <c r="AF61" s="17">
        <f t="shared" si="3"/>
        <v>849751.6051620146</v>
      </c>
      <c r="AH61" s="21">
        <f>'Alloc. Factors and Property Tax'!$C$18</f>
        <v>0.9604166666666667</v>
      </c>
      <c r="AJ61" s="19">
        <f t="shared" si="2"/>
        <v>816115.60412435152</v>
      </c>
    </row>
    <row r="62" spans="2:36" x14ac:dyDescent="0.2">
      <c r="B62" s="23" t="s">
        <v>16</v>
      </c>
      <c r="D62" s="3">
        <v>2030</v>
      </c>
      <c r="F62" s="226">
        <f>'Depr and ADFIT'!$C$1</f>
        <v>57798518.958269402</v>
      </c>
      <c r="H62" s="14">
        <f>'Depr and ADFIT'!C60</f>
        <v>-17339616</v>
      </c>
      <c r="J62" s="227">
        <f>'Depr and ADFIT'!J60</f>
        <v>403045</v>
      </c>
      <c r="L62" s="260">
        <f>'Depr and ADFIT'!$N$1</f>
        <v>20059165.356256999</v>
      </c>
      <c r="M62" s="261"/>
      <c r="N62" s="259">
        <f>'Depr and ADFIT'!N60</f>
        <v>-6017760</v>
      </c>
      <c r="O62" s="261"/>
      <c r="P62" s="262">
        <f>'Depr and ADFIT'!P60</f>
        <v>-2948695</v>
      </c>
      <c r="R62" s="198">
        <f t="shared" si="4"/>
        <v>51954658.314526401</v>
      </c>
      <c r="T62" s="20">
        <f>WACC!$S$16</f>
        <v>8.1600000000000006E-2</v>
      </c>
      <c r="V62" s="16">
        <f t="shared" si="1"/>
        <v>353291.67653877957</v>
      </c>
      <c r="W62" s="17"/>
      <c r="X62" s="17">
        <f>'O&amp;M'!$F$11</f>
        <v>58333.333333333336</v>
      </c>
      <c r="Z62" s="17">
        <f>(ROUND(F62*'Depr and ADFIT'!$C$4/12,0))</f>
        <v>321104</v>
      </c>
      <c r="AB62" s="17">
        <f>F62*'Alloc. Factors and Property Tax'!$E$24*'Alloc. Factors and Property Tax'!$E$25*'Alloc. Factors and Property Tax'!$E$26/12</f>
        <v>2866.2285551405798</v>
      </c>
      <c r="AD62" s="267">
        <f>Repayment!$AB$81/180</f>
        <v>111439.8075347611</v>
      </c>
      <c r="AF62" s="17">
        <f t="shared" si="3"/>
        <v>847035.04596201458</v>
      </c>
      <c r="AH62" s="21">
        <f>'Alloc. Factors and Property Tax'!$C$18</f>
        <v>0.9604166666666667</v>
      </c>
      <c r="AJ62" s="19">
        <f t="shared" si="2"/>
        <v>813506.5753926849</v>
      </c>
    </row>
    <row r="63" spans="2:36" x14ac:dyDescent="0.2">
      <c r="B63" s="23" t="s">
        <v>17</v>
      </c>
      <c r="D63" s="3">
        <v>2030</v>
      </c>
      <c r="F63" s="226">
        <f>'Depr and ADFIT'!$C$1</f>
        <v>57798518.958269402</v>
      </c>
      <c r="H63" s="14">
        <f>'Depr and ADFIT'!C61</f>
        <v>-17660720</v>
      </c>
      <c r="J63" s="227">
        <f>'Depr and ADFIT'!J61</f>
        <v>412691</v>
      </c>
      <c r="L63" s="260">
        <f>'Depr and ADFIT'!$N$1</f>
        <v>20059165.356256999</v>
      </c>
      <c r="M63" s="261"/>
      <c r="N63" s="259">
        <f>'Depr and ADFIT'!N61</f>
        <v>-6129200</v>
      </c>
      <c r="O63" s="261"/>
      <c r="P63" s="262">
        <f>'Depr and ADFIT'!P61</f>
        <v>-2925293</v>
      </c>
      <c r="R63" s="198">
        <f t="shared" si="4"/>
        <v>51555162.314526401</v>
      </c>
      <c r="T63" s="20">
        <f>WACC!$S$16</f>
        <v>8.1600000000000006E-2</v>
      </c>
      <c r="V63" s="16">
        <f t="shared" si="1"/>
        <v>350575.10373877961</v>
      </c>
      <c r="W63" s="17"/>
      <c r="X63" s="17">
        <f>'O&amp;M'!$F$11</f>
        <v>58333.333333333336</v>
      </c>
      <c r="Z63" s="17">
        <f>(ROUND(F63*'Depr and ADFIT'!$C$4/12,0))</f>
        <v>321104</v>
      </c>
      <c r="AB63" s="17">
        <f>F63*'Alloc. Factors and Property Tax'!$E$24*'Alloc. Factors and Property Tax'!$E$25*'Alloc. Factors and Property Tax'!$E$26/12</f>
        <v>2866.2285551405798</v>
      </c>
      <c r="AD63" s="267">
        <f>Repayment!$AB$81/180</f>
        <v>111439.8075347611</v>
      </c>
      <c r="AF63" s="17">
        <f t="shared" si="3"/>
        <v>844318.47316201462</v>
      </c>
      <c r="AH63" s="21">
        <f>'Alloc. Factors and Property Tax'!$C$18</f>
        <v>0.9604166666666667</v>
      </c>
      <c r="AJ63" s="19">
        <f t="shared" si="2"/>
        <v>810897.53359935153</v>
      </c>
    </row>
    <row r="64" spans="2:36" x14ac:dyDescent="0.2">
      <c r="B64" s="23" t="s">
        <v>18</v>
      </c>
      <c r="D64" s="3">
        <v>2030</v>
      </c>
      <c r="F64" s="226">
        <f>'Depr and ADFIT'!$C$1</f>
        <v>57798518.958269402</v>
      </c>
      <c r="H64" s="14">
        <f>'Depr and ADFIT'!C62</f>
        <v>-17981824</v>
      </c>
      <c r="J64" s="227">
        <f>'Depr and ADFIT'!J62</f>
        <v>422337</v>
      </c>
      <c r="L64" s="260">
        <f>'Depr and ADFIT'!$N$1</f>
        <v>20059165.356256999</v>
      </c>
      <c r="M64" s="261"/>
      <c r="N64" s="259">
        <f>'Depr and ADFIT'!N62</f>
        <v>-6240640</v>
      </c>
      <c r="O64" s="261"/>
      <c r="P64" s="262">
        <f>'Depr and ADFIT'!P62</f>
        <v>-2901890</v>
      </c>
      <c r="R64" s="198">
        <f t="shared" si="4"/>
        <v>51155667.314526401</v>
      </c>
      <c r="T64" s="20">
        <f>WACC!$S$16</f>
        <v>8.1600000000000006E-2</v>
      </c>
      <c r="V64" s="16">
        <f t="shared" si="1"/>
        <v>347858.53773877956</v>
      </c>
      <c r="W64" s="17"/>
      <c r="X64" s="17">
        <f>'O&amp;M'!$F$11</f>
        <v>58333.333333333336</v>
      </c>
      <c r="Z64" s="17">
        <f>(ROUND(F64*'Depr and ADFIT'!$C$4/12,0))</f>
        <v>321104</v>
      </c>
      <c r="AB64" s="17">
        <f>F64*'Alloc. Factors and Property Tax'!$E$24*'Alloc. Factors and Property Tax'!$E$25*'Alloc. Factors and Property Tax'!$E$26/12</f>
        <v>2866.2285551405798</v>
      </c>
      <c r="AD64" s="267">
        <f>Repayment!$AB$81/180</f>
        <v>111439.8075347611</v>
      </c>
      <c r="AF64" s="17">
        <f t="shared" si="3"/>
        <v>841601.90716201451</v>
      </c>
      <c r="AH64" s="21">
        <f>'Alloc. Factors and Property Tax'!$C$18</f>
        <v>0.9604166666666667</v>
      </c>
      <c r="AJ64" s="19">
        <f t="shared" si="2"/>
        <v>808288.49833685148</v>
      </c>
    </row>
    <row r="65" spans="2:36" x14ac:dyDescent="0.2">
      <c r="B65" s="23" t="s">
        <v>19</v>
      </c>
      <c r="D65" s="3">
        <v>2030</v>
      </c>
      <c r="F65" s="226">
        <f>'Depr and ADFIT'!$C$1</f>
        <v>57798518.958269402</v>
      </c>
      <c r="H65" s="14">
        <f>'Depr and ADFIT'!C63</f>
        <v>-18302928</v>
      </c>
      <c r="J65" s="227">
        <f>'Depr and ADFIT'!J63</f>
        <v>431984</v>
      </c>
      <c r="L65" s="260">
        <f>'Depr and ADFIT'!$N$1</f>
        <v>20059165.356256999</v>
      </c>
      <c r="M65" s="261"/>
      <c r="N65" s="259">
        <f>'Depr and ADFIT'!N63</f>
        <v>-6352080</v>
      </c>
      <c r="O65" s="261"/>
      <c r="P65" s="262">
        <f>'Depr and ADFIT'!P63</f>
        <v>-2878488</v>
      </c>
      <c r="R65" s="198">
        <f t="shared" si="4"/>
        <v>50756172.314526401</v>
      </c>
      <c r="T65" s="20">
        <f>WACC!$S$16</f>
        <v>8.1600000000000006E-2</v>
      </c>
      <c r="V65" s="16">
        <f t="shared" si="1"/>
        <v>345141.97173877957</v>
      </c>
      <c r="W65" s="17"/>
      <c r="X65" s="17">
        <f>'O&amp;M'!$F$11</f>
        <v>58333.333333333336</v>
      </c>
      <c r="Z65" s="17">
        <f>(ROUND(F65*'Depr and ADFIT'!$C$4/12,0))</f>
        <v>321104</v>
      </c>
      <c r="AB65" s="17">
        <f>F65*'Alloc. Factors and Property Tax'!$E$24*'Alloc. Factors and Property Tax'!$E$25*'Alloc. Factors and Property Tax'!$E$26/12</f>
        <v>2866.2285551405798</v>
      </c>
      <c r="AD65" s="267">
        <f>Repayment!$AB$81/180</f>
        <v>111439.8075347611</v>
      </c>
      <c r="AF65" s="17">
        <f t="shared" si="3"/>
        <v>838885.34116201464</v>
      </c>
      <c r="AH65" s="21">
        <f>'Alloc. Factors and Property Tax'!$C$18</f>
        <v>0.9604166666666667</v>
      </c>
      <c r="AJ65" s="19">
        <f t="shared" si="2"/>
        <v>805679.46307435154</v>
      </c>
    </row>
    <row r="66" spans="2:36" x14ac:dyDescent="0.2">
      <c r="B66" s="23" t="s">
        <v>8</v>
      </c>
      <c r="D66" s="3">
        <v>2030</v>
      </c>
      <c r="F66" s="226">
        <f>'Depr and ADFIT'!$C$1</f>
        <v>57798518.958269402</v>
      </c>
      <c r="H66" s="14">
        <f>'Depr and ADFIT'!C64</f>
        <v>-18624032</v>
      </c>
      <c r="J66" s="227">
        <f>'Depr and ADFIT'!J64</f>
        <v>441630</v>
      </c>
      <c r="L66" s="260">
        <f>'Depr and ADFIT'!$N$1</f>
        <v>20059165.356256999</v>
      </c>
      <c r="M66" s="261"/>
      <c r="N66" s="259">
        <f>'Depr and ADFIT'!N64</f>
        <v>-6463520</v>
      </c>
      <c r="O66" s="261"/>
      <c r="P66" s="262">
        <f>'Depr and ADFIT'!P64</f>
        <v>-2855086</v>
      </c>
      <c r="R66" s="198">
        <f t="shared" si="4"/>
        <v>50356676.314526401</v>
      </c>
      <c r="T66" s="20">
        <f>WACC!$S$16</f>
        <v>8.1600000000000006E-2</v>
      </c>
      <c r="V66" s="16">
        <f t="shared" si="1"/>
        <v>342425.39893877954</v>
      </c>
      <c r="W66" s="17"/>
      <c r="X66" s="17">
        <f>'O&amp;M'!$F$11</f>
        <v>58333.333333333336</v>
      </c>
      <c r="Z66" s="17">
        <f>(ROUND(F66*'Depr and ADFIT'!$C$4/12,0))</f>
        <v>321104</v>
      </c>
      <c r="AB66" s="17">
        <f>F66*'Alloc. Factors and Property Tax'!$E$24*'Alloc. Factors and Property Tax'!$E$25*'Alloc. Factors and Property Tax'!$E$26/12</f>
        <v>2866.2285551405798</v>
      </c>
      <c r="AD66" s="267">
        <f>Repayment!$AB$81/180</f>
        <v>111439.8075347611</v>
      </c>
      <c r="AF66" s="17">
        <f t="shared" si="3"/>
        <v>836168.76836201455</v>
      </c>
      <c r="AH66" s="21">
        <f>'Alloc. Factors and Property Tax'!$C$18</f>
        <v>0.9604166666666667</v>
      </c>
      <c r="AJ66" s="19">
        <f t="shared" si="2"/>
        <v>803070.42128101818</v>
      </c>
    </row>
    <row r="67" spans="2:36" x14ac:dyDescent="0.2">
      <c r="B67" s="23" t="s">
        <v>9</v>
      </c>
      <c r="D67" s="3">
        <v>2030</v>
      </c>
      <c r="F67" s="226">
        <f>'Depr and ADFIT'!$C$1</f>
        <v>57798518.958269402</v>
      </c>
      <c r="H67" s="14">
        <f>'Depr and ADFIT'!C65</f>
        <v>-18945136</v>
      </c>
      <c r="J67" s="227">
        <f>'Depr and ADFIT'!J65</f>
        <v>451276</v>
      </c>
      <c r="L67" s="260">
        <f>'Depr and ADFIT'!$N$1</f>
        <v>20059165.356256999</v>
      </c>
      <c r="M67" s="261"/>
      <c r="N67" s="259">
        <f>'Depr and ADFIT'!N65</f>
        <v>-6574960</v>
      </c>
      <c r="O67" s="261"/>
      <c r="P67" s="262">
        <f>'Depr and ADFIT'!P65</f>
        <v>-2831683</v>
      </c>
      <c r="R67" s="198">
        <f t="shared" si="4"/>
        <v>49957181.314526401</v>
      </c>
      <c r="T67" s="20">
        <f>WACC!$S$16</f>
        <v>8.1600000000000006E-2</v>
      </c>
      <c r="V67" s="16">
        <f t="shared" si="1"/>
        <v>339708.83293877955</v>
      </c>
      <c r="W67" s="17"/>
      <c r="X67" s="17">
        <f>'O&amp;M'!$F$11</f>
        <v>58333.333333333336</v>
      </c>
      <c r="Z67" s="17">
        <f>(ROUND(F67*'Depr and ADFIT'!$C$4/12,0))</f>
        <v>321104</v>
      </c>
      <c r="AB67" s="17">
        <f>F67*'Alloc. Factors and Property Tax'!$E$24*'Alloc. Factors and Property Tax'!$E$25*'Alloc. Factors and Property Tax'!$E$26/12</f>
        <v>2866.2285551405798</v>
      </c>
      <c r="AD67" s="267">
        <f>Repayment!$AB$81/180</f>
        <v>111439.8075347611</v>
      </c>
      <c r="AF67" s="17">
        <f t="shared" si="3"/>
        <v>833452.20236201456</v>
      </c>
      <c r="AH67" s="21">
        <f>'Alloc. Factors and Property Tax'!$C$18</f>
        <v>0.9604166666666667</v>
      </c>
      <c r="AJ67" s="19">
        <f t="shared" si="2"/>
        <v>800461.38601851813</v>
      </c>
    </row>
    <row r="68" spans="2:36" x14ac:dyDescent="0.2">
      <c r="B68" s="23" t="s">
        <v>10</v>
      </c>
      <c r="D68" s="3">
        <v>2030</v>
      </c>
      <c r="F68" s="226">
        <f>'Depr and ADFIT'!$C$1</f>
        <v>57798518.958269402</v>
      </c>
      <c r="H68" s="14">
        <f>'Depr and ADFIT'!C66</f>
        <v>-19266240</v>
      </c>
      <c r="J68" s="227">
        <f>'Depr and ADFIT'!J66</f>
        <v>460923</v>
      </c>
      <c r="L68" s="260">
        <f>'Depr and ADFIT'!$N$1</f>
        <v>20059165.356256999</v>
      </c>
      <c r="M68" s="261"/>
      <c r="N68" s="259">
        <f>'Depr and ADFIT'!N66</f>
        <v>-6686400</v>
      </c>
      <c r="O68" s="261"/>
      <c r="P68" s="262">
        <f>'Depr and ADFIT'!P66</f>
        <v>-2808281</v>
      </c>
      <c r="R68" s="198">
        <f t="shared" si="4"/>
        <v>49557686.314526401</v>
      </c>
      <c r="T68" s="20">
        <f>WACC!$S$16</f>
        <v>8.1600000000000006E-2</v>
      </c>
      <c r="V68" s="16">
        <f t="shared" si="1"/>
        <v>336992.26693877956</v>
      </c>
      <c r="W68" s="17"/>
      <c r="X68" s="17">
        <f>'O&amp;M'!$F$11</f>
        <v>58333.333333333336</v>
      </c>
      <c r="Z68" s="17">
        <f>(ROUND(F68*'Depr and ADFIT'!$C$4/12,0))</f>
        <v>321104</v>
      </c>
      <c r="AB68" s="17">
        <f>F68*'Alloc. Factors and Property Tax'!$E$24*'Alloc. Factors and Property Tax'!$E$25*'Alloc. Factors and Property Tax'!$E$26/12</f>
        <v>2866.2285551405798</v>
      </c>
      <c r="AD68" s="267">
        <f>Repayment!$AB$81/180</f>
        <v>111439.8075347611</v>
      </c>
      <c r="AF68" s="17">
        <f t="shared" si="3"/>
        <v>830735.63636201457</v>
      </c>
      <c r="AH68" s="21">
        <f>'Alloc. Factors and Property Tax'!$C$18</f>
        <v>0.9604166666666667</v>
      </c>
      <c r="AJ68" s="19">
        <f t="shared" si="2"/>
        <v>797852.35075601819</v>
      </c>
    </row>
    <row r="69" spans="2:36" x14ac:dyDescent="0.2">
      <c r="B69" s="23" t="s">
        <v>11</v>
      </c>
      <c r="D69" s="3">
        <v>2031</v>
      </c>
      <c r="F69" s="226">
        <f>'Depr and ADFIT'!$C$1</f>
        <v>57798518.958269402</v>
      </c>
      <c r="H69" s="14">
        <f>'Depr and ADFIT'!C67</f>
        <v>-19587344</v>
      </c>
      <c r="J69" s="227">
        <f>'Depr and ADFIT'!J67</f>
        <v>474898</v>
      </c>
      <c r="L69" s="260">
        <f>'Depr and ADFIT'!$N$1</f>
        <v>20059165.356256999</v>
      </c>
      <c r="M69" s="261"/>
      <c r="N69" s="259">
        <f>'Depr and ADFIT'!N67</f>
        <v>-6797840</v>
      </c>
      <c r="O69" s="261"/>
      <c r="P69" s="262">
        <f>'Depr and ADFIT'!P67</f>
        <v>-2784878</v>
      </c>
      <c r="R69" s="198">
        <f t="shared" si="4"/>
        <v>49162520.314526401</v>
      </c>
      <c r="T69" s="20">
        <f>WACC!$S$16</f>
        <v>8.1600000000000006E-2</v>
      </c>
      <c r="V69" s="16">
        <f t="shared" si="1"/>
        <v>334305.13813877956</v>
      </c>
      <c r="W69" s="17"/>
      <c r="X69" s="17">
        <f>'O&amp;M'!$G$11</f>
        <v>54166.666666666664</v>
      </c>
      <c r="Z69" s="17">
        <f>(ROUND(F69*'Depr and ADFIT'!$C$4/12,0))</f>
        <v>321104</v>
      </c>
      <c r="AB69" s="17">
        <f>F69*'Alloc. Factors and Property Tax'!$E$24*'Alloc. Factors and Property Tax'!$E$25*'Alloc. Factors and Property Tax'!$E$26/12</f>
        <v>2866.2285551405798</v>
      </c>
      <c r="AD69" s="267">
        <f>Repayment!$AB$81/180</f>
        <v>111439.8075347611</v>
      </c>
      <c r="AF69" s="17">
        <f t="shared" si="3"/>
        <v>823881.84089534788</v>
      </c>
      <c r="AH69" s="21">
        <f>'Alloc. Factors and Property Tax'!$C$18</f>
        <v>0.9604166666666667</v>
      </c>
      <c r="AJ69" s="19">
        <f t="shared" si="2"/>
        <v>791269.85135990707</v>
      </c>
    </row>
    <row r="70" spans="2:36" x14ac:dyDescent="0.2">
      <c r="B70" s="23" t="s">
        <v>12</v>
      </c>
      <c r="D70" s="3">
        <v>2031</v>
      </c>
      <c r="F70" s="226">
        <f>'Depr and ADFIT'!$C$1</f>
        <v>57798518.958269402</v>
      </c>
      <c r="H70" s="14">
        <f>'Depr and ADFIT'!C68</f>
        <v>-19908448</v>
      </c>
      <c r="J70" s="227">
        <f>'Depr and ADFIT'!J68</f>
        <v>488873</v>
      </c>
      <c r="L70" s="260">
        <f>'Depr and ADFIT'!$N$1</f>
        <v>20059165.356256999</v>
      </c>
      <c r="M70" s="261"/>
      <c r="N70" s="259">
        <f>'Depr and ADFIT'!N68</f>
        <v>-6909280</v>
      </c>
      <c r="O70" s="261"/>
      <c r="P70" s="262">
        <f>'Depr and ADFIT'!P68</f>
        <v>-2761476</v>
      </c>
      <c r="R70" s="198">
        <f t="shared" si="4"/>
        <v>48767353.314526401</v>
      </c>
      <c r="T70" s="20">
        <f>WACC!$S$16</f>
        <v>8.1600000000000006E-2</v>
      </c>
      <c r="V70" s="16">
        <f t="shared" si="1"/>
        <v>331618.00253877958</v>
      </c>
      <c r="X70" s="17">
        <f>'O&amp;M'!$G$11</f>
        <v>54166.666666666664</v>
      </c>
      <c r="Z70" s="17">
        <f>(ROUND(F70*'Depr and ADFIT'!$C$4/12,0))</f>
        <v>321104</v>
      </c>
      <c r="AB70" s="17">
        <f>F70*'Alloc. Factors and Property Tax'!$E$24*'Alloc. Factors and Property Tax'!$E$25*'Alloc. Factors and Property Tax'!$E$26/12</f>
        <v>2866.2285551405798</v>
      </c>
      <c r="AD70" s="267">
        <f>Repayment!$AB$81/180</f>
        <v>111439.8075347611</v>
      </c>
      <c r="AF70" s="17">
        <f t="shared" si="3"/>
        <v>821194.70529534796</v>
      </c>
      <c r="AH70" s="21">
        <f>'Alloc. Factors and Property Tax'!$C$18</f>
        <v>0.9604166666666667</v>
      </c>
      <c r="AJ70" s="19">
        <f t="shared" si="2"/>
        <v>788689.08154407376</v>
      </c>
    </row>
    <row r="71" spans="2:36" x14ac:dyDescent="0.2">
      <c r="B71" s="23" t="s">
        <v>13</v>
      </c>
      <c r="D71" s="3">
        <v>2031</v>
      </c>
      <c r="F71" s="226">
        <f>'Depr and ADFIT'!$C$1</f>
        <v>57798518.958269402</v>
      </c>
      <c r="H71" s="14">
        <f>'Depr and ADFIT'!C69</f>
        <v>-20229552</v>
      </c>
      <c r="J71" s="227">
        <f>'Depr and ADFIT'!J69</f>
        <v>502849</v>
      </c>
      <c r="L71" s="260">
        <f>'Depr and ADFIT'!$N$1</f>
        <v>20059165.356256999</v>
      </c>
      <c r="M71" s="261"/>
      <c r="N71" s="259">
        <f>'Depr and ADFIT'!N69</f>
        <v>-7020720</v>
      </c>
      <c r="O71" s="261"/>
      <c r="P71" s="262">
        <f>'Depr and ADFIT'!P69</f>
        <v>-2738074</v>
      </c>
      <c r="R71" s="198">
        <f t="shared" si="4"/>
        <v>48372187.314526401</v>
      </c>
      <c r="T71" s="20">
        <f>WACC!$S$16</f>
        <v>8.1600000000000006E-2</v>
      </c>
      <c r="V71" s="16">
        <f t="shared" ref="V71:V134" si="5">R71*T71/12</f>
        <v>328930.87373877957</v>
      </c>
      <c r="X71" s="17">
        <f>'O&amp;M'!$G$11</f>
        <v>54166.666666666664</v>
      </c>
      <c r="Z71" s="17">
        <f>(ROUND(F71*'Depr and ADFIT'!$C$4/12,0))</f>
        <v>321104</v>
      </c>
      <c r="AB71" s="17">
        <f>F71*'Alloc. Factors and Property Tax'!$E$24*'Alloc. Factors and Property Tax'!$E$25*'Alloc. Factors and Property Tax'!$E$26/12</f>
        <v>2866.2285551405798</v>
      </c>
      <c r="AD71" s="267">
        <f>Repayment!$AB$81/180</f>
        <v>111439.8075347611</v>
      </c>
      <c r="AF71" s="17">
        <f t="shared" si="3"/>
        <v>818507.57649534789</v>
      </c>
      <c r="AH71" s="21">
        <f>'Alloc. Factors and Property Tax'!$C$18</f>
        <v>0.9604166666666667</v>
      </c>
      <c r="AJ71" s="19">
        <f t="shared" ref="AJ71:AJ134" si="6">AF71*AH71</f>
        <v>786108.31825907377</v>
      </c>
    </row>
    <row r="72" spans="2:36" x14ac:dyDescent="0.2">
      <c r="B72" s="23" t="s">
        <v>14</v>
      </c>
      <c r="D72" s="3">
        <v>2031</v>
      </c>
      <c r="F72" s="226">
        <f>'Depr and ADFIT'!$C$1</f>
        <v>57798518.958269402</v>
      </c>
      <c r="H72" s="14">
        <f>'Depr and ADFIT'!C70</f>
        <v>-20550656</v>
      </c>
      <c r="J72" s="227">
        <f>'Depr and ADFIT'!J70</f>
        <v>516824</v>
      </c>
      <c r="L72" s="260">
        <f>'Depr and ADFIT'!$N$1</f>
        <v>20059165.356256999</v>
      </c>
      <c r="M72" s="261"/>
      <c r="N72" s="259">
        <f>'Depr and ADFIT'!N70</f>
        <v>-7132160</v>
      </c>
      <c r="O72" s="261"/>
      <c r="P72" s="262">
        <f>'Depr and ADFIT'!P70</f>
        <v>-2714671</v>
      </c>
      <c r="R72" s="198">
        <f t="shared" si="4"/>
        <v>47977021.314526401</v>
      </c>
      <c r="T72" s="20">
        <f>WACC!$S$16</f>
        <v>8.1600000000000006E-2</v>
      </c>
      <c r="V72" s="16">
        <f t="shared" si="5"/>
        <v>326243.74493877956</v>
      </c>
      <c r="X72" s="17">
        <f>'O&amp;M'!$G$11</f>
        <v>54166.666666666664</v>
      </c>
      <c r="Z72" s="17">
        <f>(ROUND(F72*'Depr and ADFIT'!$C$4/12,0))</f>
        <v>321104</v>
      </c>
      <c r="AB72" s="17">
        <f>F72*'Alloc. Factors and Property Tax'!$E$24*'Alloc. Factors and Property Tax'!$E$25*'Alloc. Factors and Property Tax'!$E$26/12</f>
        <v>2866.2285551405798</v>
      </c>
      <c r="AD72" s="267">
        <f>Repayment!$AB$81/180</f>
        <v>111439.8075347611</v>
      </c>
      <c r="AF72" s="17">
        <f t="shared" si="3"/>
        <v>815820.44769534795</v>
      </c>
      <c r="AH72" s="21">
        <f>'Alloc. Factors and Property Tax'!$C$18</f>
        <v>0.9604166666666667</v>
      </c>
      <c r="AJ72" s="19">
        <f t="shared" si="6"/>
        <v>783527.55497407378</v>
      </c>
    </row>
    <row r="73" spans="2:36" x14ac:dyDescent="0.2">
      <c r="B73" s="23" t="s">
        <v>15</v>
      </c>
      <c r="D73" s="3">
        <v>2031</v>
      </c>
      <c r="F73" s="226">
        <f>'Depr and ADFIT'!$C$1</f>
        <v>57798518.958269402</v>
      </c>
      <c r="H73" s="14">
        <f>'Depr and ADFIT'!C71</f>
        <v>-20871760</v>
      </c>
      <c r="J73" s="227">
        <f>'Depr and ADFIT'!J71</f>
        <v>530800</v>
      </c>
      <c r="L73" s="260">
        <f>'Depr and ADFIT'!$N$1</f>
        <v>20059165.356256999</v>
      </c>
      <c r="M73" s="261"/>
      <c r="N73" s="259">
        <f>'Depr and ADFIT'!N71</f>
        <v>-7243600</v>
      </c>
      <c r="O73" s="261"/>
      <c r="P73" s="262">
        <f>'Depr and ADFIT'!P71</f>
        <v>-2691269</v>
      </c>
      <c r="R73" s="198">
        <f t="shared" ref="R73:R104" si="7">SUM(F73:Q73)</f>
        <v>47581855.314526401</v>
      </c>
      <c r="T73" s="20">
        <f>WACC!$S$16</f>
        <v>8.1600000000000006E-2</v>
      </c>
      <c r="V73" s="16">
        <f t="shared" si="5"/>
        <v>323556.61613877956</v>
      </c>
      <c r="X73" s="17">
        <f>'O&amp;M'!$G$11</f>
        <v>54166.666666666664</v>
      </c>
      <c r="Z73" s="17">
        <f>(ROUND(F73*'Depr and ADFIT'!$C$4/12,0))</f>
        <v>321104</v>
      </c>
      <c r="AB73" s="17">
        <f>F73*'Alloc. Factors and Property Tax'!$E$24*'Alloc. Factors and Property Tax'!$E$25*'Alloc. Factors and Property Tax'!$E$26/12</f>
        <v>2866.2285551405798</v>
      </c>
      <c r="AD73" s="267">
        <f>Repayment!$AB$81/180</f>
        <v>111439.8075347611</v>
      </c>
      <c r="AF73" s="17">
        <f t="shared" si="3"/>
        <v>813133.318895348</v>
      </c>
      <c r="AH73" s="21">
        <f>'Alloc. Factors and Property Tax'!$C$18</f>
        <v>0.9604166666666667</v>
      </c>
      <c r="AJ73" s="19">
        <f t="shared" si="6"/>
        <v>780946.79168907378</v>
      </c>
    </row>
    <row r="74" spans="2:36" x14ac:dyDescent="0.2">
      <c r="B74" s="23" t="s">
        <v>16</v>
      </c>
      <c r="D74" s="3">
        <v>2031</v>
      </c>
      <c r="F74" s="226">
        <f>'Depr and ADFIT'!$C$1</f>
        <v>57798518.958269402</v>
      </c>
      <c r="H74" s="14">
        <f>'Depr and ADFIT'!C72</f>
        <v>-21192864</v>
      </c>
      <c r="J74" s="227">
        <f>'Depr and ADFIT'!J72</f>
        <v>544775</v>
      </c>
      <c r="L74" s="260">
        <f>'Depr and ADFIT'!$N$1</f>
        <v>20059165.356256999</v>
      </c>
      <c r="M74" s="261"/>
      <c r="N74" s="259">
        <f>'Depr and ADFIT'!N72</f>
        <v>-7355040</v>
      </c>
      <c r="O74" s="261"/>
      <c r="P74" s="262">
        <f>'Depr and ADFIT'!P72</f>
        <v>-2667866</v>
      </c>
      <c r="R74" s="198">
        <f t="shared" si="7"/>
        <v>47186689.314526401</v>
      </c>
      <c r="T74" s="20">
        <f>WACC!$S$16</f>
        <v>8.1600000000000006E-2</v>
      </c>
      <c r="V74" s="16">
        <f t="shared" si="5"/>
        <v>320869.48733877955</v>
      </c>
      <c r="X74" s="17">
        <f>'O&amp;M'!$G$11</f>
        <v>54166.666666666664</v>
      </c>
      <c r="Z74" s="17">
        <f>(ROUND(F74*'Depr and ADFIT'!$C$4/12,0))</f>
        <v>321104</v>
      </c>
      <c r="AB74" s="17">
        <f>F74*'Alloc. Factors and Property Tax'!$E$24*'Alloc. Factors and Property Tax'!$E$25*'Alloc. Factors and Property Tax'!$E$26/12</f>
        <v>2866.2285551405798</v>
      </c>
      <c r="AD74" s="267">
        <f>Repayment!$AB$81/180</f>
        <v>111439.8075347611</v>
      </c>
      <c r="AF74" s="17">
        <f t="shared" ref="AF74:AF137" si="8">SUM(V74:AD74)</f>
        <v>810446.19009534793</v>
      </c>
      <c r="AH74" s="21">
        <f>'Alloc. Factors and Property Tax'!$C$18</f>
        <v>0.9604166666666667</v>
      </c>
      <c r="AJ74" s="19">
        <f t="shared" si="6"/>
        <v>778366.02840407379</v>
      </c>
    </row>
    <row r="75" spans="2:36" x14ac:dyDescent="0.2">
      <c r="B75" s="23" t="s">
        <v>17</v>
      </c>
      <c r="D75" s="3">
        <v>2031</v>
      </c>
      <c r="F75" s="226">
        <f>'Depr and ADFIT'!$C$1</f>
        <v>57798518.958269402</v>
      </c>
      <c r="H75" s="14">
        <f>'Depr and ADFIT'!C73</f>
        <v>-21513968</v>
      </c>
      <c r="J75" s="227">
        <f>'Depr and ADFIT'!J73</f>
        <v>558751</v>
      </c>
      <c r="L75" s="260">
        <f>'Depr and ADFIT'!$N$1</f>
        <v>20059165.356256999</v>
      </c>
      <c r="M75" s="261"/>
      <c r="N75" s="259">
        <f>'Depr and ADFIT'!N73</f>
        <v>-7466480</v>
      </c>
      <c r="O75" s="261"/>
      <c r="P75" s="262">
        <f>'Depr and ADFIT'!P73</f>
        <v>-2644464</v>
      </c>
      <c r="R75" s="198">
        <f t="shared" si="7"/>
        <v>46791523.314526401</v>
      </c>
      <c r="T75" s="20">
        <f>WACC!$S$16</f>
        <v>8.1600000000000006E-2</v>
      </c>
      <c r="V75" s="16">
        <f t="shared" si="5"/>
        <v>318182.35853877955</v>
      </c>
      <c r="X75" s="17">
        <f>'O&amp;M'!$G$11</f>
        <v>54166.666666666664</v>
      </c>
      <c r="Z75" s="17">
        <f>(ROUND(F75*'Depr and ADFIT'!$C$4/12,0))</f>
        <v>321104</v>
      </c>
      <c r="AB75" s="17">
        <f>F75*'Alloc. Factors and Property Tax'!$E$24*'Alloc. Factors and Property Tax'!$E$25*'Alloc. Factors and Property Tax'!$E$26/12</f>
        <v>2866.2285551405798</v>
      </c>
      <c r="AD75" s="267">
        <f>Repayment!$AB$81/180</f>
        <v>111439.8075347611</v>
      </c>
      <c r="AF75" s="17">
        <f t="shared" si="8"/>
        <v>807759.06129534787</v>
      </c>
      <c r="AH75" s="21">
        <f>'Alloc. Factors and Property Tax'!$C$18</f>
        <v>0.9604166666666667</v>
      </c>
      <c r="AJ75" s="19">
        <f t="shared" si="6"/>
        <v>775785.26511907368</v>
      </c>
    </row>
    <row r="76" spans="2:36" x14ac:dyDescent="0.2">
      <c r="B76" s="23" t="s">
        <v>18</v>
      </c>
      <c r="D76" s="3">
        <v>2031</v>
      </c>
      <c r="F76" s="226">
        <f>'Depr and ADFIT'!$C$1</f>
        <v>57798518.958269402</v>
      </c>
      <c r="H76" s="14">
        <f>'Depr and ADFIT'!C74</f>
        <v>-21835072</v>
      </c>
      <c r="J76" s="227">
        <f>'Depr and ADFIT'!J74</f>
        <v>572726</v>
      </c>
      <c r="L76" s="260">
        <f>'Depr and ADFIT'!$N$1</f>
        <v>20059165.356256999</v>
      </c>
      <c r="M76" s="261"/>
      <c r="N76" s="259">
        <f>'Depr and ADFIT'!N74</f>
        <v>-7577920</v>
      </c>
      <c r="O76" s="261"/>
      <c r="P76" s="262">
        <f>'Depr and ADFIT'!P74</f>
        <v>-2621062</v>
      </c>
      <c r="R76" s="198">
        <f t="shared" si="7"/>
        <v>46396356.314526401</v>
      </c>
      <c r="T76" s="20">
        <f>WACC!$S$16</f>
        <v>8.1600000000000006E-2</v>
      </c>
      <c r="V76" s="16">
        <f t="shared" si="5"/>
        <v>315495.22293877957</v>
      </c>
      <c r="X76" s="17">
        <f>'O&amp;M'!$G$11</f>
        <v>54166.666666666664</v>
      </c>
      <c r="Z76" s="17">
        <f>(ROUND(F76*'Depr and ADFIT'!$C$4/12,0))</f>
        <v>321104</v>
      </c>
      <c r="AB76" s="17">
        <f>F76*'Alloc. Factors and Property Tax'!$E$24*'Alloc. Factors and Property Tax'!$E$25*'Alloc. Factors and Property Tax'!$E$26/12</f>
        <v>2866.2285551405798</v>
      </c>
      <c r="AD76" s="267">
        <f>Repayment!$AB$81/180</f>
        <v>111439.8075347611</v>
      </c>
      <c r="AF76" s="17">
        <f t="shared" si="8"/>
        <v>805071.92569534795</v>
      </c>
      <c r="AH76" s="21">
        <f>'Alloc. Factors and Property Tax'!$C$18</f>
        <v>0.9604166666666667</v>
      </c>
      <c r="AJ76" s="19">
        <f t="shared" si="6"/>
        <v>773204.49530324049</v>
      </c>
    </row>
    <row r="77" spans="2:36" x14ac:dyDescent="0.2">
      <c r="B77" s="23" t="s">
        <v>19</v>
      </c>
      <c r="D77" s="3">
        <v>2031</v>
      </c>
      <c r="F77" s="226">
        <f>'Depr and ADFIT'!$C$1</f>
        <v>57798518.958269402</v>
      </c>
      <c r="H77" s="14">
        <f>'Depr and ADFIT'!C75</f>
        <v>-22156176</v>
      </c>
      <c r="J77" s="227">
        <f>'Depr and ADFIT'!J75</f>
        <v>586701</v>
      </c>
      <c r="L77" s="260">
        <f>'Depr and ADFIT'!$N$1</f>
        <v>20059165.356256999</v>
      </c>
      <c r="M77" s="261"/>
      <c r="N77" s="259">
        <f>'Depr and ADFIT'!N75</f>
        <v>-7689360</v>
      </c>
      <c r="O77" s="261"/>
      <c r="P77" s="262">
        <f>'Depr and ADFIT'!P75</f>
        <v>-2597659</v>
      </c>
      <c r="R77" s="198">
        <f t="shared" si="7"/>
        <v>46001190.314526401</v>
      </c>
      <c r="T77" s="20">
        <f>WACC!$S$16</f>
        <v>8.1600000000000006E-2</v>
      </c>
      <c r="V77" s="16">
        <f t="shared" si="5"/>
        <v>312808.09413877956</v>
      </c>
      <c r="X77" s="17">
        <f>'O&amp;M'!$G$11</f>
        <v>54166.666666666664</v>
      </c>
      <c r="Z77" s="17">
        <f>(ROUND(F77*'Depr and ADFIT'!$C$4/12,0))</f>
        <v>321104</v>
      </c>
      <c r="AB77" s="17">
        <f>F77*'Alloc. Factors and Property Tax'!$E$24*'Alloc. Factors and Property Tax'!$E$25*'Alloc. Factors and Property Tax'!$E$26/12</f>
        <v>2866.2285551405798</v>
      </c>
      <c r="AD77" s="267">
        <f>Repayment!$AB$81/180</f>
        <v>111439.8075347611</v>
      </c>
      <c r="AF77" s="17">
        <f t="shared" si="8"/>
        <v>802384.79689534788</v>
      </c>
      <c r="AH77" s="21">
        <f>'Alloc. Factors and Property Tax'!$C$18</f>
        <v>0.9604166666666667</v>
      </c>
      <c r="AJ77" s="19">
        <f t="shared" si="6"/>
        <v>770623.73201824038</v>
      </c>
    </row>
    <row r="78" spans="2:36" x14ac:dyDescent="0.2">
      <c r="B78" s="23" t="s">
        <v>8</v>
      </c>
      <c r="D78" s="3">
        <v>2031</v>
      </c>
      <c r="F78" s="226">
        <f>'Depr and ADFIT'!$C$1</f>
        <v>57798518.958269402</v>
      </c>
      <c r="H78" s="14">
        <f>'Depr and ADFIT'!C76</f>
        <v>-22477280</v>
      </c>
      <c r="J78" s="227">
        <f>'Depr and ADFIT'!J76</f>
        <v>600677</v>
      </c>
      <c r="L78" s="260">
        <f>'Depr and ADFIT'!$N$1</f>
        <v>20059165.356256999</v>
      </c>
      <c r="M78" s="261"/>
      <c r="N78" s="259">
        <f>'Depr and ADFIT'!N76</f>
        <v>-7800800</v>
      </c>
      <c r="O78" s="261"/>
      <c r="P78" s="262">
        <f>'Depr and ADFIT'!P76</f>
        <v>-2574257</v>
      </c>
      <c r="R78" s="198">
        <f t="shared" si="7"/>
        <v>45606024.314526401</v>
      </c>
      <c r="T78" s="20">
        <f>WACC!$S$16</f>
        <v>8.1600000000000006E-2</v>
      </c>
      <c r="V78" s="16">
        <f t="shared" si="5"/>
        <v>310120.96533877956</v>
      </c>
      <c r="X78" s="17">
        <f>'O&amp;M'!$G$11</f>
        <v>54166.666666666664</v>
      </c>
      <c r="Z78" s="17">
        <f>(ROUND(F78*'Depr and ADFIT'!$C$4/12,0))</f>
        <v>321104</v>
      </c>
      <c r="AB78" s="17">
        <f>F78*'Alloc. Factors and Property Tax'!$E$24*'Alloc. Factors and Property Tax'!$E$25*'Alloc. Factors and Property Tax'!$E$26/12</f>
        <v>2866.2285551405798</v>
      </c>
      <c r="AD78" s="267">
        <f>Repayment!$AB$81/180</f>
        <v>111439.8075347611</v>
      </c>
      <c r="AF78" s="17">
        <f t="shared" si="8"/>
        <v>799697.66809534794</v>
      </c>
      <c r="AH78" s="21">
        <f>'Alloc. Factors and Property Tax'!$C$18</f>
        <v>0.9604166666666667</v>
      </c>
      <c r="AJ78" s="19">
        <f t="shared" si="6"/>
        <v>768042.96873324038</v>
      </c>
    </row>
    <row r="79" spans="2:36" x14ac:dyDescent="0.2">
      <c r="B79" s="23" t="s">
        <v>9</v>
      </c>
      <c r="D79" s="3">
        <v>2031</v>
      </c>
      <c r="F79" s="226">
        <f>'Depr and ADFIT'!$C$1</f>
        <v>57798518.958269402</v>
      </c>
      <c r="H79" s="14">
        <f>'Depr and ADFIT'!C77</f>
        <v>-22798384</v>
      </c>
      <c r="J79" s="227">
        <f>'Depr and ADFIT'!J77</f>
        <v>614652</v>
      </c>
      <c r="L79" s="260">
        <f>'Depr and ADFIT'!$N$1</f>
        <v>20059165.356256999</v>
      </c>
      <c r="M79" s="261"/>
      <c r="N79" s="259">
        <f>'Depr and ADFIT'!N77</f>
        <v>-7912240</v>
      </c>
      <c r="O79" s="261"/>
      <c r="P79" s="262">
        <f>'Depr and ADFIT'!P77</f>
        <v>-2550854</v>
      </c>
      <c r="R79" s="198">
        <f t="shared" si="7"/>
        <v>45210858.314526401</v>
      </c>
      <c r="T79" s="20">
        <f>WACC!$S$16</f>
        <v>8.1600000000000006E-2</v>
      </c>
      <c r="V79" s="16">
        <f t="shared" si="5"/>
        <v>307433.83653877955</v>
      </c>
      <c r="X79" s="17">
        <f>'O&amp;M'!$G$11</f>
        <v>54166.666666666664</v>
      </c>
      <c r="Z79" s="17">
        <f>(ROUND(F79*'Depr and ADFIT'!$C$4/12,0))</f>
        <v>321104</v>
      </c>
      <c r="AB79" s="17">
        <f>F79*'Alloc. Factors and Property Tax'!$E$24*'Alloc. Factors and Property Tax'!$E$25*'Alloc. Factors and Property Tax'!$E$26/12</f>
        <v>2866.2285551405798</v>
      </c>
      <c r="AD79" s="267">
        <f>Repayment!$AB$81/180</f>
        <v>111439.8075347611</v>
      </c>
      <c r="AF79" s="17">
        <f t="shared" si="8"/>
        <v>797010.53929534799</v>
      </c>
      <c r="AH79" s="21">
        <f>'Alloc. Factors and Property Tax'!$C$18</f>
        <v>0.9604166666666667</v>
      </c>
      <c r="AJ79" s="19">
        <f t="shared" si="6"/>
        <v>765462.20544824051</v>
      </c>
    </row>
    <row r="80" spans="2:36" x14ac:dyDescent="0.2">
      <c r="B80" s="23" t="s">
        <v>10</v>
      </c>
      <c r="D80" s="3">
        <v>2031</v>
      </c>
      <c r="F80" s="226">
        <f>'Depr and ADFIT'!$C$1</f>
        <v>57798518.958269402</v>
      </c>
      <c r="H80" s="14">
        <f>'Depr and ADFIT'!C78</f>
        <v>-23119488</v>
      </c>
      <c r="J80" s="227">
        <f>'Depr and ADFIT'!J78</f>
        <v>628628</v>
      </c>
      <c r="L80" s="260">
        <f>'Depr and ADFIT'!$N$1</f>
        <v>20059165.356256999</v>
      </c>
      <c r="M80" s="261"/>
      <c r="N80" s="259">
        <f>'Depr and ADFIT'!N78</f>
        <v>-8023680</v>
      </c>
      <c r="O80" s="261"/>
      <c r="P80" s="262">
        <f>'Depr and ADFIT'!P78</f>
        <v>-2527452</v>
      </c>
      <c r="R80" s="198">
        <f t="shared" si="7"/>
        <v>44815692.314526401</v>
      </c>
      <c r="T80" s="20">
        <f>WACC!$S$16</f>
        <v>8.1600000000000006E-2</v>
      </c>
      <c r="V80" s="16">
        <f t="shared" si="5"/>
        <v>304746.70773877954</v>
      </c>
      <c r="X80" s="17">
        <f>'O&amp;M'!$G$11</f>
        <v>54166.666666666664</v>
      </c>
      <c r="Z80" s="17">
        <f>(ROUND(F80*'Depr and ADFIT'!$C$4/12,0))</f>
        <v>321104</v>
      </c>
      <c r="AB80" s="17">
        <f>F80*'Alloc. Factors and Property Tax'!$E$24*'Alloc. Factors and Property Tax'!$E$25*'Alloc. Factors and Property Tax'!$E$26/12</f>
        <v>2866.2285551405798</v>
      </c>
      <c r="AD80" s="267">
        <f>Repayment!$AB$81/180</f>
        <v>111439.8075347611</v>
      </c>
      <c r="AF80" s="17">
        <f t="shared" si="8"/>
        <v>794323.41049534793</v>
      </c>
      <c r="AH80" s="21">
        <f>'Alloc. Factors and Property Tax'!$C$18</f>
        <v>0.9604166666666667</v>
      </c>
      <c r="AJ80" s="19">
        <f t="shared" si="6"/>
        <v>762881.4421632404</v>
      </c>
    </row>
    <row r="81" spans="2:36" x14ac:dyDescent="0.2">
      <c r="B81" s="23" t="s">
        <v>11</v>
      </c>
      <c r="D81" s="3">
        <v>2032</v>
      </c>
      <c r="F81" s="226">
        <f>'Depr and ADFIT'!$C$1</f>
        <v>57798518.958269402</v>
      </c>
      <c r="H81" s="14">
        <f>'Depr and ADFIT'!C79</f>
        <v>-23440592</v>
      </c>
      <c r="J81" s="227">
        <f>'Depr and ADFIT'!J79</f>
        <v>646619</v>
      </c>
      <c r="L81" s="260">
        <f>'Depr and ADFIT'!$N$1</f>
        <v>20059165.356256999</v>
      </c>
      <c r="M81" s="261"/>
      <c r="N81" s="259">
        <f>'Depr and ADFIT'!N79</f>
        <v>-8135120</v>
      </c>
      <c r="O81" s="261"/>
      <c r="P81" s="262">
        <f>'Depr and ADFIT'!P79</f>
        <v>-2504050</v>
      </c>
      <c r="R81" s="198">
        <f t="shared" si="7"/>
        <v>44424541.314526401</v>
      </c>
      <c r="T81" s="20">
        <f>WACC!$S$16</f>
        <v>8.1600000000000006E-2</v>
      </c>
      <c r="V81" s="16">
        <f t="shared" si="5"/>
        <v>302086.88093877956</v>
      </c>
      <c r="X81" s="17">
        <f>'O&amp;M'!$H$11</f>
        <v>54166.666666666664</v>
      </c>
      <c r="Z81" s="17">
        <f>(ROUND(F81*'Depr and ADFIT'!$C$4/12,0))</f>
        <v>321104</v>
      </c>
      <c r="AB81" s="17">
        <f>F81*'Alloc. Factors and Property Tax'!$E$24*'Alloc. Factors and Property Tax'!$E$25*'Alloc. Factors and Property Tax'!$E$26/12</f>
        <v>2866.2285551405798</v>
      </c>
      <c r="AD81" s="267">
        <f>Repayment!$AB$81/180</f>
        <v>111439.8075347611</v>
      </c>
      <c r="AF81" s="17">
        <f t="shared" si="8"/>
        <v>791663.583695348</v>
      </c>
      <c r="AH81" s="21">
        <f>'Alloc. Factors and Property Tax'!$C$18</f>
        <v>0.9604166666666667</v>
      </c>
      <c r="AJ81" s="19">
        <f t="shared" si="6"/>
        <v>760326.90017407387</v>
      </c>
    </row>
    <row r="82" spans="2:36" x14ac:dyDescent="0.2">
      <c r="B82" s="23" t="s">
        <v>12</v>
      </c>
      <c r="D82" s="3">
        <v>2032</v>
      </c>
      <c r="F82" s="226">
        <f>'Depr and ADFIT'!$C$1</f>
        <v>57798518.958269402</v>
      </c>
      <c r="H82" s="14">
        <f>'Depr and ADFIT'!C80</f>
        <v>-23761696</v>
      </c>
      <c r="J82" s="227">
        <f>'Depr and ADFIT'!J80</f>
        <v>664610</v>
      </c>
      <c r="L82" s="260">
        <f>'Depr and ADFIT'!$N$1</f>
        <v>20059165.356256999</v>
      </c>
      <c r="M82" s="261"/>
      <c r="N82" s="259">
        <f>'Depr and ADFIT'!N80</f>
        <v>-8246560</v>
      </c>
      <c r="O82" s="261"/>
      <c r="P82" s="262">
        <f>'Depr and ADFIT'!P80</f>
        <v>-2480647</v>
      </c>
      <c r="R82" s="198">
        <f t="shared" si="7"/>
        <v>44033391.314526401</v>
      </c>
      <c r="T82" s="20">
        <f>WACC!$S$16</f>
        <v>8.1600000000000006E-2</v>
      </c>
      <c r="V82" s="16">
        <f t="shared" si="5"/>
        <v>299427.06093877956</v>
      </c>
      <c r="X82" s="17">
        <f>'O&amp;M'!$H$11</f>
        <v>54166.666666666664</v>
      </c>
      <c r="Z82" s="17">
        <f>(ROUND(F82*'Depr and ADFIT'!$C$4/12,0))</f>
        <v>321104</v>
      </c>
      <c r="AB82" s="17">
        <f>F82*'Alloc. Factors and Property Tax'!$E$24*'Alloc. Factors and Property Tax'!$E$25*'Alloc. Factors and Property Tax'!$E$26/12</f>
        <v>2866.2285551405798</v>
      </c>
      <c r="AD82" s="267">
        <f>Repayment!$AB$81/180</f>
        <v>111439.8075347611</v>
      </c>
      <c r="AF82" s="17">
        <f t="shared" si="8"/>
        <v>789003.76369534794</v>
      </c>
      <c r="AH82" s="21">
        <f>'Alloc. Factors and Property Tax'!$C$18</f>
        <v>0.9604166666666667</v>
      </c>
      <c r="AJ82" s="19">
        <f t="shared" si="6"/>
        <v>757772.36471574043</v>
      </c>
    </row>
    <row r="83" spans="2:36" x14ac:dyDescent="0.2">
      <c r="B83" s="23" t="s">
        <v>13</v>
      </c>
      <c r="D83" s="3">
        <v>2032</v>
      </c>
      <c r="F83" s="226">
        <f>'Depr and ADFIT'!$C$1</f>
        <v>57798518.958269402</v>
      </c>
      <c r="H83" s="14">
        <f>'Depr and ADFIT'!C81</f>
        <v>-24082800</v>
      </c>
      <c r="J83" s="227">
        <f>'Depr and ADFIT'!J81</f>
        <v>682601</v>
      </c>
      <c r="L83" s="260">
        <f>'Depr and ADFIT'!$N$1</f>
        <v>20059165.356256999</v>
      </c>
      <c r="M83" s="261"/>
      <c r="N83" s="259">
        <f>'Depr and ADFIT'!N81</f>
        <v>-8358000</v>
      </c>
      <c r="O83" s="261"/>
      <c r="P83" s="262">
        <f>'Depr and ADFIT'!P81</f>
        <v>-2457245</v>
      </c>
      <c r="R83" s="198">
        <f t="shared" si="7"/>
        <v>43642240.314526401</v>
      </c>
      <c r="T83" s="20">
        <f>WACC!$S$16</f>
        <v>8.1600000000000006E-2</v>
      </c>
      <c r="V83" s="16">
        <f t="shared" si="5"/>
        <v>296767.23413877952</v>
      </c>
      <c r="X83" s="17">
        <f>'O&amp;M'!$H$11</f>
        <v>54166.666666666664</v>
      </c>
      <c r="Z83" s="17">
        <f>(ROUND(F83*'Depr and ADFIT'!$C$4/12,0))</f>
        <v>321104</v>
      </c>
      <c r="AB83" s="17">
        <f>F83*'Alloc. Factors and Property Tax'!$E$24*'Alloc. Factors and Property Tax'!$E$25*'Alloc. Factors and Property Tax'!$E$26/12</f>
        <v>2866.2285551405798</v>
      </c>
      <c r="AD83" s="267">
        <f>Repayment!$AB$81/180</f>
        <v>111439.8075347611</v>
      </c>
      <c r="AF83" s="17">
        <f t="shared" si="8"/>
        <v>786343.9368953479</v>
      </c>
      <c r="AH83" s="21">
        <f>'Alloc. Factors and Property Tax'!$C$18</f>
        <v>0.9604166666666667</v>
      </c>
      <c r="AJ83" s="19">
        <f t="shared" si="6"/>
        <v>755217.82272657368</v>
      </c>
    </row>
    <row r="84" spans="2:36" x14ac:dyDescent="0.2">
      <c r="B84" s="23" t="s">
        <v>14</v>
      </c>
      <c r="D84" s="3">
        <v>2032</v>
      </c>
      <c r="F84" s="226">
        <f>'Depr and ADFIT'!$C$1</f>
        <v>57798518.958269402</v>
      </c>
      <c r="H84" s="14">
        <f>'Depr and ADFIT'!C82</f>
        <v>-24403904</v>
      </c>
      <c r="J84" s="227">
        <f>'Depr and ADFIT'!J82</f>
        <v>700592</v>
      </c>
      <c r="L84" s="260">
        <f>'Depr and ADFIT'!$N$1</f>
        <v>20059165.356256999</v>
      </c>
      <c r="M84" s="261"/>
      <c r="N84" s="259">
        <f>'Depr and ADFIT'!N82</f>
        <v>-8469440</v>
      </c>
      <c r="O84" s="261"/>
      <c r="P84" s="262">
        <f>'Depr and ADFIT'!P82</f>
        <v>-2433842</v>
      </c>
      <c r="R84" s="198">
        <f t="shared" si="7"/>
        <v>43251090.314526401</v>
      </c>
      <c r="T84" s="20">
        <f>WACC!$S$16</f>
        <v>8.1600000000000006E-2</v>
      </c>
      <c r="V84" s="16">
        <f t="shared" si="5"/>
        <v>294107.41413877957</v>
      </c>
      <c r="X84" s="17">
        <f>'O&amp;M'!$H$11</f>
        <v>54166.666666666664</v>
      </c>
      <c r="Z84" s="17">
        <f>(ROUND(F84*'Depr and ADFIT'!$C$4/12,0))</f>
        <v>321104</v>
      </c>
      <c r="AB84" s="17">
        <f>F84*'Alloc. Factors and Property Tax'!$E$24*'Alloc. Factors and Property Tax'!$E$25*'Alloc. Factors and Property Tax'!$E$26/12</f>
        <v>2866.2285551405798</v>
      </c>
      <c r="AD84" s="267">
        <f>Repayment!$AB$81/180</f>
        <v>111439.8075347611</v>
      </c>
      <c r="AF84" s="17">
        <f t="shared" si="8"/>
        <v>783684.11689534795</v>
      </c>
      <c r="AH84" s="21">
        <f>'Alloc. Factors and Property Tax'!$C$18</f>
        <v>0.9604166666666667</v>
      </c>
      <c r="AJ84" s="19">
        <f t="shared" si="6"/>
        <v>752663.28726824047</v>
      </c>
    </row>
    <row r="85" spans="2:36" x14ac:dyDescent="0.2">
      <c r="B85" s="23" t="s">
        <v>15</v>
      </c>
      <c r="D85" s="3">
        <v>2032</v>
      </c>
      <c r="F85" s="226">
        <f>'Depr and ADFIT'!$C$1</f>
        <v>57798518.958269402</v>
      </c>
      <c r="H85" s="14">
        <f>'Depr and ADFIT'!C83</f>
        <v>-24725008</v>
      </c>
      <c r="J85" s="227">
        <f>'Depr and ADFIT'!J83</f>
        <v>718583</v>
      </c>
      <c r="L85" s="260">
        <f>'Depr and ADFIT'!$N$1</f>
        <v>20059165.356256999</v>
      </c>
      <c r="M85" s="261"/>
      <c r="N85" s="259">
        <f>'Depr and ADFIT'!N83</f>
        <v>-8580880</v>
      </c>
      <c r="O85" s="261"/>
      <c r="P85" s="262">
        <f>'Depr and ADFIT'!P83</f>
        <v>-2410440</v>
      </c>
      <c r="R85" s="198">
        <f t="shared" si="7"/>
        <v>42859939.314526401</v>
      </c>
      <c r="T85" s="20">
        <f>WACC!$S$16</f>
        <v>8.1600000000000006E-2</v>
      </c>
      <c r="V85" s="16">
        <f t="shared" si="5"/>
        <v>291447.58733877953</v>
      </c>
      <c r="X85" s="17">
        <f>'O&amp;M'!$H$11</f>
        <v>54166.666666666664</v>
      </c>
      <c r="Z85" s="17">
        <f>(ROUND(F85*'Depr and ADFIT'!$C$4/12,0))</f>
        <v>321104</v>
      </c>
      <c r="AB85" s="17">
        <f>F85*'Alloc. Factors and Property Tax'!$E$24*'Alloc. Factors and Property Tax'!$E$25*'Alloc. Factors and Property Tax'!$E$26/12</f>
        <v>2866.2285551405798</v>
      </c>
      <c r="AD85" s="267">
        <f>Repayment!$AB$81/180</f>
        <v>111439.8075347611</v>
      </c>
      <c r="AF85" s="17">
        <f t="shared" si="8"/>
        <v>781024.29009534791</v>
      </c>
      <c r="AH85" s="21">
        <f>'Alloc. Factors and Property Tax'!$C$18</f>
        <v>0.9604166666666667</v>
      </c>
      <c r="AJ85" s="19">
        <f t="shared" si="6"/>
        <v>750108.74527907372</v>
      </c>
    </row>
    <row r="86" spans="2:36" x14ac:dyDescent="0.2">
      <c r="B86" s="23" t="s">
        <v>16</v>
      </c>
      <c r="D86" s="3">
        <v>2032</v>
      </c>
      <c r="F86" s="226">
        <f>'Depr and ADFIT'!$C$1</f>
        <v>57798518.958269402</v>
      </c>
      <c r="H86" s="14">
        <f>'Depr and ADFIT'!C84</f>
        <v>-25046112</v>
      </c>
      <c r="J86" s="227">
        <f>'Depr and ADFIT'!J84</f>
        <v>736574</v>
      </c>
      <c r="L86" s="260">
        <f>'Depr and ADFIT'!$N$1</f>
        <v>20059165.356256999</v>
      </c>
      <c r="M86" s="261"/>
      <c r="N86" s="259">
        <f>'Depr and ADFIT'!N84</f>
        <v>-8692320</v>
      </c>
      <c r="O86" s="261"/>
      <c r="P86" s="262">
        <f>'Depr and ADFIT'!P84</f>
        <v>-2387038</v>
      </c>
      <c r="R86" s="198">
        <f t="shared" si="7"/>
        <v>42468788.314526401</v>
      </c>
      <c r="T86" s="20">
        <f>WACC!$S$16</f>
        <v>8.1600000000000006E-2</v>
      </c>
      <c r="V86" s="16">
        <f t="shared" si="5"/>
        <v>288787.76053877955</v>
      </c>
      <c r="X86" s="17">
        <f>'O&amp;M'!$H$11</f>
        <v>54166.666666666664</v>
      </c>
      <c r="Z86" s="17">
        <f>(ROUND(F86*'Depr and ADFIT'!$C$4/12,0))</f>
        <v>321104</v>
      </c>
      <c r="AB86" s="17">
        <f>F86*'Alloc. Factors and Property Tax'!$E$24*'Alloc. Factors and Property Tax'!$E$25*'Alloc. Factors and Property Tax'!$E$26/12</f>
        <v>2866.2285551405798</v>
      </c>
      <c r="AD86" s="267">
        <f>Repayment!$AB$81/180</f>
        <v>111439.8075347611</v>
      </c>
      <c r="AF86" s="17">
        <f t="shared" si="8"/>
        <v>778364.46329534787</v>
      </c>
      <c r="AH86" s="21">
        <f>'Alloc. Factors and Property Tax'!$C$18</f>
        <v>0.9604166666666667</v>
      </c>
      <c r="AJ86" s="19">
        <f t="shared" si="6"/>
        <v>747554.20328990708</v>
      </c>
    </row>
    <row r="87" spans="2:36" x14ac:dyDescent="0.2">
      <c r="B87" s="23" t="s">
        <v>17</v>
      </c>
      <c r="D87" s="3">
        <v>2032</v>
      </c>
      <c r="F87" s="226">
        <f>'Depr and ADFIT'!$C$1</f>
        <v>57798518.958269402</v>
      </c>
      <c r="H87" s="14">
        <f>'Depr and ADFIT'!C85</f>
        <v>-25367216</v>
      </c>
      <c r="J87" s="227">
        <f>'Depr and ADFIT'!J85</f>
        <v>754565</v>
      </c>
      <c r="L87" s="260">
        <f>'Depr and ADFIT'!$N$1</f>
        <v>20059165.356256999</v>
      </c>
      <c r="M87" s="261"/>
      <c r="N87" s="259">
        <f>'Depr and ADFIT'!N85</f>
        <v>-8803760</v>
      </c>
      <c r="O87" s="261"/>
      <c r="P87" s="262">
        <f>'Depr and ADFIT'!P85</f>
        <v>-2363635</v>
      </c>
      <c r="R87" s="198">
        <f t="shared" si="7"/>
        <v>42077638.314526401</v>
      </c>
      <c r="T87" s="20">
        <f>WACC!$S$16</f>
        <v>8.1600000000000006E-2</v>
      </c>
      <c r="V87" s="16">
        <f t="shared" si="5"/>
        <v>286127.94053877954</v>
      </c>
      <c r="X87" s="17">
        <f>'O&amp;M'!$H$11</f>
        <v>54166.666666666664</v>
      </c>
      <c r="Z87" s="17">
        <f>(ROUND(F87*'Depr and ADFIT'!$C$4/12,0))</f>
        <v>321104</v>
      </c>
      <c r="AB87" s="17">
        <f>F87*'Alloc. Factors and Property Tax'!$E$24*'Alloc. Factors and Property Tax'!$E$25*'Alloc. Factors and Property Tax'!$E$26/12</f>
        <v>2866.2285551405798</v>
      </c>
      <c r="AD87" s="267">
        <f>Repayment!$AB$81/180</f>
        <v>111439.8075347611</v>
      </c>
      <c r="AF87" s="17">
        <f t="shared" si="8"/>
        <v>775704.64329534792</v>
      </c>
      <c r="AH87" s="21">
        <f>'Alloc. Factors and Property Tax'!$C$18</f>
        <v>0.9604166666666667</v>
      </c>
      <c r="AJ87" s="19">
        <f t="shared" si="6"/>
        <v>744999.66783157375</v>
      </c>
    </row>
    <row r="88" spans="2:36" x14ac:dyDescent="0.2">
      <c r="B88" s="23" t="s">
        <v>18</v>
      </c>
      <c r="D88" s="3">
        <v>2032</v>
      </c>
      <c r="F88" s="226">
        <f>'Depr and ADFIT'!$C$1</f>
        <v>57798518.958269402</v>
      </c>
      <c r="H88" s="14">
        <f>'Depr and ADFIT'!C86</f>
        <v>-25688320</v>
      </c>
      <c r="J88" s="227">
        <f>'Depr and ADFIT'!J86</f>
        <v>772556</v>
      </c>
      <c r="L88" s="260">
        <f>'Depr and ADFIT'!$N$1</f>
        <v>20059165.356256999</v>
      </c>
      <c r="M88" s="261"/>
      <c r="N88" s="259">
        <f>'Depr and ADFIT'!N86</f>
        <v>-8915200</v>
      </c>
      <c r="O88" s="261"/>
      <c r="P88" s="262">
        <f>'Depr and ADFIT'!P86</f>
        <v>-2340233</v>
      </c>
      <c r="R88" s="198">
        <f t="shared" si="7"/>
        <v>41686487.314526401</v>
      </c>
      <c r="T88" s="20">
        <f>WACC!$S$16</f>
        <v>8.1600000000000006E-2</v>
      </c>
      <c r="V88" s="16">
        <f t="shared" si="5"/>
        <v>283468.11373877956</v>
      </c>
      <c r="X88" s="17">
        <f>'O&amp;M'!$H$11</f>
        <v>54166.666666666664</v>
      </c>
      <c r="Z88" s="17">
        <f>(ROUND(F88*'Depr and ADFIT'!$C$4/12,0))</f>
        <v>321104</v>
      </c>
      <c r="AB88" s="17">
        <f>F88*'Alloc. Factors and Property Tax'!$E$24*'Alloc. Factors and Property Tax'!$E$25*'Alloc. Factors and Property Tax'!$E$26/12</f>
        <v>2866.2285551405798</v>
      </c>
      <c r="AD88" s="267">
        <f>Repayment!$AB$81/180</f>
        <v>111439.8075347611</v>
      </c>
      <c r="AF88" s="17">
        <f t="shared" si="8"/>
        <v>773044.81649534788</v>
      </c>
      <c r="AH88" s="21">
        <f>'Alloc. Factors and Property Tax'!$C$18</f>
        <v>0.9604166666666667</v>
      </c>
      <c r="AJ88" s="19">
        <f t="shared" si="6"/>
        <v>742445.125842407</v>
      </c>
    </row>
    <row r="89" spans="2:36" x14ac:dyDescent="0.2">
      <c r="B89" s="23" t="s">
        <v>19</v>
      </c>
      <c r="D89" s="3">
        <v>2032</v>
      </c>
      <c r="F89" s="226">
        <f>'Depr and ADFIT'!$C$1</f>
        <v>57798518.958269402</v>
      </c>
      <c r="H89" s="14">
        <f>'Depr and ADFIT'!C87</f>
        <v>-26009424</v>
      </c>
      <c r="J89" s="227">
        <f>'Depr and ADFIT'!J87</f>
        <v>790547</v>
      </c>
      <c r="L89" s="260">
        <f>'Depr and ADFIT'!$N$1</f>
        <v>20059165.356256999</v>
      </c>
      <c r="M89" s="261"/>
      <c r="N89" s="259">
        <f>'Depr and ADFIT'!N87</f>
        <v>-9026640</v>
      </c>
      <c r="O89" s="261"/>
      <c r="P89" s="262">
        <f>'Depr and ADFIT'!P87</f>
        <v>-2316830</v>
      </c>
      <c r="R89" s="198">
        <f t="shared" si="7"/>
        <v>41295337.314526401</v>
      </c>
      <c r="T89" s="20">
        <f>WACC!$S$16</f>
        <v>8.1600000000000006E-2</v>
      </c>
      <c r="V89" s="16">
        <f t="shared" si="5"/>
        <v>280808.29373877955</v>
      </c>
      <c r="X89" s="17">
        <f>'O&amp;M'!$H$11</f>
        <v>54166.666666666664</v>
      </c>
      <c r="Z89" s="17">
        <f>(ROUND(F89*'Depr and ADFIT'!$C$4/12,0))</f>
        <v>321104</v>
      </c>
      <c r="AB89" s="17">
        <f>F89*'Alloc. Factors and Property Tax'!$E$24*'Alloc. Factors and Property Tax'!$E$25*'Alloc. Factors and Property Tax'!$E$26/12</f>
        <v>2866.2285551405798</v>
      </c>
      <c r="AD89" s="267">
        <f>Repayment!$AB$81/180</f>
        <v>111439.8075347611</v>
      </c>
      <c r="AF89" s="17">
        <f t="shared" si="8"/>
        <v>770384.99649534794</v>
      </c>
      <c r="AH89" s="21">
        <f>'Alloc. Factors and Property Tax'!$C$18</f>
        <v>0.9604166666666667</v>
      </c>
      <c r="AJ89" s="19">
        <f t="shared" si="6"/>
        <v>739890.59038407379</v>
      </c>
    </row>
    <row r="90" spans="2:36" x14ac:dyDescent="0.2">
      <c r="B90" s="23" t="s">
        <v>8</v>
      </c>
      <c r="D90" s="3">
        <v>2032</v>
      </c>
      <c r="F90" s="226">
        <f>'Depr and ADFIT'!$C$1</f>
        <v>57798518.958269402</v>
      </c>
      <c r="H90" s="14">
        <f>'Depr and ADFIT'!C88</f>
        <v>-26330528</v>
      </c>
      <c r="J90" s="227">
        <f>'Depr and ADFIT'!J88</f>
        <v>808538</v>
      </c>
      <c r="L90" s="260">
        <f>'Depr and ADFIT'!$N$1</f>
        <v>20059165.356256999</v>
      </c>
      <c r="M90" s="261"/>
      <c r="N90" s="259">
        <f>'Depr and ADFIT'!N88</f>
        <v>-9138080</v>
      </c>
      <c r="O90" s="261"/>
      <c r="P90" s="262">
        <f>'Depr and ADFIT'!P88</f>
        <v>-2293428</v>
      </c>
      <c r="R90" s="198">
        <f t="shared" si="7"/>
        <v>40904186.314526401</v>
      </c>
      <c r="T90" s="20">
        <f>WACC!$S$16</f>
        <v>8.1600000000000006E-2</v>
      </c>
      <c r="V90" s="16">
        <f t="shared" si="5"/>
        <v>278148.46693877951</v>
      </c>
      <c r="X90" s="17">
        <f>'O&amp;M'!$H$11</f>
        <v>54166.666666666664</v>
      </c>
      <c r="Z90" s="17">
        <f>(ROUND(F90*'Depr and ADFIT'!$C$4/12,0))</f>
        <v>321104</v>
      </c>
      <c r="AB90" s="17">
        <f>F90*'Alloc. Factors and Property Tax'!$E$24*'Alloc. Factors and Property Tax'!$E$25*'Alloc. Factors and Property Tax'!$E$26/12</f>
        <v>2866.2285551405798</v>
      </c>
      <c r="AD90" s="267">
        <f>Repayment!$AB$81/180</f>
        <v>111439.8075347611</v>
      </c>
      <c r="AF90" s="17">
        <f t="shared" si="8"/>
        <v>767725.1696953479</v>
      </c>
      <c r="AH90" s="21">
        <f>'Alloc. Factors and Property Tax'!$C$18</f>
        <v>0.9604166666666667</v>
      </c>
      <c r="AJ90" s="19">
        <f t="shared" si="6"/>
        <v>737336.04839490703</v>
      </c>
    </row>
    <row r="91" spans="2:36" x14ac:dyDescent="0.2">
      <c r="B91" s="23" t="s">
        <v>9</v>
      </c>
      <c r="D91" s="3">
        <v>2032</v>
      </c>
      <c r="F91" s="226">
        <f>'Depr and ADFIT'!$C$1</f>
        <v>57798518.958269402</v>
      </c>
      <c r="H91" s="14">
        <f>'Depr and ADFIT'!C89</f>
        <v>-26651632</v>
      </c>
      <c r="J91" s="227">
        <f>'Depr and ADFIT'!J89</f>
        <v>826529</v>
      </c>
      <c r="L91" s="260">
        <f>'Depr and ADFIT'!$N$1</f>
        <v>20059165.356256999</v>
      </c>
      <c r="M91" s="261"/>
      <c r="N91" s="259">
        <f>'Depr and ADFIT'!N89</f>
        <v>-9249520</v>
      </c>
      <c r="O91" s="261"/>
      <c r="P91" s="262">
        <f>'Depr and ADFIT'!P89</f>
        <v>-2270026</v>
      </c>
      <c r="R91" s="198">
        <f t="shared" si="7"/>
        <v>40513035.314526401</v>
      </c>
      <c r="T91" s="20">
        <f>WACC!$S$16</f>
        <v>8.1600000000000006E-2</v>
      </c>
      <c r="V91" s="16">
        <f t="shared" si="5"/>
        <v>275488.64013877953</v>
      </c>
      <c r="X91" s="17">
        <f>'O&amp;M'!$H$11</f>
        <v>54166.666666666664</v>
      </c>
      <c r="Z91" s="17">
        <f>(ROUND(F91*'Depr and ADFIT'!$C$4/12,0))</f>
        <v>321104</v>
      </c>
      <c r="AB91" s="17">
        <f>F91*'Alloc. Factors and Property Tax'!$E$24*'Alloc. Factors and Property Tax'!$E$25*'Alloc. Factors and Property Tax'!$E$26/12</f>
        <v>2866.2285551405798</v>
      </c>
      <c r="AD91" s="267">
        <f>Repayment!$AB$81/180</f>
        <v>111439.8075347611</v>
      </c>
      <c r="AF91" s="17">
        <f t="shared" si="8"/>
        <v>765065.34289534797</v>
      </c>
      <c r="AH91" s="21">
        <f>'Alloc. Factors and Property Tax'!$C$18</f>
        <v>0.9604166666666667</v>
      </c>
      <c r="AJ91" s="19">
        <f t="shared" si="6"/>
        <v>734781.50640574051</v>
      </c>
    </row>
    <row r="92" spans="2:36" x14ac:dyDescent="0.2">
      <c r="B92" s="23" t="s">
        <v>10</v>
      </c>
      <c r="D92" s="3">
        <v>2032</v>
      </c>
      <c r="F92" s="226">
        <f>'Depr and ADFIT'!$C$1</f>
        <v>57798518.958269402</v>
      </c>
      <c r="H92" s="14">
        <f>'Depr and ADFIT'!C90</f>
        <v>-26972736</v>
      </c>
      <c r="J92" s="227">
        <f>'Depr and ADFIT'!J90</f>
        <v>844520</v>
      </c>
      <c r="L92" s="260">
        <f>'Depr and ADFIT'!$N$1</f>
        <v>20059165.356256999</v>
      </c>
      <c r="M92" s="261"/>
      <c r="N92" s="259">
        <f>'Depr and ADFIT'!N90</f>
        <v>-9360960</v>
      </c>
      <c r="O92" s="261"/>
      <c r="P92" s="262">
        <f>'Depr and ADFIT'!P90</f>
        <v>-2246623</v>
      </c>
      <c r="R92" s="198">
        <f t="shared" si="7"/>
        <v>40121885.314526401</v>
      </c>
      <c r="T92" s="20">
        <f>WACC!$S$16</f>
        <v>8.1600000000000006E-2</v>
      </c>
      <c r="V92" s="16">
        <f t="shared" si="5"/>
        <v>272828.82013877953</v>
      </c>
      <c r="X92" s="17">
        <f>'O&amp;M'!$H$11</f>
        <v>54166.666666666664</v>
      </c>
      <c r="Z92" s="17">
        <f>(ROUND(F92*'Depr and ADFIT'!$C$4/12,0))</f>
        <v>321104</v>
      </c>
      <c r="AB92" s="17">
        <f>F92*'Alloc. Factors and Property Tax'!$E$24*'Alloc. Factors and Property Tax'!$E$25*'Alloc. Factors and Property Tax'!$E$26/12</f>
        <v>2866.2285551405798</v>
      </c>
      <c r="AD92" s="267">
        <f>Repayment!$AB$81/180</f>
        <v>111439.8075347611</v>
      </c>
      <c r="AF92" s="17">
        <f t="shared" si="8"/>
        <v>762405.52289534791</v>
      </c>
      <c r="AH92" s="21">
        <f>'Alloc. Factors and Property Tax'!$C$18</f>
        <v>0.9604166666666667</v>
      </c>
      <c r="AJ92" s="19">
        <f t="shared" si="6"/>
        <v>732226.97094740707</v>
      </c>
    </row>
    <row r="93" spans="2:36" x14ac:dyDescent="0.2">
      <c r="B93" s="23" t="s">
        <v>11</v>
      </c>
      <c r="D93" s="3">
        <v>2033</v>
      </c>
      <c r="F93" s="226">
        <f>'Depr and ADFIT'!$C$1</f>
        <v>57798518.958269402</v>
      </c>
      <c r="H93" s="14">
        <f>'Depr and ADFIT'!C91</f>
        <v>-27293840</v>
      </c>
      <c r="J93" s="227">
        <f>'Depr and ADFIT'!J91</f>
        <v>866213</v>
      </c>
      <c r="L93" s="260">
        <f>'Depr and ADFIT'!$N$1</f>
        <v>20059165.356256999</v>
      </c>
      <c r="M93" s="261"/>
      <c r="N93" s="259">
        <f>'Depr and ADFIT'!N91</f>
        <v>-9472400</v>
      </c>
      <c r="O93" s="261"/>
      <c r="P93" s="262">
        <f>'Depr and ADFIT'!P91</f>
        <v>-2223221</v>
      </c>
      <c r="R93" s="198">
        <f t="shared" si="7"/>
        <v>39734436.314526401</v>
      </c>
      <c r="T93" s="20">
        <f>WACC!$S$16</f>
        <v>8.1600000000000006E-2</v>
      </c>
      <c r="V93" s="16">
        <f t="shared" si="5"/>
        <v>270194.16693877958</v>
      </c>
      <c r="X93" s="17">
        <f>'O&amp;M'!$I$11</f>
        <v>54166.666666666664</v>
      </c>
      <c r="Z93" s="17">
        <f>(ROUND(F93*'Depr and ADFIT'!$C$4/12,0))</f>
        <v>321104</v>
      </c>
      <c r="AB93" s="17">
        <f>F93*'Alloc. Factors and Property Tax'!$E$24*'Alloc. Factors and Property Tax'!$E$25*'Alloc. Factors and Property Tax'!$E$26/12</f>
        <v>2866.2285551405798</v>
      </c>
      <c r="AD93" s="267">
        <f>Repayment!$AB$81/180</f>
        <v>111439.8075347611</v>
      </c>
      <c r="AF93" s="17">
        <f t="shared" si="8"/>
        <v>759770.86969534797</v>
      </c>
      <c r="AH93" s="21">
        <f>'Alloc. Factors and Property Tax'!$C$18</f>
        <v>0.9604166666666667</v>
      </c>
      <c r="AJ93" s="19">
        <f t="shared" si="6"/>
        <v>729696.60610324051</v>
      </c>
    </row>
    <row r="94" spans="2:36" x14ac:dyDescent="0.2">
      <c r="B94" s="23" t="s">
        <v>12</v>
      </c>
      <c r="D94" s="3">
        <v>2033</v>
      </c>
      <c r="F94" s="226">
        <f>'Depr and ADFIT'!$C$1</f>
        <v>57798518.958269402</v>
      </c>
      <c r="H94" s="14">
        <f>'Depr and ADFIT'!C92</f>
        <v>-27614944</v>
      </c>
      <c r="J94" s="227">
        <f>'Depr and ADFIT'!J92</f>
        <v>887906</v>
      </c>
      <c r="L94" s="260">
        <f>'Depr and ADFIT'!$N$1</f>
        <v>20059165.356256999</v>
      </c>
      <c r="M94" s="261"/>
      <c r="N94" s="259">
        <f>'Depr and ADFIT'!N92</f>
        <v>-9583840</v>
      </c>
      <c r="O94" s="261"/>
      <c r="P94" s="262">
        <f>'Depr and ADFIT'!P92</f>
        <v>-2199818</v>
      </c>
      <c r="R94" s="198">
        <f t="shared" si="7"/>
        <v>39346988.314526401</v>
      </c>
      <c r="T94" s="20">
        <f>WACC!$S$16</f>
        <v>8.1600000000000006E-2</v>
      </c>
      <c r="V94" s="16">
        <f t="shared" si="5"/>
        <v>267559.52053877956</v>
      </c>
      <c r="X94" s="17">
        <f>'O&amp;M'!$I$11</f>
        <v>54166.666666666664</v>
      </c>
      <c r="Z94" s="17">
        <f>(ROUND(F94*'Depr and ADFIT'!$C$4/12,0))</f>
        <v>321104</v>
      </c>
      <c r="AB94" s="17">
        <f>F94*'Alloc. Factors and Property Tax'!$E$24*'Alloc. Factors and Property Tax'!$E$25*'Alloc. Factors and Property Tax'!$E$26/12</f>
        <v>2866.2285551405798</v>
      </c>
      <c r="AD94" s="267">
        <f>Repayment!$AB$81/180</f>
        <v>111439.8075347611</v>
      </c>
      <c r="AF94" s="17">
        <f t="shared" si="8"/>
        <v>757136.22329534788</v>
      </c>
      <c r="AH94" s="21">
        <f>'Alloc. Factors and Property Tax'!$C$18</f>
        <v>0.9604166666666667</v>
      </c>
      <c r="AJ94" s="19">
        <f t="shared" si="6"/>
        <v>727166.24778990704</v>
      </c>
    </row>
    <row r="95" spans="2:36" x14ac:dyDescent="0.2">
      <c r="B95" s="23" t="s">
        <v>13</v>
      </c>
      <c r="D95" s="3">
        <v>2033</v>
      </c>
      <c r="F95" s="226">
        <f>'Depr and ADFIT'!$C$1</f>
        <v>57798518.958269402</v>
      </c>
      <c r="H95" s="14">
        <f>'Depr and ADFIT'!C93</f>
        <v>-27936048</v>
      </c>
      <c r="J95" s="227">
        <f>'Depr and ADFIT'!J93</f>
        <v>909599</v>
      </c>
      <c r="L95" s="260">
        <f>'Depr and ADFIT'!$N$1</f>
        <v>20059165.356256999</v>
      </c>
      <c r="M95" s="261"/>
      <c r="N95" s="259">
        <f>'Depr and ADFIT'!N93</f>
        <v>-9695280</v>
      </c>
      <c r="O95" s="261"/>
      <c r="P95" s="262">
        <f>'Depr and ADFIT'!P93</f>
        <v>-2176416</v>
      </c>
      <c r="R95" s="198">
        <f t="shared" si="7"/>
        <v>38959539.314526401</v>
      </c>
      <c r="T95" s="20">
        <f>WACC!$S$16</f>
        <v>8.1600000000000006E-2</v>
      </c>
      <c r="V95" s="16">
        <f t="shared" si="5"/>
        <v>264924.86733877956</v>
      </c>
      <c r="X95" s="17">
        <f>'O&amp;M'!$I$11</f>
        <v>54166.666666666664</v>
      </c>
      <c r="Z95" s="17">
        <f>(ROUND(F95*'Depr and ADFIT'!$C$4/12,0))</f>
        <v>321104</v>
      </c>
      <c r="AB95" s="17">
        <f>F95*'Alloc. Factors and Property Tax'!$E$24*'Alloc. Factors and Property Tax'!$E$25*'Alloc. Factors and Property Tax'!$E$26/12</f>
        <v>2866.2285551405798</v>
      </c>
      <c r="AD95" s="267">
        <f>Repayment!$AB$81/180</f>
        <v>111439.8075347611</v>
      </c>
      <c r="AF95" s="17">
        <f t="shared" si="8"/>
        <v>754501.57009534794</v>
      </c>
      <c r="AH95" s="21">
        <f>'Alloc. Factors and Property Tax'!$C$18</f>
        <v>0.9604166666666667</v>
      </c>
      <c r="AJ95" s="19">
        <f t="shared" si="6"/>
        <v>724635.88294574048</v>
      </c>
    </row>
    <row r="96" spans="2:36" x14ac:dyDescent="0.2">
      <c r="B96" s="23" t="s">
        <v>14</v>
      </c>
      <c r="D96" s="3">
        <v>2033</v>
      </c>
      <c r="F96" s="226">
        <f>'Depr and ADFIT'!$C$1</f>
        <v>57798518.958269402</v>
      </c>
      <c r="H96" s="14">
        <f>'Depr and ADFIT'!C94</f>
        <v>-28257152</v>
      </c>
      <c r="J96" s="227">
        <f>'Depr and ADFIT'!J94</f>
        <v>931292</v>
      </c>
      <c r="L96" s="260">
        <f>'Depr and ADFIT'!$N$1</f>
        <v>20059165.356256999</v>
      </c>
      <c r="M96" s="261"/>
      <c r="N96" s="259">
        <f>'Depr and ADFIT'!N94</f>
        <v>-9806720</v>
      </c>
      <c r="O96" s="261"/>
      <c r="P96" s="262">
        <f>'Depr and ADFIT'!P94</f>
        <v>-2153014</v>
      </c>
      <c r="R96" s="198">
        <f t="shared" si="7"/>
        <v>38572090.314526401</v>
      </c>
      <c r="T96" s="20">
        <f>WACC!$S$16</f>
        <v>8.1600000000000006E-2</v>
      </c>
      <c r="V96" s="16">
        <f t="shared" si="5"/>
        <v>262290.21413877956</v>
      </c>
      <c r="X96" s="17">
        <f>'O&amp;M'!$I$11</f>
        <v>54166.666666666664</v>
      </c>
      <c r="Z96" s="17">
        <f>(ROUND(F96*'Depr and ADFIT'!$C$4/12,0))</f>
        <v>321104</v>
      </c>
      <c r="AB96" s="17">
        <f>F96*'Alloc. Factors and Property Tax'!$E$24*'Alloc. Factors and Property Tax'!$E$25*'Alloc. Factors and Property Tax'!$E$26/12</f>
        <v>2866.2285551405798</v>
      </c>
      <c r="AD96" s="267">
        <f>Repayment!$AB$81/180</f>
        <v>111439.8075347611</v>
      </c>
      <c r="AF96" s="17">
        <f t="shared" si="8"/>
        <v>751866.916895348</v>
      </c>
      <c r="AH96" s="21">
        <f>'Alloc. Factors and Property Tax'!$C$18</f>
        <v>0.9604166666666667</v>
      </c>
      <c r="AJ96" s="19">
        <f t="shared" si="6"/>
        <v>722105.51810157381</v>
      </c>
    </row>
    <row r="97" spans="2:36" x14ac:dyDescent="0.2">
      <c r="B97" s="23" t="s">
        <v>15</v>
      </c>
      <c r="D97" s="3">
        <v>2033</v>
      </c>
      <c r="F97" s="226">
        <f>'Depr and ADFIT'!$C$1</f>
        <v>57798518.958269402</v>
      </c>
      <c r="H97" s="14">
        <f>'Depr and ADFIT'!C95</f>
        <v>-28578256</v>
      </c>
      <c r="J97" s="227">
        <f>'Depr and ADFIT'!J95</f>
        <v>952985</v>
      </c>
      <c r="L97" s="260">
        <f>'Depr and ADFIT'!$N$1</f>
        <v>20059165.356256999</v>
      </c>
      <c r="M97" s="261"/>
      <c r="N97" s="259">
        <f>'Depr and ADFIT'!N95</f>
        <v>-9918160</v>
      </c>
      <c r="O97" s="261"/>
      <c r="P97" s="262">
        <f>'Depr and ADFIT'!P95</f>
        <v>-2129611</v>
      </c>
      <c r="R97" s="198">
        <f t="shared" si="7"/>
        <v>38184642.314526401</v>
      </c>
      <c r="T97" s="20">
        <f>WACC!$S$16</f>
        <v>8.1600000000000006E-2</v>
      </c>
      <c r="V97" s="16">
        <f t="shared" si="5"/>
        <v>259655.56773877956</v>
      </c>
      <c r="X97" s="17">
        <f>'O&amp;M'!$I$11</f>
        <v>54166.666666666664</v>
      </c>
      <c r="Z97" s="17">
        <f>(ROUND(F97*'Depr and ADFIT'!$C$4/12,0))</f>
        <v>321104</v>
      </c>
      <c r="AB97" s="17">
        <f>F97*'Alloc. Factors and Property Tax'!$E$24*'Alloc. Factors and Property Tax'!$E$25*'Alloc. Factors and Property Tax'!$E$26/12</f>
        <v>2866.2285551405798</v>
      </c>
      <c r="AD97" s="267">
        <f>Repayment!$AB$81/180</f>
        <v>111439.8075347611</v>
      </c>
      <c r="AF97" s="17">
        <f t="shared" si="8"/>
        <v>749232.27049534791</v>
      </c>
      <c r="AH97" s="21">
        <f>'Alloc. Factors and Property Tax'!$C$18</f>
        <v>0.9604166666666667</v>
      </c>
      <c r="AJ97" s="19">
        <f t="shared" si="6"/>
        <v>719575.15978824045</v>
      </c>
    </row>
    <row r="98" spans="2:36" x14ac:dyDescent="0.2">
      <c r="B98" s="23" t="s">
        <v>16</v>
      </c>
      <c r="D98" s="3">
        <v>2033</v>
      </c>
      <c r="F98" s="226">
        <f>'Depr and ADFIT'!$C$1</f>
        <v>57798518.958269402</v>
      </c>
      <c r="H98" s="14">
        <f>'Depr and ADFIT'!C96</f>
        <v>-28899360</v>
      </c>
      <c r="J98" s="227">
        <f>'Depr and ADFIT'!J96</f>
        <v>974678</v>
      </c>
      <c r="L98" s="260">
        <f>'Depr and ADFIT'!$N$1</f>
        <v>20059165.356256999</v>
      </c>
      <c r="M98" s="261"/>
      <c r="N98" s="259">
        <f>'Depr and ADFIT'!N96</f>
        <v>-10029600</v>
      </c>
      <c r="O98" s="261"/>
      <c r="P98" s="262">
        <f>'Depr and ADFIT'!P96</f>
        <v>-2106209</v>
      </c>
      <c r="R98" s="198">
        <f t="shared" si="7"/>
        <v>37797193.314526401</v>
      </c>
      <c r="T98" s="20">
        <f>WACC!$S$16</f>
        <v>8.1600000000000006E-2</v>
      </c>
      <c r="V98" s="16">
        <f t="shared" si="5"/>
        <v>257020.91453877956</v>
      </c>
      <c r="X98" s="17">
        <f>'O&amp;M'!$I$11</f>
        <v>54166.666666666664</v>
      </c>
      <c r="Z98" s="17">
        <f>(ROUND(F98*'Depr and ADFIT'!$C$4/12,0))</f>
        <v>321104</v>
      </c>
      <c r="AB98" s="17">
        <f>F98*'Alloc. Factors and Property Tax'!$E$24*'Alloc. Factors and Property Tax'!$E$25*'Alloc. Factors and Property Tax'!$E$26/12</f>
        <v>2866.2285551405798</v>
      </c>
      <c r="AD98" s="267">
        <f>Repayment!$AB$81/180</f>
        <v>111439.8075347611</v>
      </c>
      <c r="AF98" s="17">
        <f t="shared" si="8"/>
        <v>746597.61729534797</v>
      </c>
      <c r="AH98" s="21">
        <f>'Alloc. Factors and Property Tax'!$C$18</f>
        <v>0.9604166666666667</v>
      </c>
      <c r="AJ98" s="19">
        <f t="shared" si="6"/>
        <v>717044.79494407377</v>
      </c>
    </row>
    <row r="99" spans="2:36" x14ac:dyDescent="0.2">
      <c r="B99" s="23" t="s">
        <v>17</v>
      </c>
      <c r="D99" s="3">
        <v>2033</v>
      </c>
      <c r="F99" s="226">
        <f>'Depr and ADFIT'!$C$1</f>
        <v>57798518.958269402</v>
      </c>
      <c r="H99" s="14">
        <f>'Depr and ADFIT'!C97</f>
        <v>-29220464</v>
      </c>
      <c r="J99" s="227">
        <f>'Depr and ADFIT'!J97</f>
        <v>996371</v>
      </c>
      <c r="L99" s="260">
        <f>'Depr and ADFIT'!$N$1</f>
        <v>20059165.356256999</v>
      </c>
      <c r="M99" s="261"/>
      <c r="N99" s="259">
        <f>'Depr and ADFIT'!N97</f>
        <v>-10141040</v>
      </c>
      <c r="O99" s="261"/>
      <c r="P99" s="262">
        <f>'Depr and ADFIT'!P97</f>
        <v>-2082806</v>
      </c>
      <c r="R99" s="198">
        <f t="shared" si="7"/>
        <v>37409745.314526401</v>
      </c>
      <c r="T99" s="20">
        <f>WACC!$S$16</f>
        <v>8.1600000000000006E-2</v>
      </c>
      <c r="V99" s="16">
        <f t="shared" si="5"/>
        <v>254386.26813877956</v>
      </c>
      <c r="X99" s="17">
        <f>'O&amp;M'!$I$11</f>
        <v>54166.666666666664</v>
      </c>
      <c r="Z99" s="17">
        <f>(ROUND(F99*'Depr and ADFIT'!$C$4/12,0))</f>
        <v>321104</v>
      </c>
      <c r="AB99" s="17">
        <f>F99*'Alloc. Factors and Property Tax'!$E$24*'Alloc. Factors and Property Tax'!$E$25*'Alloc. Factors and Property Tax'!$E$26/12</f>
        <v>2866.2285551405798</v>
      </c>
      <c r="AD99" s="267">
        <f>Repayment!$AB$81/180</f>
        <v>111439.8075347611</v>
      </c>
      <c r="AF99" s="17">
        <f t="shared" si="8"/>
        <v>743962.970895348</v>
      </c>
      <c r="AH99" s="21">
        <f>'Alloc. Factors and Property Tax'!$C$18</f>
        <v>0.9604166666666667</v>
      </c>
      <c r="AJ99" s="19">
        <f t="shared" si="6"/>
        <v>714514.43663074053</v>
      </c>
    </row>
    <row r="100" spans="2:36" x14ac:dyDescent="0.2">
      <c r="B100" s="23" t="s">
        <v>18</v>
      </c>
      <c r="D100" s="3">
        <v>2033</v>
      </c>
      <c r="F100" s="226">
        <f>'Depr and ADFIT'!$C$1</f>
        <v>57798518.958269402</v>
      </c>
      <c r="H100" s="14">
        <f>'Depr and ADFIT'!C98</f>
        <v>-29541568</v>
      </c>
      <c r="J100" s="227">
        <f>'Depr and ADFIT'!J98</f>
        <v>1018063</v>
      </c>
      <c r="L100" s="260">
        <f>'Depr and ADFIT'!$N$1</f>
        <v>20059165.356256999</v>
      </c>
      <c r="M100" s="261"/>
      <c r="N100" s="259">
        <f>'Depr and ADFIT'!N98</f>
        <v>-10252480</v>
      </c>
      <c r="O100" s="261"/>
      <c r="P100" s="262">
        <f>'Depr and ADFIT'!P98</f>
        <v>-2059404</v>
      </c>
      <c r="R100" s="198">
        <f t="shared" si="7"/>
        <v>37022295.314526401</v>
      </c>
      <c r="T100" s="20">
        <f>WACC!$S$16</f>
        <v>8.1600000000000006E-2</v>
      </c>
      <c r="V100" s="16">
        <f t="shared" si="5"/>
        <v>251751.60813877956</v>
      </c>
      <c r="X100" s="17">
        <f>'O&amp;M'!$I$11</f>
        <v>54166.666666666664</v>
      </c>
      <c r="Z100" s="17">
        <f>(ROUND(F100*'Depr and ADFIT'!$C$4/12,0))</f>
        <v>321104</v>
      </c>
      <c r="AB100" s="17">
        <f>F100*'Alloc. Factors and Property Tax'!$E$24*'Alloc. Factors and Property Tax'!$E$25*'Alloc. Factors and Property Tax'!$E$26/12</f>
        <v>2866.2285551405798</v>
      </c>
      <c r="AD100" s="267">
        <f>Repayment!$AB$81/180</f>
        <v>111439.8075347611</v>
      </c>
      <c r="AF100" s="17">
        <f t="shared" si="8"/>
        <v>741328.31089534785</v>
      </c>
      <c r="AH100" s="21">
        <f>'Alloc. Factors and Property Tax'!$C$18</f>
        <v>0.9604166666666667</v>
      </c>
      <c r="AJ100" s="19">
        <f t="shared" si="6"/>
        <v>711984.06525574031</v>
      </c>
    </row>
    <row r="101" spans="2:36" x14ac:dyDescent="0.2">
      <c r="B101" s="23" t="s">
        <v>19</v>
      </c>
      <c r="D101" s="3">
        <v>2033</v>
      </c>
      <c r="F101" s="226">
        <f>'Depr and ADFIT'!$C$1</f>
        <v>57798518.958269402</v>
      </c>
      <c r="H101" s="14">
        <f>'Depr and ADFIT'!C99</f>
        <v>-29862672</v>
      </c>
      <c r="J101" s="227">
        <f>'Depr and ADFIT'!J99</f>
        <v>1039756</v>
      </c>
      <c r="L101" s="260">
        <f>'Depr and ADFIT'!$N$1</f>
        <v>20059165.356256999</v>
      </c>
      <c r="M101" s="261"/>
      <c r="N101" s="259">
        <f>'Depr and ADFIT'!N99</f>
        <v>-10363920</v>
      </c>
      <c r="O101" s="261"/>
      <c r="P101" s="262">
        <f>'Depr and ADFIT'!P99</f>
        <v>-2036002</v>
      </c>
      <c r="R101" s="198">
        <f t="shared" si="7"/>
        <v>36634846.314526401</v>
      </c>
      <c r="T101" s="20">
        <f>WACC!$S$16</f>
        <v>8.1600000000000006E-2</v>
      </c>
      <c r="V101" s="16">
        <f t="shared" si="5"/>
        <v>249116.95493877956</v>
      </c>
      <c r="X101" s="17">
        <f>'O&amp;M'!$I$11</f>
        <v>54166.666666666664</v>
      </c>
      <c r="Z101" s="17">
        <f>(ROUND(F101*'Depr and ADFIT'!$C$4/12,0))</f>
        <v>321104</v>
      </c>
      <c r="AB101" s="17">
        <f>F101*'Alloc. Factors and Property Tax'!$E$24*'Alloc. Factors and Property Tax'!$E$25*'Alloc. Factors and Property Tax'!$E$26/12</f>
        <v>2866.2285551405798</v>
      </c>
      <c r="AD101" s="267">
        <f>Repayment!$AB$81/180</f>
        <v>111439.8075347611</v>
      </c>
      <c r="AF101" s="17">
        <f t="shared" si="8"/>
        <v>738693.65769534791</v>
      </c>
      <c r="AH101" s="21">
        <f>'Alloc. Factors and Property Tax'!$C$18</f>
        <v>0.9604166666666667</v>
      </c>
      <c r="AJ101" s="19">
        <f t="shared" si="6"/>
        <v>709453.70041157375</v>
      </c>
    </row>
    <row r="102" spans="2:36" x14ac:dyDescent="0.2">
      <c r="B102" s="23" t="s">
        <v>8</v>
      </c>
      <c r="D102" s="3">
        <v>2033</v>
      </c>
      <c r="F102" s="226">
        <f>'Depr and ADFIT'!$C$1</f>
        <v>57798518.958269402</v>
      </c>
      <c r="H102" s="14">
        <f>'Depr and ADFIT'!C100</f>
        <v>-30183776</v>
      </c>
      <c r="J102" s="227">
        <f>'Depr and ADFIT'!J100</f>
        <v>1061449</v>
      </c>
      <c r="L102" s="260">
        <f>'Depr and ADFIT'!$N$1</f>
        <v>20059165.356256999</v>
      </c>
      <c r="M102" s="261"/>
      <c r="N102" s="259">
        <f>'Depr and ADFIT'!N100</f>
        <v>-10475360</v>
      </c>
      <c r="O102" s="261"/>
      <c r="P102" s="262">
        <f>'Depr and ADFIT'!P100</f>
        <v>-2012599</v>
      </c>
      <c r="R102" s="198">
        <f t="shared" si="7"/>
        <v>36247398.314526401</v>
      </c>
      <c r="T102" s="20">
        <f>WACC!$S$16</f>
        <v>8.1600000000000006E-2</v>
      </c>
      <c r="V102" s="16">
        <f t="shared" si="5"/>
        <v>246482.30853877953</v>
      </c>
      <c r="X102" s="17">
        <f>'O&amp;M'!$I$11</f>
        <v>54166.666666666664</v>
      </c>
      <c r="Z102" s="17">
        <f>(ROUND(F102*'Depr and ADFIT'!$C$4/12,0))</f>
        <v>321104</v>
      </c>
      <c r="AB102" s="17">
        <f>F102*'Alloc. Factors and Property Tax'!$E$24*'Alloc. Factors and Property Tax'!$E$25*'Alloc. Factors and Property Tax'!$E$26/12</f>
        <v>2866.2285551405798</v>
      </c>
      <c r="AD102" s="267">
        <f>Repayment!$AB$81/180</f>
        <v>111439.8075347611</v>
      </c>
      <c r="AF102" s="17">
        <f t="shared" si="8"/>
        <v>736059.01129534782</v>
      </c>
      <c r="AH102" s="21">
        <f>'Alloc. Factors and Property Tax'!$C$18</f>
        <v>0.9604166666666667</v>
      </c>
      <c r="AJ102" s="19">
        <f t="shared" si="6"/>
        <v>706923.34209824027</v>
      </c>
    </row>
    <row r="103" spans="2:36" x14ac:dyDescent="0.2">
      <c r="B103" s="23" t="s">
        <v>9</v>
      </c>
      <c r="D103" s="3">
        <v>2033</v>
      </c>
      <c r="F103" s="226">
        <f>'Depr and ADFIT'!$C$1</f>
        <v>57798518.958269402</v>
      </c>
      <c r="H103" s="14">
        <f>'Depr and ADFIT'!C101</f>
        <v>-30504880</v>
      </c>
      <c r="J103" s="227">
        <f>'Depr and ADFIT'!J101</f>
        <v>1083142</v>
      </c>
      <c r="L103" s="260">
        <f>'Depr and ADFIT'!$N$1</f>
        <v>20059165.356256999</v>
      </c>
      <c r="M103" s="261"/>
      <c r="N103" s="259">
        <f>'Depr and ADFIT'!N101</f>
        <v>-10586800</v>
      </c>
      <c r="O103" s="261"/>
      <c r="P103" s="262">
        <f>'Depr and ADFIT'!P101</f>
        <v>-1989197</v>
      </c>
      <c r="R103" s="198">
        <f t="shared" si="7"/>
        <v>35859949.314526401</v>
      </c>
      <c r="T103" s="20">
        <f>WACC!$S$16</f>
        <v>8.1600000000000006E-2</v>
      </c>
      <c r="V103" s="16">
        <f t="shared" si="5"/>
        <v>243847.65533877956</v>
      </c>
      <c r="X103" s="17">
        <f>'O&amp;M'!$I$11</f>
        <v>54166.666666666664</v>
      </c>
      <c r="Z103" s="17">
        <f>(ROUND(F103*'Depr and ADFIT'!$C$4/12,0))</f>
        <v>321104</v>
      </c>
      <c r="AB103" s="17">
        <f>F103*'Alloc. Factors and Property Tax'!$E$24*'Alloc. Factors and Property Tax'!$E$25*'Alloc. Factors and Property Tax'!$E$26/12</f>
        <v>2866.2285551405798</v>
      </c>
      <c r="AD103" s="267">
        <f>Repayment!$AB$81/180</f>
        <v>111439.8075347611</v>
      </c>
      <c r="AF103" s="17">
        <f t="shared" si="8"/>
        <v>733424.358095348</v>
      </c>
      <c r="AH103" s="21">
        <f>'Alloc. Factors and Property Tax'!$C$18</f>
        <v>0.9604166666666667</v>
      </c>
      <c r="AJ103" s="19">
        <f t="shared" si="6"/>
        <v>704392.97725407383</v>
      </c>
    </row>
    <row r="104" spans="2:36" x14ac:dyDescent="0.2">
      <c r="B104" s="23" t="s">
        <v>10</v>
      </c>
      <c r="D104" s="3">
        <v>2033</v>
      </c>
      <c r="F104" s="226">
        <f>'Depr and ADFIT'!$C$1</f>
        <v>57798518.958269402</v>
      </c>
      <c r="H104" s="14">
        <f>'Depr and ADFIT'!C102</f>
        <v>-30825984</v>
      </c>
      <c r="J104" s="227">
        <f>'Depr and ADFIT'!J102</f>
        <v>1104835</v>
      </c>
      <c r="L104" s="260">
        <f>'Depr and ADFIT'!$N$1</f>
        <v>20059165.356256999</v>
      </c>
      <c r="M104" s="261"/>
      <c r="N104" s="259">
        <f>'Depr and ADFIT'!N102</f>
        <v>-10698240</v>
      </c>
      <c r="O104" s="261"/>
      <c r="P104" s="262">
        <f>'Depr and ADFIT'!P102</f>
        <v>-1965794</v>
      </c>
      <c r="R104" s="198">
        <f t="shared" si="7"/>
        <v>35472501.314526401</v>
      </c>
      <c r="T104" s="20">
        <f>WACC!$S$16</f>
        <v>8.1600000000000006E-2</v>
      </c>
      <c r="V104" s="16">
        <f t="shared" si="5"/>
        <v>241213.00893877956</v>
      </c>
      <c r="X104" s="17">
        <f>'O&amp;M'!$I$11</f>
        <v>54166.666666666664</v>
      </c>
      <c r="Z104" s="17">
        <f>(ROUND(F104*'Depr and ADFIT'!$C$4/12,0))</f>
        <v>321104</v>
      </c>
      <c r="AB104" s="17">
        <f>F104*'Alloc. Factors and Property Tax'!$E$24*'Alloc. Factors and Property Tax'!$E$25*'Alloc. Factors and Property Tax'!$E$26/12</f>
        <v>2866.2285551405798</v>
      </c>
      <c r="AD104" s="267">
        <f>Repayment!$AB$81/180</f>
        <v>111439.8075347611</v>
      </c>
      <c r="AF104" s="17">
        <f t="shared" si="8"/>
        <v>730789.71169534791</v>
      </c>
      <c r="AH104" s="21">
        <f>'Alloc. Factors and Property Tax'!$C$18</f>
        <v>0.9604166666666667</v>
      </c>
      <c r="AJ104" s="19">
        <f t="shared" si="6"/>
        <v>701862.61894074036</v>
      </c>
    </row>
    <row r="105" spans="2:36" x14ac:dyDescent="0.2">
      <c r="B105" s="23" t="s">
        <v>11</v>
      </c>
      <c r="D105" s="3">
        <v>2034</v>
      </c>
      <c r="F105" s="226">
        <f>'Depr and ADFIT'!$C$1</f>
        <v>57798518.958269402</v>
      </c>
      <c r="H105" s="14">
        <f>'Depr and ADFIT'!C103</f>
        <v>-31147088</v>
      </c>
      <c r="J105" s="227">
        <f>'Depr and ADFIT'!J103</f>
        <v>1127135</v>
      </c>
      <c r="L105" s="260">
        <f>'Depr and ADFIT'!$N$1</f>
        <v>20059165.356256999</v>
      </c>
      <c r="M105" s="261"/>
      <c r="N105" s="259">
        <f>'Depr and ADFIT'!N103</f>
        <v>-10809680</v>
      </c>
      <c r="O105" s="261"/>
      <c r="P105" s="262">
        <f>'Depr and ADFIT'!P103</f>
        <v>-1942392</v>
      </c>
      <c r="R105" s="198">
        <f t="shared" ref="R105:R136" si="9">SUM(F105:Q105)</f>
        <v>35085659.314526401</v>
      </c>
      <c r="T105" s="20">
        <f>WACC!$S$16</f>
        <v>8.1600000000000006E-2</v>
      </c>
      <c r="V105" s="16">
        <f t="shared" si="5"/>
        <v>238582.48333877954</v>
      </c>
      <c r="X105" s="17">
        <f>'O&amp;M'!$J$11</f>
        <v>54166.666666666664</v>
      </c>
      <c r="Z105" s="17">
        <f>(ROUND(F105*'Depr and ADFIT'!$C$4/12,0))</f>
        <v>321104</v>
      </c>
      <c r="AB105" s="17">
        <f>F105*'Alloc. Factors and Property Tax'!$E$24*'Alloc. Factors and Property Tax'!$E$25*'Alloc. Factors and Property Tax'!$E$26/12</f>
        <v>2866.2285551405798</v>
      </c>
      <c r="AD105" s="267">
        <f>Repayment!$AB$81/180</f>
        <v>111439.8075347611</v>
      </c>
      <c r="AF105" s="17">
        <f t="shared" si="8"/>
        <v>728159.18609534798</v>
      </c>
      <c r="AH105" s="21">
        <f>'Alloc. Factors and Property Tax'!$C$18</f>
        <v>0.9604166666666667</v>
      </c>
      <c r="AJ105" s="19">
        <f t="shared" si="6"/>
        <v>699336.21831240715</v>
      </c>
    </row>
    <row r="106" spans="2:36" x14ac:dyDescent="0.2">
      <c r="B106" s="23" t="s">
        <v>12</v>
      </c>
      <c r="D106" s="3">
        <v>2034</v>
      </c>
      <c r="F106" s="226">
        <f>'Depr and ADFIT'!$C$1</f>
        <v>57798518.958269402</v>
      </c>
      <c r="H106" s="14">
        <f>'Depr and ADFIT'!C104</f>
        <v>-31468192</v>
      </c>
      <c r="J106" s="227">
        <f>'Depr and ADFIT'!J104</f>
        <v>1149435</v>
      </c>
      <c r="L106" s="260">
        <f>'Depr and ADFIT'!$N$1</f>
        <v>20059165.356256999</v>
      </c>
      <c r="M106" s="261"/>
      <c r="N106" s="259">
        <f>'Depr and ADFIT'!N104</f>
        <v>-10921120</v>
      </c>
      <c r="O106" s="261"/>
      <c r="P106" s="262">
        <f>'Depr and ADFIT'!P104</f>
        <v>-1918990</v>
      </c>
      <c r="R106" s="198">
        <f t="shared" si="9"/>
        <v>34698817.314526401</v>
      </c>
      <c r="T106" s="20">
        <f>WACC!$S$16</f>
        <v>8.1600000000000006E-2</v>
      </c>
      <c r="V106" s="16">
        <f t="shared" si="5"/>
        <v>235951.95773877957</v>
      </c>
      <c r="X106" s="17">
        <f>'O&amp;M'!$J$11</f>
        <v>54166.666666666664</v>
      </c>
      <c r="Z106" s="17">
        <f>(ROUND(F106*'Depr and ADFIT'!$C$4/12,0))</f>
        <v>321104</v>
      </c>
      <c r="AB106" s="17">
        <f>F106*'Alloc. Factors and Property Tax'!$E$24*'Alloc. Factors and Property Tax'!$E$25*'Alloc. Factors and Property Tax'!$E$26/12</f>
        <v>2866.2285551405798</v>
      </c>
      <c r="AD106" s="267">
        <f>Repayment!$AB$81/180</f>
        <v>111439.8075347611</v>
      </c>
      <c r="AF106" s="17">
        <f t="shared" si="8"/>
        <v>725528.66049534793</v>
      </c>
      <c r="AH106" s="21">
        <f>'Alloc. Factors and Property Tax'!$C$18</f>
        <v>0.9604166666666667</v>
      </c>
      <c r="AJ106" s="19">
        <f t="shared" si="6"/>
        <v>696809.81768407382</v>
      </c>
    </row>
    <row r="107" spans="2:36" x14ac:dyDescent="0.2">
      <c r="B107" s="23" t="s">
        <v>13</v>
      </c>
      <c r="D107" s="3">
        <v>2034</v>
      </c>
      <c r="F107" s="226">
        <f>'Depr and ADFIT'!$C$1</f>
        <v>57798518.958269402</v>
      </c>
      <c r="H107" s="14">
        <f>'Depr and ADFIT'!C105</f>
        <v>-31789296</v>
      </c>
      <c r="J107" s="227">
        <f>'Depr and ADFIT'!J105</f>
        <v>1171735</v>
      </c>
      <c r="L107" s="260">
        <f>'Depr and ADFIT'!$N$1</f>
        <v>20059165.356256999</v>
      </c>
      <c r="M107" s="261"/>
      <c r="N107" s="259">
        <f>'Depr and ADFIT'!N105</f>
        <v>-11032560</v>
      </c>
      <c r="O107" s="261"/>
      <c r="P107" s="262">
        <f>'Depr and ADFIT'!P105</f>
        <v>-1895587</v>
      </c>
      <c r="R107" s="198">
        <f t="shared" si="9"/>
        <v>34311976.314526401</v>
      </c>
      <c r="T107" s="20">
        <f>WACC!$S$16</f>
        <v>8.1600000000000006E-2</v>
      </c>
      <c r="V107" s="16">
        <f t="shared" si="5"/>
        <v>233321.43893877955</v>
      </c>
      <c r="X107" s="17">
        <f>'O&amp;M'!$J$11</f>
        <v>54166.666666666664</v>
      </c>
      <c r="Z107" s="17">
        <f>(ROUND(F107*'Depr and ADFIT'!$C$4/12,0))</f>
        <v>321104</v>
      </c>
      <c r="AB107" s="17">
        <f>F107*'Alloc. Factors and Property Tax'!$E$24*'Alloc. Factors and Property Tax'!$E$25*'Alloc. Factors and Property Tax'!$E$26/12</f>
        <v>2866.2285551405798</v>
      </c>
      <c r="AD107" s="267">
        <f>Repayment!$AB$81/180</f>
        <v>111439.8075347611</v>
      </c>
      <c r="AF107" s="17">
        <f t="shared" si="8"/>
        <v>722898.14169534796</v>
      </c>
      <c r="AH107" s="21">
        <f>'Alloc. Factors and Property Tax'!$C$18</f>
        <v>0.9604166666666667</v>
      </c>
      <c r="AJ107" s="19">
        <f t="shared" si="6"/>
        <v>694283.4235865738</v>
      </c>
    </row>
    <row r="108" spans="2:36" x14ac:dyDescent="0.2">
      <c r="B108" s="23" t="s">
        <v>14</v>
      </c>
      <c r="D108" s="3">
        <v>2034</v>
      </c>
      <c r="F108" s="226">
        <f>'Depr and ADFIT'!$C$1</f>
        <v>57798518.958269402</v>
      </c>
      <c r="H108" s="14">
        <f>'Depr and ADFIT'!C106</f>
        <v>-32110400</v>
      </c>
      <c r="J108" s="227">
        <f>'Depr and ADFIT'!J106</f>
        <v>1194035</v>
      </c>
      <c r="L108" s="260">
        <f>'Depr and ADFIT'!$N$1</f>
        <v>20059165.356256999</v>
      </c>
      <c r="M108" s="261"/>
      <c r="N108" s="259">
        <f>'Depr and ADFIT'!N106</f>
        <v>-11144000</v>
      </c>
      <c r="O108" s="261"/>
      <c r="P108" s="262">
        <f>'Depr and ADFIT'!P106</f>
        <v>-1872185</v>
      </c>
      <c r="R108" s="198">
        <f t="shared" si="9"/>
        <v>33925134.314526401</v>
      </c>
      <c r="T108" s="20">
        <f>WACC!$S$16</f>
        <v>8.1600000000000006E-2</v>
      </c>
      <c r="V108" s="16">
        <f t="shared" si="5"/>
        <v>230690.91333877956</v>
      </c>
      <c r="X108" s="17">
        <f>'O&amp;M'!$J$11</f>
        <v>54166.666666666664</v>
      </c>
      <c r="Z108" s="17">
        <f>(ROUND(F108*'Depr and ADFIT'!$C$4/12,0))</f>
        <v>321104</v>
      </c>
      <c r="AB108" s="17">
        <f>F108*'Alloc. Factors and Property Tax'!$E$24*'Alloc. Factors and Property Tax'!$E$25*'Alloc. Factors and Property Tax'!$E$26/12</f>
        <v>2866.2285551405798</v>
      </c>
      <c r="AD108" s="267">
        <f>Repayment!$AB$81/180</f>
        <v>111439.8075347611</v>
      </c>
      <c r="AF108" s="17">
        <f t="shared" si="8"/>
        <v>720267.61609534791</v>
      </c>
      <c r="AH108" s="21">
        <f>'Alloc. Factors and Property Tax'!$C$18</f>
        <v>0.9604166666666667</v>
      </c>
      <c r="AJ108" s="19">
        <f t="shared" si="6"/>
        <v>691757.02295824036</v>
      </c>
    </row>
    <row r="109" spans="2:36" x14ac:dyDescent="0.2">
      <c r="B109" s="23" t="s">
        <v>15</v>
      </c>
      <c r="D109" s="3">
        <v>2034</v>
      </c>
      <c r="F109" s="226">
        <f>'Depr and ADFIT'!$C$1</f>
        <v>57798518.958269402</v>
      </c>
      <c r="H109" s="14">
        <f>'Depr and ADFIT'!C107</f>
        <v>-32431504</v>
      </c>
      <c r="J109" s="227">
        <f>'Depr and ADFIT'!J107</f>
        <v>1216335</v>
      </c>
      <c r="L109" s="260">
        <f>'Depr and ADFIT'!$N$1</f>
        <v>20059165.356256999</v>
      </c>
      <c r="M109" s="261"/>
      <c r="N109" s="259">
        <f>'Depr and ADFIT'!N107</f>
        <v>-11255440</v>
      </c>
      <c r="O109" s="261"/>
      <c r="P109" s="262">
        <f>'Depr and ADFIT'!P107</f>
        <v>-1848782</v>
      </c>
      <c r="R109" s="198">
        <f t="shared" si="9"/>
        <v>33538293.314526401</v>
      </c>
      <c r="T109" s="20">
        <f>WACC!$S$16</f>
        <v>8.1600000000000006E-2</v>
      </c>
      <c r="V109" s="16">
        <f t="shared" si="5"/>
        <v>228060.39453877954</v>
      </c>
      <c r="X109" s="17">
        <f>'O&amp;M'!$J$11</f>
        <v>54166.666666666664</v>
      </c>
      <c r="Z109" s="17">
        <f>(ROUND(F109*'Depr and ADFIT'!$C$4/12,0))</f>
        <v>321104</v>
      </c>
      <c r="AB109" s="17">
        <f>F109*'Alloc. Factors and Property Tax'!$E$24*'Alloc. Factors and Property Tax'!$E$25*'Alloc. Factors and Property Tax'!$E$26/12</f>
        <v>2866.2285551405798</v>
      </c>
      <c r="AD109" s="267">
        <f>Repayment!$AB$81/180</f>
        <v>111439.8075347611</v>
      </c>
      <c r="AF109" s="17">
        <f t="shared" si="8"/>
        <v>717637.09729534795</v>
      </c>
      <c r="AH109" s="21">
        <f>'Alloc. Factors and Property Tax'!$C$18</f>
        <v>0.9604166666666667</v>
      </c>
      <c r="AJ109" s="19">
        <f t="shared" si="6"/>
        <v>689230.62886074046</v>
      </c>
    </row>
    <row r="110" spans="2:36" x14ac:dyDescent="0.2">
      <c r="B110" s="23" t="s">
        <v>16</v>
      </c>
      <c r="D110" s="3">
        <v>2034</v>
      </c>
      <c r="F110" s="226">
        <f>'Depr and ADFIT'!$C$1</f>
        <v>57798518.958269402</v>
      </c>
      <c r="H110" s="14">
        <f>'Depr and ADFIT'!C108</f>
        <v>-32752608</v>
      </c>
      <c r="J110" s="227">
        <f>'Depr and ADFIT'!J108</f>
        <v>1238635</v>
      </c>
      <c r="L110" s="260">
        <f>'Depr and ADFIT'!$N$1</f>
        <v>20059165.356256999</v>
      </c>
      <c r="M110" s="261"/>
      <c r="N110" s="259">
        <f>'Depr and ADFIT'!N108</f>
        <v>-11366880</v>
      </c>
      <c r="O110" s="261"/>
      <c r="P110" s="262">
        <f>'Depr and ADFIT'!P108</f>
        <v>-1825380</v>
      </c>
      <c r="R110" s="198">
        <f t="shared" si="9"/>
        <v>33151451.314526401</v>
      </c>
      <c r="T110" s="20">
        <f>WACC!$S$16</f>
        <v>8.1600000000000006E-2</v>
      </c>
      <c r="V110" s="16">
        <f t="shared" si="5"/>
        <v>225429.86893877955</v>
      </c>
      <c r="X110" s="17">
        <f>'O&amp;M'!$J$11</f>
        <v>54166.666666666664</v>
      </c>
      <c r="Z110" s="17">
        <f>(ROUND(F110*'Depr and ADFIT'!$C$4/12,0))</f>
        <v>321104</v>
      </c>
      <c r="AB110" s="17">
        <f>F110*'Alloc. Factors and Property Tax'!$E$24*'Alloc. Factors and Property Tax'!$E$25*'Alloc. Factors and Property Tax'!$E$26/12</f>
        <v>2866.2285551405798</v>
      </c>
      <c r="AD110" s="267">
        <f>Repayment!$AB$81/180</f>
        <v>111439.8075347611</v>
      </c>
      <c r="AF110" s="17">
        <f t="shared" si="8"/>
        <v>715006.5716953479</v>
      </c>
      <c r="AH110" s="21">
        <f>'Alloc. Factors and Property Tax'!$C$18</f>
        <v>0.9604166666666667</v>
      </c>
      <c r="AJ110" s="19">
        <f t="shared" si="6"/>
        <v>686704.22823240701</v>
      </c>
    </row>
    <row r="111" spans="2:36" x14ac:dyDescent="0.2">
      <c r="B111" s="23" t="s">
        <v>17</v>
      </c>
      <c r="D111" s="3">
        <v>2034</v>
      </c>
      <c r="F111" s="226">
        <f>'Depr and ADFIT'!$C$1</f>
        <v>57798518.958269402</v>
      </c>
      <c r="H111" s="14">
        <f>'Depr and ADFIT'!C109</f>
        <v>-33073712</v>
      </c>
      <c r="J111" s="227">
        <f>'Depr and ADFIT'!J109</f>
        <v>1260934</v>
      </c>
      <c r="L111" s="260">
        <f>'Depr and ADFIT'!$N$1</f>
        <v>20059165.356256999</v>
      </c>
      <c r="M111" s="261"/>
      <c r="N111" s="259">
        <f>'Depr and ADFIT'!N109</f>
        <v>-11478320</v>
      </c>
      <c r="O111" s="261"/>
      <c r="P111" s="262">
        <f>'Depr and ADFIT'!P109</f>
        <v>-1801978</v>
      </c>
      <c r="R111" s="198">
        <f t="shared" si="9"/>
        <v>32764608.314526401</v>
      </c>
      <c r="T111" s="20">
        <f>WACC!$S$16</f>
        <v>8.1600000000000006E-2</v>
      </c>
      <c r="V111" s="16">
        <f t="shared" si="5"/>
        <v>222799.33653877955</v>
      </c>
      <c r="X111" s="17">
        <f>'O&amp;M'!$J$11</f>
        <v>54166.666666666664</v>
      </c>
      <c r="Z111" s="17">
        <f>(ROUND(F111*'Depr and ADFIT'!$C$4/12,0))</f>
        <v>321104</v>
      </c>
      <c r="AB111" s="17">
        <f>F111*'Alloc. Factors and Property Tax'!$E$24*'Alloc. Factors and Property Tax'!$E$25*'Alloc. Factors and Property Tax'!$E$26/12</f>
        <v>2866.2285551405798</v>
      </c>
      <c r="AD111" s="267">
        <f>Repayment!$AB$81/180</f>
        <v>111439.8075347611</v>
      </c>
      <c r="AF111" s="17">
        <f t="shared" si="8"/>
        <v>712376.03929534799</v>
      </c>
      <c r="AH111" s="21">
        <f>'Alloc. Factors and Property Tax'!$C$18</f>
        <v>0.9604166666666667</v>
      </c>
      <c r="AJ111" s="19">
        <f t="shared" si="6"/>
        <v>684177.82107324048</v>
      </c>
    </row>
    <row r="112" spans="2:36" x14ac:dyDescent="0.2">
      <c r="B112" s="23" t="s">
        <v>18</v>
      </c>
      <c r="D112" s="3">
        <v>2034</v>
      </c>
      <c r="F112" s="226">
        <f>'Depr and ADFIT'!$C$1</f>
        <v>57798518.958269402</v>
      </c>
      <c r="H112" s="14">
        <f>'Depr and ADFIT'!C110</f>
        <v>-33394816</v>
      </c>
      <c r="J112" s="227">
        <f>'Depr and ADFIT'!J110</f>
        <v>1283234</v>
      </c>
      <c r="L112" s="260">
        <f>'Depr and ADFIT'!$N$1</f>
        <v>20059165.356256999</v>
      </c>
      <c r="M112" s="261"/>
      <c r="N112" s="259">
        <f>'Depr and ADFIT'!N110</f>
        <v>-11589760</v>
      </c>
      <c r="O112" s="261"/>
      <c r="P112" s="262">
        <f>'Depr and ADFIT'!P110</f>
        <v>-1778575</v>
      </c>
      <c r="R112" s="198">
        <f t="shared" si="9"/>
        <v>32377767.314526401</v>
      </c>
      <c r="T112" s="20">
        <f>WACC!$S$16</f>
        <v>8.1600000000000006E-2</v>
      </c>
      <c r="V112" s="16">
        <f t="shared" si="5"/>
        <v>220168.81773877956</v>
      </c>
      <c r="X112" s="17">
        <f>'O&amp;M'!$J$11</f>
        <v>54166.666666666664</v>
      </c>
      <c r="Z112" s="17">
        <f>(ROUND(F112*'Depr and ADFIT'!$C$4/12,0))</f>
        <v>321104</v>
      </c>
      <c r="AB112" s="17">
        <f>F112*'Alloc. Factors and Property Tax'!$E$24*'Alloc. Factors and Property Tax'!$E$25*'Alloc. Factors and Property Tax'!$E$26/12</f>
        <v>2866.2285551405798</v>
      </c>
      <c r="AD112" s="267">
        <f>Repayment!$AB$81/180</f>
        <v>111439.8075347611</v>
      </c>
      <c r="AF112" s="17">
        <f t="shared" si="8"/>
        <v>709745.52049534791</v>
      </c>
      <c r="AH112" s="21">
        <f>'Alloc. Factors and Property Tax'!$C$18</f>
        <v>0.9604166666666667</v>
      </c>
      <c r="AJ112" s="19">
        <f t="shared" si="6"/>
        <v>681651.42697574047</v>
      </c>
    </row>
    <row r="113" spans="2:38" x14ac:dyDescent="0.2">
      <c r="B113" s="23" t="s">
        <v>19</v>
      </c>
      <c r="D113" s="3">
        <v>2034</v>
      </c>
      <c r="F113" s="226">
        <f>'Depr and ADFIT'!$C$1</f>
        <v>57798518.958269402</v>
      </c>
      <c r="H113" s="14">
        <f>'Depr and ADFIT'!C111</f>
        <v>-33715920</v>
      </c>
      <c r="J113" s="227">
        <f>'Depr and ADFIT'!J111</f>
        <v>1305534</v>
      </c>
      <c r="L113" s="260">
        <f>'Depr and ADFIT'!$N$1</f>
        <v>20059165.356256999</v>
      </c>
      <c r="M113" s="261"/>
      <c r="N113" s="259">
        <f>'Depr and ADFIT'!N111</f>
        <v>-11701200</v>
      </c>
      <c r="O113" s="261"/>
      <c r="P113" s="262">
        <f>'Depr and ADFIT'!P111</f>
        <v>-1755173</v>
      </c>
      <c r="R113" s="198">
        <f t="shared" si="9"/>
        <v>31990925.314526401</v>
      </c>
      <c r="T113" s="20">
        <f>WACC!$S$16</f>
        <v>8.1600000000000006E-2</v>
      </c>
      <c r="V113" s="16">
        <f t="shared" si="5"/>
        <v>217538.29213877954</v>
      </c>
      <c r="X113" s="17">
        <f>'O&amp;M'!$J$11</f>
        <v>54166.666666666664</v>
      </c>
      <c r="Z113" s="17">
        <f>(ROUND(F113*'Depr and ADFIT'!$C$4/12,0))</f>
        <v>321104</v>
      </c>
      <c r="AB113" s="17">
        <f>F113*'Alloc. Factors and Property Tax'!$E$24*'Alloc. Factors and Property Tax'!$E$25*'Alloc. Factors and Property Tax'!$E$26/12</f>
        <v>2866.2285551405798</v>
      </c>
      <c r="AD113" s="267">
        <f>Repayment!$AB$81/180</f>
        <v>111439.8075347611</v>
      </c>
      <c r="AF113" s="17">
        <f t="shared" si="8"/>
        <v>707114.99489534798</v>
      </c>
      <c r="AH113" s="21">
        <f>'Alloc. Factors and Property Tax'!$C$18</f>
        <v>0.9604166666666667</v>
      </c>
      <c r="AJ113" s="19">
        <f t="shared" si="6"/>
        <v>679125.02634740714</v>
      </c>
    </row>
    <row r="114" spans="2:38" x14ac:dyDescent="0.2">
      <c r="B114" s="23" t="s">
        <v>8</v>
      </c>
      <c r="D114" s="3">
        <v>2034</v>
      </c>
      <c r="F114" s="226">
        <f>'Depr and ADFIT'!$C$1</f>
        <v>57798518.958269402</v>
      </c>
      <c r="H114" s="14">
        <f>'Depr and ADFIT'!C112</f>
        <v>-34037024</v>
      </c>
      <c r="J114" s="227">
        <f>'Depr and ADFIT'!J112</f>
        <v>1327834</v>
      </c>
      <c r="L114" s="260">
        <f>'Depr and ADFIT'!$N$1</f>
        <v>20059165.356256999</v>
      </c>
      <c r="M114" s="261"/>
      <c r="N114" s="259">
        <f>'Depr and ADFIT'!N112</f>
        <v>-11812640</v>
      </c>
      <c r="O114" s="261"/>
      <c r="P114" s="262">
        <f>'Depr and ADFIT'!P112</f>
        <v>-1731770</v>
      </c>
      <c r="R114" s="198">
        <f t="shared" si="9"/>
        <v>31604084.314526401</v>
      </c>
      <c r="T114" s="20">
        <f>WACC!$S$16</f>
        <v>8.1600000000000006E-2</v>
      </c>
      <c r="V114" s="16">
        <f t="shared" si="5"/>
        <v>214907.77333877955</v>
      </c>
      <c r="X114" s="17">
        <f>'O&amp;M'!$J$11</f>
        <v>54166.666666666664</v>
      </c>
      <c r="Z114" s="17">
        <f>(ROUND(F114*'Depr and ADFIT'!$C$4/12,0))</f>
        <v>321104</v>
      </c>
      <c r="AB114" s="17">
        <f>F114*'Alloc. Factors and Property Tax'!$E$24*'Alloc. Factors and Property Tax'!$E$25*'Alloc. Factors and Property Tax'!$E$26/12</f>
        <v>2866.2285551405798</v>
      </c>
      <c r="AD114" s="267">
        <f>Repayment!$AB$81/180</f>
        <v>111439.8075347611</v>
      </c>
      <c r="AF114" s="17">
        <f t="shared" si="8"/>
        <v>704484.4760953479</v>
      </c>
      <c r="AH114" s="21">
        <f>'Alloc. Factors and Property Tax'!$C$18</f>
        <v>0.9604166666666667</v>
      </c>
      <c r="AJ114" s="19">
        <f t="shared" si="6"/>
        <v>676598.63224990701</v>
      </c>
    </row>
    <row r="115" spans="2:38" x14ac:dyDescent="0.2">
      <c r="B115" s="23" t="s">
        <v>9</v>
      </c>
      <c r="D115" s="3">
        <v>2034</v>
      </c>
      <c r="F115" s="226">
        <f>'Depr and ADFIT'!$C$1</f>
        <v>57798518.958269402</v>
      </c>
      <c r="H115" s="14">
        <f>'Depr and ADFIT'!C113</f>
        <v>-34358128</v>
      </c>
      <c r="J115" s="227">
        <f>'Depr and ADFIT'!J113</f>
        <v>1350134</v>
      </c>
      <c r="L115" s="260">
        <f>'Depr and ADFIT'!$N$1</f>
        <v>20059165.356256999</v>
      </c>
      <c r="M115" s="261"/>
      <c r="N115" s="259">
        <f>'Depr and ADFIT'!N113</f>
        <v>-11924080</v>
      </c>
      <c r="O115" s="261"/>
      <c r="P115" s="262">
        <f>'Depr and ADFIT'!P113</f>
        <v>-1708368</v>
      </c>
      <c r="R115" s="198">
        <f t="shared" si="9"/>
        <v>31217242.314526401</v>
      </c>
      <c r="T115" s="20">
        <f>WACC!$S$16</f>
        <v>8.1600000000000006E-2</v>
      </c>
      <c r="V115" s="16">
        <f t="shared" si="5"/>
        <v>212277.24773877955</v>
      </c>
      <c r="X115" s="17">
        <f>'O&amp;M'!$J$11</f>
        <v>54166.666666666664</v>
      </c>
      <c r="Z115" s="17">
        <f>(ROUND(F115*'Depr and ADFIT'!$C$4/12,0))</f>
        <v>321104</v>
      </c>
      <c r="AB115" s="17">
        <f>F115*'Alloc. Factors and Property Tax'!$E$24*'Alloc. Factors and Property Tax'!$E$25*'Alloc. Factors and Property Tax'!$E$26/12</f>
        <v>2866.2285551405798</v>
      </c>
      <c r="AD115" s="267">
        <f>Repayment!$AB$81/180</f>
        <v>111439.8075347611</v>
      </c>
      <c r="AF115" s="17">
        <f t="shared" si="8"/>
        <v>701853.95049534796</v>
      </c>
      <c r="AH115" s="21">
        <f>'Alloc. Factors and Property Tax'!$C$18</f>
        <v>0.9604166666666667</v>
      </c>
      <c r="AJ115" s="19">
        <f t="shared" si="6"/>
        <v>674072.2316215738</v>
      </c>
      <c r="AL115" s="19"/>
    </row>
    <row r="116" spans="2:38" x14ac:dyDescent="0.2">
      <c r="B116" s="23" t="s">
        <v>10</v>
      </c>
      <c r="D116" s="3">
        <v>2034</v>
      </c>
      <c r="F116" s="226">
        <f>'Depr and ADFIT'!$C$1</f>
        <v>57798518.958269402</v>
      </c>
      <c r="H116" s="14">
        <f>'Depr and ADFIT'!C114</f>
        <v>-34679232</v>
      </c>
      <c r="J116" s="227">
        <f>'Depr and ADFIT'!J114</f>
        <v>1372434</v>
      </c>
      <c r="L116" s="260">
        <f>'Depr and ADFIT'!$N$1</f>
        <v>20059165.356256999</v>
      </c>
      <c r="M116" s="261"/>
      <c r="N116" s="259">
        <f>'Depr and ADFIT'!N114</f>
        <v>-12035520</v>
      </c>
      <c r="O116" s="261"/>
      <c r="P116" s="262">
        <f>'Depr and ADFIT'!P114</f>
        <v>-1684966</v>
      </c>
      <c r="R116" s="198">
        <f t="shared" si="9"/>
        <v>30830400.314526401</v>
      </c>
      <c r="T116" s="20">
        <f>WACC!$S$16</f>
        <v>8.1600000000000006E-2</v>
      </c>
      <c r="V116" s="16">
        <f t="shared" si="5"/>
        <v>209646.72213877956</v>
      </c>
      <c r="X116" s="17">
        <f>'O&amp;M'!$J$11</f>
        <v>54166.666666666664</v>
      </c>
      <c r="Z116" s="17">
        <f>(ROUND(F116*'Depr and ADFIT'!$C$4/12,0))</f>
        <v>321104</v>
      </c>
      <c r="AB116" s="17">
        <f>F116*'Alloc. Factors and Property Tax'!$E$24*'Alloc. Factors and Property Tax'!$E$25*'Alloc. Factors and Property Tax'!$E$26/12</f>
        <v>2866.2285551405798</v>
      </c>
      <c r="AD116" s="267">
        <f>Repayment!$AB$81/180</f>
        <v>111439.8075347611</v>
      </c>
      <c r="AF116" s="17">
        <f t="shared" si="8"/>
        <v>699223.42489534791</v>
      </c>
      <c r="AH116" s="21">
        <f>'Alloc. Factors and Property Tax'!$C$18</f>
        <v>0.9604166666666667</v>
      </c>
      <c r="AJ116" s="19">
        <f t="shared" si="6"/>
        <v>671545.83099324047</v>
      </c>
    </row>
    <row r="117" spans="2:38" x14ac:dyDescent="0.2">
      <c r="B117" s="23" t="s">
        <v>11</v>
      </c>
      <c r="D117" s="3">
        <v>2035</v>
      </c>
      <c r="F117" s="226">
        <f>'Depr and ADFIT'!$C$1</f>
        <v>57798518.958269402</v>
      </c>
      <c r="H117" s="14">
        <f>'Depr and ADFIT'!C115</f>
        <v>-35000336</v>
      </c>
      <c r="J117" s="227">
        <f>'Depr and ADFIT'!J115</f>
        <v>1394744</v>
      </c>
      <c r="L117" s="260">
        <f>'Depr and ADFIT'!$N$1</f>
        <v>20059165.356256999</v>
      </c>
      <c r="M117" s="261"/>
      <c r="N117" s="259">
        <f>'Depr and ADFIT'!N115</f>
        <v>-12146960</v>
      </c>
      <c r="O117" s="261"/>
      <c r="P117" s="262">
        <f>'Depr and ADFIT'!P115</f>
        <v>-1661563</v>
      </c>
      <c r="R117" s="198">
        <f t="shared" si="9"/>
        <v>30443569.314526401</v>
      </c>
      <c r="T117" s="20">
        <f>WACC!$S$16</f>
        <v>8.1600000000000006E-2</v>
      </c>
      <c r="V117" s="16">
        <f t="shared" si="5"/>
        <v>207016.27133877957</v>
      </c>
      <c r="X117" s="17">
        <f>'O&amp;M'!$K$11</f>
        <v>54166.666666666664</v>
      </c>
      <c r="Z117" s="17">
        <f>(ROUND(F117*'Depr and ADFIT'!$C$4/12,0))</f>
        <v>321104</v>
      </c>
      <c r="AB117" s="17">
        <f>F117*'Alloc. Factors and Property Tax'!$E$24*'Alloc. Factors and Property Tax'!$E$25*'Alloc. Factors and Property Tax'!$E$26/12</f>
        <v>2866.2285551405798</v>
      </c>
      <c r="AD117" s="267">
        <f>Repayment!$AB$81/180</f>
        <v>111439.8075347611</v>
      </c>
      <c r="AF117" s="17">
        <f t="shared" si="8"/>
        <v>696592.97409534792</v>
      </c>
      <c r="AH117" s="21">
        <f>'Alloc. Factors and Property Tax'!$C$18</f>
        <v>0.9604166666666667</v>
      </c>
      <c r="AJ117" s="19">
        <f t="shared" si="6"/>
        <v>669019.50220407371</v>
      </c>
    </row>
    <row r="118" spans="2:38" x14ac:dyDescent="0.2">
      <c r="B118" s="23" t="s">
        <v>12</v>
      </c>
      <c r="D118" s="3">
        <v>2035</v>
      </c>
      <c r="F118" s="226">
        <f>'Depr and ADFIT'!$C$1</f>
        <v>57798518.958269402</v>
      </c>
      <c r="H118" s="14">
        <f>'Depr and ADFIT'!C116</f>
        <v>-35321440</v>
      </c>
      <c r="J118" s="227">
        <f>'Depr and ADFIT'!J116</f>
        <v>1417054</v>
      </c>
      <c r="L118" s="260">
        <f>'Depr and ADFIT'!$N$1</f>
        <v>20059165.356256999</v>
      </c>
      <c r="M118" s="261"/>
      <c r="N118" s="259">
        <f>'Depr and ADFIT'!N116</f>
        <v>-12258400</v>
      </c>
      <c r="O118" s="261"/>
      <c r="P118" s="262">
        <f>'Depr and ADFIT'!P116</f>
        <v>-1638161</v>
      </c>
      <c r="R118" s="198">
        <f t="shared" si="9"/>
        <v>30056737.314526401</v>
      </c>
      <c r="T118" s="20">
        <f>WACC!$S$16</f>
        <v>8.1600000000000006E-2</v>
      </c>
      <c r="V118" s="16">
        <f t="shared" si="5"/>
        <v>204385.81373877954</v>
      </c>
      <c r="X118" s="17">
        <f>'O&amp;M'!$K$11</f>
        <v>54166.666666666664</v>
      </c>
      <c r="Z118" s="17">
        <f>(ROUND(F118*'Depr and ADFIT'!$C$4/12,0))</f>
        <v>321104</v>
      </c>
      <c r="AB118" s="17">
        <f>F118*'Alloc. Factors and Property Tax'!$E$24*'Alloc. Factors and Property Tax'!$E$25*'Alloc. Factors and Property Tax'!$E$26/12</f>
        <v>2866.2285551405798</v>
      </c>
      <c r="AD118" s="267">
        <f>Repayment!$AB$81/180</f>
        <v>111439.8075347611</v>
      </c>
      <c r="AF118" s="17">
        <f t="shared" si="8"/>
        <v>693962.51649534784</v>
      </c>
      <c r="AH118" s="21">
        <f>'Alloc. Factors and Property Tax'!$C$18</f>
        <v>0.9604166666666667</v>
      </c>
      <c r="AJ118" s="19">
        <f t="shared" si="6"/>
        <v>666493.16688407364</v>
      </c>
    </row>
    <row r="119" spans="2:38" x14ac:dyDescent="0.2">
      <c r="B119" s="23" t="s">
        <v>13</v>
      </c>
      <c r="D119" s="3">
        <v>2035</v>
      </c>
      <c r="F119" s="226">
        <f>'Depr and ADFIT'!$C$1</f>
        <v>57798518.958269402</v>
      </c>
      <c r="H119" s="14">
        <f>'Depr and ADFIT'!C117</f>
        <v>-35642544</v>
      </c>
      <c r="J119" s="227">
        <f>'Depr and ADFIT'!J117</f>
        <v>1439364</v>
      </c>
      <c r="L119" s="260">
        <f>'Depr and ADFIT'!$N$1</f>
        <v>20059165.356256999</v>
      </c>
      <c r="M119" s="261"/>
      <c r="N119" s="259">
        <f>'Depr and ADFIT'!N117</f>
        <v>-12369840</v>
      </c>
      <c r="O119" s="261"/>
      <c r="P119" s="262">
        <f>'Depr and ADFIT'!P117</f>
        <v>-1614758</v>
      </c>
      <c r="R119" s="198">
        <f t="shared" si="9"/>
        <v>29669906.314526401</v>
      </c>
      <c r="T119" s="20">
        <f>WACC!$S$16</f>
        <v>8.1600000000000006E-2</v>
      </c>
      <c r="V119" s="16">
        <f t="shared" si="5"/>
        <v>201755.36293877955</v>
      </c>
      <c r="X119" s="17">
        <f>'O&amp;M'!$K$11</f>
        <v>54166.666666666664</v>
      </c>
      <c r="Z119" s="17">
        <f>(ROUND(F119*'Depr and ADFIT'!$C$4/12,0))</f>
        <v>321104</v>
      </c>
      <c r="AB119" s="17">
        <f>F119*'Alloc. Factors and Property Tax'!$E$24*'Alloc. Factors and Property Tax'!$E$25*'Alloc. Factors and Property Tax'!$E$26/12</f>
        <v>2866.2285551405798</v>
      </c>
      <c r="AD119" s="267">
        <f>Repayment!$AB$81/180</f>
        <v>111439.8075347611</v>
      </c>
      <c r="AF119" s="17">
        <f t="shared" si="8"/>
        <v>691332.06569534785</v>
      </c>
      <c r="AH119" s="21">
        <f>'Alloc. Factors and Property Tax'!$C$18</f>
        <v>0.9604166666666667</v>
      </c>
      <c r="AJ119" s="19">
        <f t="shared" si="6"/>
        <v>663966.838094907</v>
      </c>
    </row>
    <row r="120" spans="2:38" x14ac:dyDescent="0.2">
      <c r="B120" s="23" t="s">
        <v>14</v>
      </c>
      <c r="D120" s="3">
        <v>2035</v>
      </c>
      <c r="F120" s="226">
        <f>'Depr and ADFIT'!$C$1</f>
        <v>57798518.958269402</v>
      </c>
      <c r="H120" s="14">
        <f>'Depr and ADFIT'!C118</f>
        <v>-35963648</v>
      </c>
      <c r="J120" s="227">
        <f>'Depr and ADFIT'!J118</f>
        <v>1461674</v>
      </c>
      <c r="L120" s="260">
        <f>'Depr and ADFIT'!$N$1</f>
        <v>20059165.356256999</v>
      </c>
      <c r="M120" s="261"/>
      <c r="N120" s="259">
        <f>'Depr and ADFIT'!N118</f>
        <v>-12481280</v>
      </c>
      <c r="O120" s="261"/>
      <c r="P120" s="262">
        <f>'Depr and ADFIT'!P118</f>
        <v>-1591356</v>
      </c>
      <c r="R120" s="198">
        <f t="shared" si="9"/>
        <v>29283074.314526401</v>
      </c>
      <c r="T120" s="20">
        <f>WACC!$S$16</f>
        <v>8.1600000000000006E-2</v>
      </c>
      <c r="V120" s="16">
        <f t="shared" si="5"/>
        <v>199124.90533877956</v>
      </c>
      <c r="X120" s="17">
        <f>'O&amp;M'!$K$11</f>
        <v>54166.666666666664</v>
      </c>
      <c r="Z120" s="17">
        <f>(ROUND(F120*'Depr and ADFIT'!$C$4/12,0))</f>
        <v>321104</v>
      </c>
      <c r="AB120" s="17">
        <f>F120*'Alloc. Factors and Property Tax'!$E$24*'Alloc. Factors and Property Tax'!$E$25*'Alloc. Factors and Property Tax'!$E$26/12</f>
        <v>2866.2285551405798</v>
      </c>
      <c r="AD120" s="267">
        <f>Repayment!$AB$81/180</f>
        <v>111439.8075347611</v>
      </c>
      <c r="AF120" s="17">
        <f t="shared" si="8"/>
        <v>688701.60809534788</v>
      </c>
      <c r="AH120" s="21">
        <f>'Alloc. Factors and Property Tax'!$C$18</f>
        <v>0.9604166666666667</v>
      </c>
      <c r="AJ120" s="19">
        <f t="shared" si="6"/>
        <v>661440.50277490704</v>
      </c>
    </row>
    <row r="121" spans="2:38" x14ac:dyDescent="0.2">
      <c r="B121" s="23" t="s">
        <v>15</v>
      </c>
      <c r="D121" s="3">
        <v>2035</v>
      </c>
      <c r="F121" s="226">
        <f>'Depr and ADFIT'!$C$1</f>
        <v>57798518.958269402</v>
      </c>
      <c r="H121" s="14">
        <f>'Depr and ADFIT'!C119</f>
        <v>-36284752</v>
      </c>
      <c r="J121" s="227">
        <f>'Depr and ADFIT'!J119</f>
        <v>1483984</v>
      </c>
      <c r="L121" s="260">
        <f>'Depr and ADFIT'!$N$1</f>
        <v>20059165.356256999</v>
      </c>
      <c r="M121" s="261"/>
      <c r="N121" s="259">
        <f>'Depr and ADFIT'!N119</f>
        <v>-12592720</v>
      </c>
      <c r="O121" s="261"/>
      <c r="P121" s="262">
        <f>'Depr and ADFIT'!P119</f>
        <v>-1567954</v>
      </c>
      <c r="R121" s="198">
        <f t="shared" si="9"/>
        <v>28896242.314526401</v>
      </c>
      <c r="T121" s="20">
        <f>WACC!$S$16</f>
        <v>8.1600000000000006E-2</v>
      </c>
      <c r="V121" s="16">
        <f t="shared" si="5"/>
        <v>196494.44773877956</v>
      </c>
      <c r="X121" s="17">
        <f>'O&amp;M'!$K$11</f>
        <v>54166.666666666664</v>
      </c>
      <c r="Z121" s="17">
        <f>(ROUND(F121*'Depr and ADFIT'!$C$4/12,0))</f>
        <v>321104</v>
      </c>
      <c r="AB121" s="17">
        <f>F121*'Alloc. Factors and Property Tax'!$E$24*'Alloc. Factors and Property Tax'!$E$25*'Alloc. Factors and Property Tax'!$E$26/12</f>
        <v>2866.2285551405798</v>
      </c>
      <c r="AD121" s="267">
        <f>Repayment!$AB$81/180</f>
        <v>111439.8075347611</v>
      </c>
      <c r="AF121" s="17">
        <f t="shared" si="8"/>
        <v>686071.15049534792</v>
      </c>
      <c r="AH121" s="21">
        <f>'Alloc. Factors and Property Tax'!$C$18</f>
        <v>0.9604166666666667</v>
      </c>
      <c r="AJ121" s="19">
        <f t="shared" si="6"/>
        <v>658914.16745490709</v>
      </c>
    </row>
    <row r="122" spans="2:38" x14ac:dyDescent="0.2">
      <c r="B122" s="23" t="s">
        <v>16</v>
      </c>
      <c r="D122" s="3">
        <v>2035</v>
      </c>
      <c r="F122" s="226">
        <f>'Depr and ADFIT'!$C$1</f>
        <v>57798518.958269402</v>
      </c>
      <c r="H122" s="14">
        <f>'Depr and ADFIT'!C120</f>
        <v>-36605856</v>
      </c>
      <c r="J122" s="227">
        <f>'Depr and ADFIT'!J120</f>
        <v>1506294</v>
      </c>
      <c r="L122" s="260">
        <f>'Depr and ADFIT'!$N$1</f>
        <v>20059165.356256999</v>
      </c>
      <c r="M122" s="261"/>
      <c r="N122" s="259">
        <f>'Depr and ADFIT'!N120</f>
        <v>-12704160</v>
      </c>
      <c r="O122" s="261"/>
      <c r="P122" s="262">
        <f>'Depr and ADFIT'!P120</f>
        <v>-1544551</v>
      </c>
      <c r="R122" s="198">
        <f t="shared" si="9"/>
        <v>28509411.314526401</v>
      </c>
      <c r="T122" s="20">
        <f>WACC!$S$16</f>
        <v>8.1600000000000006E-2</v>
      </c>
      <c r="V122" s="16">
        <f t="shared" si="5"/>
        <v>193863.99693877957</v>
      </c>
      <c r="X122" s="17">
        <f>'O&amp;M'!$K$11</f>
        <v>54166.666666666664</v>
      </c>
      <c r="Z122" s="17">
        <f>(ROUND(F122*'Depr and ADFIT'!$C$4/12,0))</f>
        <v>321104</v>
      </c>
      <c r="AB122" s="17">
        <f>F122*'Alloc. Factors and Property Tax'!$E$24*'Alloc. Factors and Property Tax'!$E$25*'Alloc. Factors and Property Tax'!$E$26/12</f>
        <v>2866.2285551405798</v>
      </c>
      <c r="AD122" s="267">
        <f>Repayment!$AB$81/180</f>
        <v>111439.8075347611</v>
      </c>
      <c r="AF122" s="17">
        <f t="shared" si="8"/>
        <v>683440.69969534792</v>
      </c>
      <c r="AH122" s="21">
        <f>'Alloc. Factors and Property Tax'!$C$18</f>
        <v>0.9604166666666667</v>
      </c>
      <c r="AJ122" s="19">
        <f t="shared" si="6"/>
        <v>656387.83866574045</v>
      </c>
    </row>
    <row r="123" spans="2:38" x14ac:dyDescent="0.2">
      <c r="B123" s="23" t="s">
        <v>17</v>
      </c>
      <c r="D123" s="3">
        <v>2035</v>
      </c>
      <c r="F123" s="226">
        <f>'Depr and ADFIT'!$C$1</f>
        <v>57798518.958269402</v>
      </c>
      <c r="H123" s="14">
        <f>'Depr and ADFIT'!C121</f>
        <v>-36926960</v>
      </c>
      <c r="J123" s="227">
        <f>'Depr and ADFIT'!J121</f>
        <v>1528604</v>
      </c>
      <c r="L123" s="260">
        <f>'Depr and ADFIT'!$N$1</f>
        <v>20059165.356256999</v>
      </c>
      <c r="M123" s="261"/>
      <c r="N123" s="259">
        <f>'Depr and ADFIT'!N121</f>
        <v>-12815600</v>
      </c>
      <c r="O123" s="261"/>
      <c r="P123" s="262">
        <f>'Depr and ADFIT'!P121</f>
        <v>-1521149</v>
      </c>
      <c r="R123" s="198">
        <f t="shared" si="9"/>
        <v>28122579.314526401</v>
      </c>
      <c r="T123" s="20">
        <f>WACC!$S$16</f>
        <v>8.1600000000000006E-2</v>
      </c>
      <c r="V123" s="16">
        <f t="shared" si="5"/>
        <v>191233.53933877955</v>
      </c>
      <c r="X123" s="17">
        <f>'O&amp;M'!$K$11</f>
        <v>54166.666666666664</v>
      </c>
      <c r="Z123" s="17">
        <f>(ROUND(F123*'Depr and ADFIT'!$C$4/12,0))</f>
        <v>321104</v>
      </c>
      <c r="AB123" s="17">
        <f>F123*'Alloc. Factors and Property Tax'!$E$24*'Alloc. Factors and Property Tax'!$E$25*'Alloc. Factors and Property Tax'!$E$26/12</f>
        <v>2866.2285551405798</v>
      </c>
      <c r="AD123" s="267">
        <f>Repayment!$AB$81/180</f>
        <v>111439.8075347611</v>
      </c>
      <c r="AF123" s="17">
        <f t="shared" si="8"/>
        <v>680810.24209534784</v>
      </c>
      <c r="AH123" s="21">
        <f>'Alloc. Factors and Property Tax'!$C$18</f>
        <v>0.9604166666666667</v>
      </c>
      <c r="AJ123" s="19">
        <f t="shared" si="6"/>
        <v>653861.50334574038</v>
      </c>
    </row>
    <row r="124" spans="2:38" x14ac:dyDescent="0.2">
      <c r="B124" s="23" t="s">
        <v>18</v>
      </c>
      <c r="D124" s="3">
        <v>2035</v>
      </c>
      <c r="F124" s="226">
        <f>'Depr and ADFIT'!$C$1</f>
        <v>57798518.958269402</v>
      </c>
      <c r="H124" s="14">
        <f>'Depr and ADFIT'!C122</f>
        <v>-37248064</v>
      </c>
      <c r="J124" s="227">
        <f>'Depr and ADFIT'!J122</f>
        <v>1550914</v>
      </c>
      <c r="L124" s="260">
        <f>'Depr and ADFIT'!$N$1</f>
        <v>20059165.356256999</v>
      </c>
      <c r="M124" s="261"/>
      <c r="N124" s="259">
        <f>'Depr and ADFIT'!N122</f>
        <v>-12927040</v>
      </c>
      <c r="O124" s="261"/>
      <c r="P124" s="262">
        <f>'Depr and ADFIT'!P122</f>
        <v>-1497746</v>
      </c>
      <c r="R124" s="198">
        <f t="shared" si="9"/>
        <v>27735748.314526401</v>
      </c>
      <c r="T124" s="20">
        <f>WACC!$S$16</f>
        <v>8.1600000000000006E-2</v>
      </c>
      <c r="V124" s="16">
        <f t="shared" si="5"/>
        <v>188603.08853877953</v>
      </c>
      <c r="X124" s="17">
        <f>'O&amp;M'!$K$11</f>
        <v>54166.666666666664</v>
      </c>
      <c r="Z124" s="17">
        <f>(ROUND(F124*'Depr and ADFIT'!$C$4/12,0))</f>
        <v>321104</v>
      </c>
      <c r="AB124" s="17">
        <f>F124*'Alloc. Factors and Property Tax'!$E$24*'Alloc. Factors and Property Tax'!$E$25*'Alloc. Factors and Property Tax'!$E$26/12</f>
        <v>2866.2285551405798</v>
      </c>
      <c r="AD124" s="267">
        <f>Repayment!$AB$81/180</f>
        <v>111439.8075347611</v>
      </c>
      <c r="AF124" s="17">
        <f t="shared" si="8"/>
        <v>678179.79129534785</v>
      </c>
      <c r="AH124" s="21">
        <f>'Alloc. Factors and Property Tax'!$C$18</f>
        <v>0.9604166666666667</v>
      </c>
      <c r="AJ124" s="19">
        <f t="shared" si="6"/>
        <v>651335.17455657374</v>
      </c>
    </row>
    <row r="125" spans="2:38" x14ac:dyDescent="0.2">
      <c r="B125" s="23" t="s">
        <v>19</v>
      </c>
      <c r="D125" s="3">
        <v>2035</v>
      </c>
      <c r="F125" s="226">
        <f>'Depr and ADFIT'!$C$1</f>
        <v>57798518.958269402</v>
      </c>
      <c r="H125" s="14">
        <f>'Depr and ADFIT'!C123</f>
        <v>-37569168</v>
      </c>
      <c r="J125" s="227">
        <f>'Depr and ADFIT'!J123</f>
        <v>1573224</v>
      </c>
      <c r="L125" s="260">
        <f>'Depr and ADFIT'!$N$1</f>
        <v>20059165.356256999</v>
      </c>
      <c r="M125" s="261"/>
      <c r="N125" s="259">
        <f>'Depr and ADFIT'!N123</f>
        <v>-13038480</v>
      </c>
      <c r="O125" s="261"/>
      <c r="P125" s="262">
        <f>'Depr and ADFIT'!P123</f>
        <v>-1474344</v>
      </c>
      <c r="R125" s="198">
        <f t="shared" si="9"/>
        <v>27348916.314526401</v>
      </c>
      <c r="T125" s="20">
        <f>WACC!$S$16</f>
        <v>8.1600000000000006E-2</v>
      </c>
      <c r="V125" s="16">
        <f t="shared" si="5"/>
        <v>185972.63093877953</v>
      </c>
      <c r="X125" s="17">
        <f>'O&amp;M'!$K$11</f>
        <v>54166.666666666664</v>
      </c>
      <c r="Z125" s="17">
        <f>(ROUND(F125*'Depr and ADFIT'!$C$4/12,0))</f>
        <v>321104</v>
      </c>
      <c r="AB125" s="17">
        <f>F125*'Alloc. Factors and Property Tax'!$E$24*'Alloc. Factors and Property Tax'!$E$25*'Alloc. Factors and Property Tax'!$E$26/12</f>
        <v>2866.2285551405798</v>
      </c>
      <c r="AD125" s="267">
        <f>Repayment!$AB$81/180</f>
        <v>111439.8075347611</v>
      </c>
      <c r="AF125" s="17">
        <f t="shared" si="8"/>
        <v>675549.33369534789</v>
      </c>
      <c r="AH125" s="21">
        <f>'Alloc. Factors and Property Tax'!$C$18</f>
        <v>0.9604166666666667</v>
      </c>
      <c r="AJ125" s="19">
        <f t="shared" si="6"/>
        <v>648808.83923657367</v>
      </c>
    </row>
    <row r="126" spans="2:38" x14ac:dyDescent="0.2">
      <c r="B126" s="23" t="s">
        <v>8</v>
      </c>
      <c r="D126" s="3">
        <v>2035</v>
      </c>
      <c r="F126" s="226">
        <f>'Depr and ADFIT'!$C$1</f>
        <v>57798518.958269402</v>
      </c>
      <c r="H126" s="14">
        <f>'Depr and ADFIT'!C124</f>
        <v>-37890272</v>
      </c>
      <c r="J126" s="227">
        <f>'Depr and ADFIT'!J124</f>
        <v>1595534</v>
      </c>
      <c r="L126" s="260">
        <f>'Depr and ADFIT'!$N$1</f>
        <v>20059165.356256999</v>
      </c>
      <c r="M126" s="261"/>
      <c r="N126" s="259">
        <f>'Depr and ADFIT'!N124</f>
        <v>-13149920</v>
      </c>
      <c r="O126" s="261"/>
      <c r="P126" s="262">
        <f>'Depr and ADFIT'!P124</f>
        <v>-1450942</v>
      </c>
      <c r="R126" s="198">
        <f t="shared" si="9"/>
        <v>26962084.314526401</v>
      </c>
      <c r="T126" s="20">
        <f>WACC!$S$16</f>
        <v>8.1600000000000006E-2</v>
      </c>
      <c r="V126" s="16">
        <f t="shared" si="5"/>
        <v>183342.17333877957</v>
      </c>
      <c r="X126" s="17">
        <f>'O&amp;M'!$K$11</f>
        <v>54166.666666666664</v>
      </c>
      <c r="Z126" s="17">
        <f>(ROUND(F126*'Depr and ADFIT'!$C$4/12,0))</f>
        <v>321104</v>
      </c>
      <c r="AB126" s="17">
        <f>F126*'Alloc. Factors and Property Tax'!$E$24*'Alloc. Factors and Property Tax'!$E$25*'Alloc. Factors and Property Tax'!$E$26/12</f>
        <v>2866.2285551405798</v>
      </c>
      <c r="AD126" s="267">
        <f>Repayment!$AB$81/180</f>
        <v>111439.8075347611</v>
      </c>
      <c r="AF126" s="17">
        <f t="shared" si="8"/>
        <v>672918.87609534792</v>
      </c>
      <c r="AH126" s="21">
        <f>'Alloc. Factors and Property Tax'!$C$18</f>
        <v>0.9604166666666667</v>
      </c>
      <c r="AJ126" s="19">
        <f t="shared" si="6"/>
        <v>646282.50391657371</v>
      </c>
    </row>
    <row r="127" spans="2:38" x14ac:dyDescent="0.2">
      <c r="B127" s="23" t="s">
        <v>9</v>
      </c>
      <c r="D127" s="3">
        <v>2035</v>
      </c>
      <c r="F127" s="226">
        <f>'Depr and ADFIT'!$C$1</f>
        <v>57798518.958269402</v>
      </c>
      <c r="H127" s="14">
        <f>'Depr and ADFIT'!C125</f>
        <v>-38211376</v>
      </c>
      <c r="J127" s="227">
        <f>'Depr and ADFIT'!J125</f>
        <v>1617844</v>
      </c>
      <c r="L127" s="260">
        <f>'Depr and ADFIT'!$N$1</f>
        <v>20059165.356256999</v>
      </c>
      <c r="M127" s="261"/>
      <c r="N127" s="259">
        <f>'Depr and ADFIT'!N125</f>
        <v>-13261360</v>
      </c>
      <c r="O127" s="261"/>
      <c r="P127" s="262">
        <f>'Depr and ADFIT'!P125</f>
        <v>-1427539</v>
      </c>
      <c r="R127" s="198">
        <f t="shared" si="9"/>
        <v>26575253.314526401</v>
      </c>
      <c r="T127" s="20">
        <f>WACC!$S$16</f>
        <v>8.1600000000000006E-2</v>
      </c>
      <c r="V127" s="16">
        <f t="shared" si="5"/>
        <v>180711.72253877952</v>
      </c>
      <c r="X127" s="17">
        <f>'O&amp;M'!$K$11</f>
        <v>54166.666666666664</v>
      </c>
      <c r="Z127" s="17">
        <f>(ROUND(F127*'Depr and ADFIT'!$C$4/12,0))</f>
        <v>321104</v>
      </c>
      <c r="AB127" s="17">
        <f>F127*'Alloc. Factors and Property Tax'!$E$24*'Alloc. Factors and Property Tax'!$E$25*'Alloc. Factors and Property Tax'!$E$26/12</f>
        <v>2866.2285551405798</v>
      </c>
      <c r="AD127" s="267">
        <f>Repayment!$AB$81/180</f>
        <v>111439.8075347611</v>
      </c>
      <c r="AF127" s="17">
        <f t="shared" si="8"/>
        <v>670288.42529534793</v>
      </c>
      <c r="AH127" s="21">
        <f>'Alloc. Factors and Property Tax'!$C$18</f>
        <v>0.9604166666666667</v>
      </c>
      <c r="AJ127" s="19">
        <f t="shared" si="6"/>
        <v>643756.17512740707</v>
      </c>
    </row>
    <row r="128" spans="2:38" x14ac:dyDescent="0.2">
      <c r="B128" s="23" t="s">
        <v>10</v>
      </c>
      <c r="D128" s="3">
        <v>2035</v>
      </c>
      <c r="F128" s="226">
        <f>'Depr and ADFIT'!$C$1</f>
        <v>57798518.958269402</v>
      </c>
      <c r="H128" s="14">
        <f>'Depr and ADFIT'!C126</f>
        <v>-38532480</v>
      </c>
      <c r="J128" s="227">
        <f>'Depr and ADFIT'!J126</f>
        <v>1640154</v>
      </c>
      <c r="L128" s="260">
        <f>'Depr and ADFIT'!$N$1</f>
        <v>20059165.356256999</v>
      </c>
      <c r="M128" s="261"/>
      <c r="N128" s="259">
        <f>'Depr and ADFIT'!N126</f>
        <v>-13372800</v>
      </c>
      <c r="O128" s="261"/>
      <c r="P128" s="262">
        <f>'Depr and ADFIT'!P126</f>
        <v>-1404137</v>
      </c>
      <c r="R128" s="198">
        <f t="shared" si="9"/>
        <v>26188421.314526401</v>
      </c>
      <c r="T128" s="20">
        <f>WACC!$S$16</f>
        <v>8.1600000000000006E-2</v>
      </c>
      <c r="V128" s="16">
        <f t="shared" si="5"/>
        <v>178081.26493877952</v>
      </c>
      <c r="X128" s="17">
        <f>'O&amp;M'!$K$11</f>
        <v>54166.666666666664</v>
      </c>
      <c r="Z128" s="17">
        <f>(ROUND(F128*'Depr and ADFIT'!$C$4/12,0))</f>
        <v>321104</v>
      </c>
      <c r="AB128" s="17">
        <f>F128*'Alloc. Factors and Property Tax'!$E$24*'Alloc. Factors and Property Tax'!$E$25*'Alloc. Factors and Property Tax'!$E$26/12</f>
        <v>2866.2285551405798</v>
      </c>
      <c r="AD128" s="267">
        <f>Repayment!$AB$81/180</f>
        <v>111439.8075347611</v>
      </c>
      <c r="AF128" s="17">
        <f t="shared" si="8"/>
        <v>667657.96769534785</v>
      </c>
      <c r="AH128" s="21">
        <f>'Alloc. Factors and Property Tax'!$C$18</f>
        <v>0.9604166666666667</v>
      </c>
      <c r="AJ128" s="19">
        <f t="shared" si="6"/>
        <v>641229.839807407</v>
      </c>
    </row>
    <row r="129" spans="2:36" x14ac:dyDescent="0.2">
      <c r="B129" s="23" t="s">
        <v>11</v>
      </c>
      <c r="D129" s="3">
        <v>2036</v>
      </c>
      <c r="F129" s="226">
        <f>'Depr and ADFIT'!$C$1</f>
        <v>57798518.958269402</v>
      </c>
      <c r="H129" s="14">
        <f>'Depr and ADFIT'!C127</f>
        <v>-38853584</v>
      </c>
      <c r="J129" s="227">
        <f>'Depr and ADFIT'!J127</f>
        <v>1662453</v>
      </c>
      <c r="L129" s="260">
        <f>'Depr and ADFIT'!$N$1</f>
        <v>20059165.356256999</v>
      </c>
      <c r="M129" s="261"/>
      <c r="N129" s="259">
        <f>'Depr and ADFIT'!N127</f>
        <v>-13484240</v>
      </c>
      <c r="O129" s="261"/>
      <c r="P129" s="262">
        <f>'Depr and ADFIT'!P127</f>
        <v>-1380734</v>
      </c>
      <c r="R129" s="198">
        <f t="shared" si="9"/>
        <v>25801579.314526401</v>
      </c>
      <c r="T129" s="20">
        <f>WACC!$S$16</f>
        <v>8.1600000000000006E-2</v>
      </c>
      <c r="V129" s="16">
        <f t="shared" si="5"/>
        <v>175450.73933877956</v>
      </c>
      <c r="X129" s="17">
        <f>X128</f>
        <v>54166.666666666664</v>
      </c>
      <c r="Z129" s="17">
        <f>(ROUND(F129*'Depr and ADFIT'!$C$4/12,0))</f>
        <v>321104</v>
      </c>
      <c r="AB129" s="17">
        <f>F129*'Alloc. Factors and Property Tax'!$E$24*'Alloc. Factors and Property Tax'!$E$25*'Alloc. Factors and Property Tax'!$E$26/12</f>
        <v>2866.2285551405798</v>
      </c>
      <c r="AD129" s="267">
        <f>Repayment!$AB$81/180</f>
        <v>111439.8075347611</v>
      </c>
      <c r="AF129" s="17">
        <f t="shared" si="8"/>
        <v>665027.44209534791</v>
      </c>
      <c r="AH129" s="21">
        <f>'Alloc. Factors and Property Tax'!$C$18</f>
        <v>0.9604166666666667</v>
      </c>
      <c r="AJ129" s="19">
        <f t="shared" si="6"/>
        <v>638703.43917907379</v>
      </c>
    </row>
    <row r="130" spans="2:36" x14ac:dyDescent="0.2">
      <c r="B130" s="23" t="s">
        <v>12</v>
      </c>
      <c r="D130" s="3">
        <v>2036</v>
      </c>
      <c r="F130" s="226">
        <f>'Depr and ADFIT'!$C$1</f>
        <v>57798518.958269402</v>
      </c>
      <c r="H130" s="14">
        <f>'Depr and ADFIT'!C128</f>
        <v>-39174688</v>
      </c>
      <c r="J130" s="227">
        <f>'Depr and ADFIT'!J128</f>
        <v>1684753</v>
      </c>
      <c r="L130" s="260">
        <f>'Depr and ADFIT'!$N$1</f>
        <v>20059165.356256999</v>
      </c>
      <c r="M130" s="261"/>
      <c r="N130" s="259">
        <f>'Depr and ADFIT'!N128</f>
        <v>-13595680</v>
      </c>
      <c r="O130" s="261"/>
      <c r="P130" s="262">
        <f>'Depr and ADFIT'!P128</f>
        <v>-1357332</v>
      </c>
      <c r="R130" s="198">
        <f t="shared" si="9"/>
        <v>25414737.314526401</v>
      </c>
      <c r="T130" s="20">
        <f>WACC!$S$16</f>
        <v>8.1600000000000006E-2</v>
      </c>
      <c r="V130" s="16">
        <f t="shared" si="5"/>
        <v>172820.21373877954</v>
      </c>
      <c r="X130" s="17">
        <f t="shared" ref="X130:X188" si="10">X129</f>
        <v>54166.666666666664</v>
      </c>
      <c r="Z130" s="17">
        <f>(ROUND(F130*'Depr and ADFIT'!$C$4/12,0))</f>
        <v>321104</v>
      </c>
      <c r="AB130" s="17">
        <f>F130*'Alloc. Factors and Property Tax'!$E$24*'Alloc. Factors and Property Tax'!$E$25*'Alloc. Factors and Property Tax'!$E$26/12</f>
        <v>2866.2285551405798</v>
      </c>
      <c r="AD130" s="267">
        <f>Repayment!$AB$81/180</f>
        <v>111439.8075347611</v>
      </c>
      <c r="AF130" s="17">
        <f t="shared" si="8"/>
        <v>662396.91649534786</v>
      </c>
      <c r="AH130" s="21">
        <f>'Alloc. Factors and Property Tax'!$C$18</f>
        <v>0.9604166666666667</v>
      </c>
      <c r="AJ130" s="19">
        <f t="shared" si="6"/>
        <v>636177.03855074034</v>
      </c>
    </row>
    <row r="131" spans="2:36" x14ac:dyDescent="0.2">
      <c r="B131" s="23" t="s">
        <v>13</v>
      </c>
      <c r="D131" s="3">
        <v>2036</v>
      </c>
      <c r="F131" s="226">
        <f>'Depr and ADFIT'!$C$1</f>
        <v>57798518.958269402</v>
      </c>
      <c r="H131" s="14">
        <f>'Depr and ADFIT'!C129</f>
        <v>-39495792</v>
      </c>
      <c r="J131" s="227">
        <f>'Depr and ADFIT'!J129</f>
        <v>1707053</v>
      </c>
      <c r="L131" s="260">
        <f>'Depr and ADFIT'!$N$1</f>
        <v>20059165.356256999</v>
      </c>
      <c r="M131" s="261"/>
      <c r="N131" s="259">
        <f>'Depr and ADFIT'!N129</f>
        <v>-13707120</v>
      </c>
      <c r="O131" s="261"/>
      <c r="P131" s="262">
        <f>'Depr and ADFIT'!P129</f>
        <v>-1333930</v>
      </c>
      <c r="R131" s="198">
        <f t="shared" si="9"/>
        <v>25027895.314526401</v>
      </c>
      <c r="T131" s="20">
        <f>WACC!$S$16</f>
        <v>8.1600000000000006E-2</v>
      </c>
      <c r="V131" s="16">
        <f t="shared" si="5"/>
        <v>170189.68813877954</v>
      </c>
      <c r="X131" s="17">
        <f t="shared" si="10"/>
        <v>54166.666666666664</v>
      </c>
      <c r="Z131" s="17">
        <f>(ROUND(F131*'Depr and ADFIT'!$C$4/12,0))</f>
        <v>321104</v>
      </c>
      <c r="AB131" s="17">
        <f>F131*'Alloc. Factors and Property Tax'!$E$24*'Alloc. Factors and Property Tax'!$E$25*'Alloc. Factors and Property Tax'!$E$26/12</f>
        <v>2866.2285551405798</v>
      </c>
      <c r="AD131" s="267">
        <f>Repayment!$AB$81/180</f>
        <v>111439.8075347611</v>
      </c>
      <c r="AF131" s="17">
        <f t="shared" si="8"/>
        <v>659766.39089534793</v>
      </c>
      <c r="AH131" s="21">
        <f>'Alloc. Factors and Property Tax'!$C$18</f>
        <v>0.9604166666666667</v>
      </c>
      <c r="AJ131" s="19">
        <f t="shared" si="6"/>
        <v>633650.63792240713</v>
      </c>
    </row>
    <row r="132" spans="2:36" x14ac:dyDescent="0.2">
      <c r="B132" s="23" t="s">
        <v>14</v>
      </c>
      <c r="D132" s="3">
        <v>2036</v>
      </c>
      <c r="F132" s="226">
        <f>'Depr and ADFIT'!$C$1</f>
        <v>57798518.958269402</v>
      </c>
      <c r="H132" s="14">
        <f>'Depr and ADFIT'!C130</f>
        <v>-39816896</v>
      </c>
      <c r="J132" s="227">
        <f>'Depr and ADFIT'!J130</f>
        <v>1729353</v>
      </c>
      <c r="L132" s="260">
        <f>'Depr and ADFIT'!$N$1</f>
        <v>20059165.356256999</v>
      </c>
      <c r="M132" s="261"/>
      <c r="N132" s="259">
        <f>'Depr and ADFIT'!N130</f>
        <v>-13818560</v>
      </c>
      <c r="O132" s="261"/>
      <c r="P132" s="262">
        <f>'Depr and ADFIT'!P130</f>
        <v>-1310527</v>
      </c>
      <c r="R132" s="198">
        <f t="shared" si="9"/>
        <v>24641054.314526401</v>
      </c>
      <c r="T132" s="20">
        <f>WACC!$S$16</f>
        <v>8.1600000000000006E-2</v>
      </c>
      <c r="V132" s="16">
        <f t="shared" si="5"/>
        <v>167559.16933877955</v>
      </c>
      <c r="X132" s="17">
        <f t="shared" si="10"/>
        <v>54166.666666666664</v>
      </c>
      <c r="Z132" s="17">
        <f>(ROUND(F132*'Depr and ADFIT'!$C$4/12,0))</f>
        <v>321104</v>
      </c>
      <c r="AB132" s="17">
        <f>F132*'Alloc. Factors and Property Tax'!$E$24*'Alloc. Factors and Property Tax'!$E$25*'Alloc. Factors and Property Tax'!$E$26/12</f>
        <v>2866.2285551405798</v>
      </c>
      <c r="AD132" s="267">
        <f>Repayment!$AB$81/180</f>
        <v>111439.8075347611</v>
      </c>
      <c r="AF132" s="17">
        <f t="shared" si="8"/>
        <v>657135.87209534796</v>
      </c>
      <c r="AH132" s="21">
        <f>'Alloc. Factors and Property Tax'!$C$18</f>
        <v>0.9604166666666667</v>
      </c>
      <c r="AJ132" s="19">
        <f t="shared" si="6"/>
        <v>631124.24382490711</v>
      </c>
    </row>
    <row r="133" spans="2:36" x14ac:dyDescent="0.2">
      <c r="B133" s="23" t="s">
        <v>15</v>
      </c>
      <c r="D133" s="3">
        <v>2036</v>
      </c>
      <c r="F133" s="226">
        <f>'Depr and ADFIT'!$C$1</f>
        <v>57798518.958269402</v>
      </c>
      <c r="H133" s="14">
        <f>'Depr and ADFIT'!C131</f>
        <v>-40138000</v>
      </c>
      <c r="J133" s="227">
        <f>'Depr and ADFIT'!J131</f>
        <v>1751653</v>
      </c>
      <c r="L133" s="260">
        <f>'Depr and ADFIT'!$N$1</f>
        <v>20059165.356256999</v>
      </c>
      <c r="M133" s="261"/>
      <c r="N133" s="259">
        <f>'Depr and ADFIT'!N131</f>
        <v>-13930000</v>
      </c>
      <c r="O133" s="261"/>
      <c r="P133" s="262">
        <f>'Depr and ADFIT'!P131</f>
        <v>-1287125</v>
      </c>
      <c r="R133" s="198">
        <f t="shared" si="9"/>
        <v>24254212.314526401</v>
      </c>
      <c r="T133" s="20">
        <f>WACC!$S$16</f>
        <v>8.1600000000000006E-2</v>
      </c>
      <c r="V133" s="16">
        <f t="shared" si="5"/>
        <v>164928.64373877956</v>
      </c>
      <c r="X133" s="17">
        <f t="shared" si="10"/>
        <v>54166.666666666664</v>
      </c>
      <c r="Z133" s="17">
        <f>(ROUND(F133*'Depr and ADFIT'!$C$4/12,0))</f>
        <v>321104</v>
      </c>
      <c r="AB133" s="17">
        <f>F133*'Alloc. Factors and Property Tax'!$E$24*'Alloc. Factors and Property Tax'!$E$25*'Alloc. Factors and Property Tax'!$E$26/12</f>
        <v>2866.2285551405798</v>
      </c>
      <c r="AD133" s="267">
        <f>Repayment!$AB$81/180</f>
        <v>111439.8075347611</v>
      </c>
      <c r="AF133" s="17">
        <f t="shared" si="8"/>
        <v>654505.34649534791</v>
      </c>
      <c r="AH133" s="21">
        <f>'Alloc. Factors and Property Tax'!$C$18</f>
        <v>0.9604166666666667</v>
      </c>
      <c r="AJ133" s="19">
        <f t="shared" si="6"/>
        <v>628597.84319657378</v>
      </c>
    </row>
    <row r="134" spans="2:36" x14ac:dyDescent="0.2">
      <c r="B134" s="23" t="s">
        <v>16</v>
      </c>
      <c r="D134" s="3">
        <v>2036</v>
      </c>
      <c r="F134" s="226">
        <f>'Depr and ADFIT'!$C$1</f>
        <v>57798518.958269402</v>
      </c>
      <c r="H134" s="14">
        <f>'Depr and ADFIT'!C132</f>
        <v>-40459104</v>
      </c>
      <c r="J134" s="227">
        <f>'Depr and ADFIT'!J132</f>
        <v>1773953</v>
      </c>
      <c r="L134" s="260">
        <f>'Depr and ADFIT'!$N$1</f>
        <v>20059165.356256999</v>
      </c>
      <c r="M134" s="261"/>
      <c r="N134" s="259">
        <f>'Depr and ADFIT'!N132</f>
        <v>-14041440</v>
      </c>
      <c r="O134" s="261"/>
      <c r="P134" s="262">
        <f>'Depr and ADFIT'!P132</f>
        <v>-1263722</v>
      </c>
      <c r="R134" s="198">
        <f t="shared" si="9"/>
        <v>23867371.314526401</v>
      </c>
      <c r="T134" s="20">
        <f>WACC!$S$16</f>
        <v>8.1600000000000006E-2</v>
      </c>
      <c r="V134" s="16">
        <f t="shared" si="5"/>
        <v>162298.12493877954</v>
      </c>
      <c r="X134" s="17">
        <f t="shared" si="10"/>
        <v>54166.666666666664</v>
      </c>
      <c r="Z134" s="17">
        <f>(ROUND(F134*'Depr and ADFIT'!$C$4/12,0))</f>
        <v>321104</v>
      </c>
      <c r="AB134" s="17">
        <f>F134*'Alloc. Factors and Property Tax'!$E$24*'Alloc. Factors and Property Tax'!$E$25*'Alloc. Factors and Property Tax'!$E$26/12</f>
        <v>2866.2285551405798</v>
      </c>
      <c r="AD134" s="267">
        <f>Repayment!$AB$81/180</f>
        <v>111439.8075347611</v>
      </c>
      <c r="AF134" s="17">
        <f t="shared" si="8"/>
        <v>651874.82769534795</v>
      </c>
      <c r="AH134" s="21">
        <f>'Alloc. Factors and Property Tax'!$C$18</f>
        <v>0.9604166666666667</v>
      </c>
      <c r="AJ134" s="19">
        <f t="shared" si="6"/>
        <v>626071.44909907377</v>
      </c>
    </row>
    <row r="135" spans="2:36" x14ac:dyDescent="0.2">
      <c r="B135" s="23" t="s">
        <v>17</v>
      </c>
      <c r="D135" s="3">
        <v>2036</v>
      </c>
      <c r="F135" s="226">
        <f>'Depr and ADFIT'!$C$1</f>
        <v>57798518.958269402</v>
      </c>
      <c r="H135" s="14">
        <f>'Depr and ADFIT'!C133</f>
        <v>-40780208</v>
      </c>
      <c r="J135" s="227">
        <f>'Depr and ADFIT'!J133</f>
        <v>1796253</v>
      </c>
      <c r="L135" s="260">
        <f>'Depr and ADFIT'!$N$1</f>
        <v>20059165.356256999</v>
      </c>
      <c r="M135" s="261"/>
      <c r="N135" s="259">
        <f>'Depr and ADFIT'!N133</f>
        <v>-14152880</v>
      </c>
      <c r="O135" s="261"/>
      <c r="P135" s="262">
        <f>'Depr and ADFIT'!P133</f>
        <v>-1240320</v>
      </c>
      <c r="R135" s="198">
        <f t="shared" si="9"/>
        <v>23480529.314526401</v>
      </c>
      <c r="T135" s="20">
        <f>WACC!$S$16</f>
        <v>8.1600000000000006E-2</v>
      </c>
      <c r="V135" s="16">
        <f t="shared" ref="V135:V188" si="11">R135*T135/12</f>
        <v>159667.59933877955</v>
      </c>
      <c r="X135" s="17">
        <f t="shared" si="10"/>
        <v>54166.666666666664</v>
      </c>
      <c r="Z135" s="17">
        <f>(ROUND(F135*'Depr and ADFIT'!$C$4/12,0))</f>
        <v>321104</v>
      </c>
      <c r="AB135" s="17">
        <f>F135*'Alloc. Factors and Property Tax'!$E$24*'Alloc. Factors and Property Tax'!$E$25*'Alloc. Factors and Property Tax'!$E$26/12</f>
        <v>2866.2285551405798</v>
      </c>
      <c r="AD135" s="267">
        <f>Repayment!$AB$81/180</f>
        <v>111439.8075347611</v>
      </c>
      <c r="AF135" s="17">
        <f t="shared" si="8"/>
        <v>649244.3020953479</v>
      </c>
      <c r="AH135" s="21">
        <f>'Alloc. Factors and Property Tax'!$C$18</f>
        <v>0.9604166666666667</v>
      </c>
      <c r="AJ135" s="19">
        <f t="shared" ref="AJ135:AJ188" si="12">AF135*AH135</f>
        <v>623545.04847074044</v>
      </c>
    </row>
    <row r="136" spans="2:36" x14ac:dyDescent="0.2">
      <c r="B136" s="23" t="s">
        <v>18</v>
      </c>
      <c r="D136" s="3">
        <v>2036</v>
      </c>
      <c r="F136" s="226">
        <f>'Depr and ADFIT'!$C$1</f>
        <v>57798518.958269402</v>
      </c>
      <c r="H136" s="14">
        <f>'Depr and ADFIT'!C134</f>
        <v>-41101312</v>
      </c>
      <c r="J136" s="227">
        <f>'Depr and ADFIT'!J134</f>
        <v>1818553</v>
      </c>
      <c r="L136" s="260">
        <f>'Depr and ADFIT'!$N$1</f>
        <v>20059165.356256999</v>
      </c>
      <c r="M136" s="261"/>
      <c r="N136" s="259">
        <f>'Depr and ADFIT'!N134</f>
        <v>-14264320</v>
      </c>
      <c r="O136" s="261"/>
      <c r="P136" s="262">
        <f>'Depr and ADFIT'!P134</f>
        <v>-1216918</v>
      </c>
      <c r="R136" s="198">
        <f t="shared" si="9"/>
        <v>23093687.314526401</v>
      </c>
      <c r="T136" s="20">
        <f>WACC!$S$16</f>
        <v>8.1600000000000006E-2</v>
      </c>
      <c r="V136" s="16">
        <f t="shared" si="11"/>
        <v>157037.07373877955</v>
      </c>
      <c r="X136" s="17">
        <f t="shared" si="10"/>
        <v>54166.666666666664</v>
      </c>
      <c r="Z136" s="17">
        <f>(ROUND(F136*'Depr and ADFIT'!$C$4/12,0))</f>
        <v>321104</v>
      </c>
      <c r="AB136" s="17">
        <f>F136*'Alloc. Factors and Property Tax'!$E$24*'Alloc. Factors and Property Tax'!$E$25*'Alloc. Factors and Property Tax'!$E$26/12</f>
        <v>2866.2285551405798</v>
      </c>
      <c r="AD136" s="267">
        <f>Repayment!$AB$81/180</f>
        <v>111439.8075347611</v>
      </c>
      <c r="AF136" s="17">
        <f t="shared" si="8"/>
        <v>646613.77649534785</v>
      </c>
      <c r="AH136" s="21">
        <f>'Alloc. Factors and Property Tax'!$C$18</f>
        <v>0.9604166666666667</v>
      </c>
      <c r="AJ136" s="19">
        <f t="shared" si="12"/>
        <v>621018.64784240699</v>
      </c>
    </row>
    <row r="137" spans="2:36" x14ac:dyDescent="0.2">
      <c r="B137" s="23" t="s">
        <v>19</v>
      </c>
      <c r="D137" s="3">
        <v>2036</v>
      </c>
      <c r="F137" s="226">
        <f>'Depr and ADFIT'!$C$1</f>
        <v>57798518.958269402</v>
      </c>
      <c r="H137" s="14">
        <f>'Depr and ADFIT'!C135</f>
        <v>-41422416</v>
      </c>
      <c r="J137" s="227">
        <f>'Depr and ADFIT'!J135</f>
        <v>1840852</v>
      </c>
      <c r="L137" s="260">
        <f>'Depr and ADFIT'!$N$1</f>
        <v>20059165.356256999</v>
      </c>
      <c r="M137" s="261"/>
      <c r="N137" s="259">
        <f>'Depr and ADFIT'!N135</f>
        <v>-14375760</v>
      </c>
      <c r="O137" s="261"/>
      <c r="P137" s="262">
        <f>'Depr and ADFIT'!P135</f>
        <v>-1193515</v>
      </c>
      <c r="R137" s="198">
        <f t="shared" ref="R137:R168" si="13">SUM(F137:Q137)</f>
        <v>22706845.314526401</v>
      </c>
      <c r="T137" s="20">
        <f>WACC!$S$16</f>
        <v>8.1600000000000006E-2</v>
      </c>
      <c r="V137" s="16">
        <f t="shared" si="11"/>
        <v>154406.54813877956</v>
      </c>
      <c r="X137" s="17">
        <f t="shared" si="10"/>
        <v>54166.666666666664</v>
      </c>
      <c r="Z137" s="17">
        <f>(ROUND(F137*'Depr and ADFIT'!$C$4/12,0))</f>
        <v>321104</v>
      </c>
      <c r="AB137" s="17">
        <f>F137*'Alloc. Factors and Property Tax'!$E$24*'Alloc. Factors and Property Tax'!$E$25*'Alloc. Factors and Property Tax'!$E$26/12</f>
        <v>2866.2285551405798</v>
      </c>
      <c r="AD137" s="267">
        <f>Repayment!$AB$81/180</f>
        <v>111439.8075347611</v>
      </c>
      <c r="AF137" s="17">
        <f t="shared" si="8"/>
        <v>643983.25089534791</v>
      </c>
      <c r="AH137" s="21">
        <f>'Alloc. Factors and Property Tax'!$C$18</f>
        <v>0.9604166666666667</v>
      </c>
      <c r="AJ137" s="19">
        <f t="shared" si="12"/>
        <v>618492.24721407378</v>
      </c>
    </row>
    <row r="138" spans="2:36" x14ac:dyDescent="0.2">
      <c r="B138" s="23" t="s">
        <v>8</v>
      </c>
      <c r="D138" s="3">
        <v>2036</v>
      </c>
      <c r="F138" s="226">
        <f>'Depr and ADFIT'!$C$1</f>
        <v>57798518.958269402</v>
      </c>
      <c r="H138" s="14">
        <f>'Depr and ADFIT'!C136</f>
        <v>-41743520</v>
      </c>
      <c r="J138" s="227">
        <f>'Depr and ADFIT'!J136</f>
        <v>1863152</v>
      </c>
      <c r="L138" s="260">
        <f>'Depr and ADFIT'!$N$1</f>
        <v>20059165.356256999</v>
      </c>
      <c r="M138" s="261"/>
      <c r="N138" s="259">
        <f>'Depr and ADFIT'!N136</f>
        <v>-14487200</v>
      </c>
      <c r="O138" s="261"/>
      <c r="P138" s="262">
        <f>'Depr and ADFIT'!P136</f>
        <v>-1170113</v>
      </c>
      <c r="R138" s="198">
        <f t="shared" si="13"/>
        <v>22320003.314526401</v>
      </c>
      <c r="T138" s="20">
        <f>WACC!$S$16</f>
        <v>8.1600000000000006E-2</v>
      </c>
      <c r="V138" s="16">
        <f t="shared" si="11"/>
        <v>151776.02253877954</v>
      </c>
      <c r="X138" s="17">
        <f t="shared" si="10"/>
        <v>54166.666666666664</v>
      </c>
      <c r="Z138" s="17">
        <f>(ROUND(F138*'Depr and ADFIT'!$C$4/12,0))</f>
        <v>321104</v>
      </c>
      <c r="AB138" s="17">
        <f>F138*'Alloc. Factors and Property Tax'!$E$24*'Alloc. Factors and Property Tax'!$E$25*'Alloc. Factors and Property Tax'!$E$26/12</f>
        <v>2866.2285551405798</v>
      </c>
      <c r="AD138" s="267">
        <f>Repayment!$AB$81/180</f>
        <v>111439.8075347611</v>
      </c>
      <c r="AF138" s="17">
        <f t="shared" ref="AF138:AF188" si="14">SUM(V138:AD138)</f>
        <v>641352.72529534786</v>
      </c>
      <c r="AH138" s="21">
        <f>'Alloc. Factors and Property Tax'!$C$18</f>
        <v>0.9604166666666667</v>
      </c>
      <c r="AJ138" s="19">
        <f t="shared" si="12"/>
        <v>615965.84658574034</v>
      </c>
    </row>
    <row r="139" spans="2:36" x14ac:dyDescent="0.2">
      <c r="B139" s="23" t="s">
        <v>9</v>
      </c>
      <c r="D139" s="3">
        <v>2036</v>
      </c>
      <c r="F139" s="226">
        <f>'Depr and ADFIT'!$C$1</f>
        <v>57798518.958269402</v>
      </c>
      <c r="H139" s="14">
        <f>'Depr and ADFIT'!C137</f>
        <v>-42064624</v>
      </c>
      <c r="J139" s="227">
        <f>'Depr and ADFIT'!J137</f>
        <v>1885452</v>
      </c>
      <c r="L139" s="260">
        <f>'Depr and ADFIT'!$N$1</f>
        <v>20059165.356256999</v>
      </c>
      <c r="M139" s="261"/>
      <c r="N139" s="259">
        <f>'Depr and ADFIT'!N137</f>
        <v>-14598640</v>
      </c>
      <c r="O139" s="261"/>
      <c r="P139" s="262">
        <f>'Depr and ADFIT'!P137</f>
        <v>-1146710</v>
      </c>
      <c r="R139" s="198">
        <f t="shared" si="13"/>
        <v>21933162.314526401</v>
      </c>
      <c r="T139" s="20">
        <f>WACC!$S$16</f>
        <v>8.1600000000000006E-2</v>
      </c>
      <c r="V139" s="16">
        <f t="shared" si="11"/>
        <v>149145.50373877955</v>
      </c>
      <c r="X139" s="17">
        <f t="shared" si="10"/>
        <v>54166.666666666664</v>
      </c>
      <c r="Z139" s="17">
        <f>(ROUND(F139*'Depr and ADFIT'!$C$4/12,0))</f>
        <v>321104</v>
      </c>
      <c r="AB139" s="17">
        <f>F139*'Alloc. Factors and Property Tax'!$E$24*'Alloc. Factors and Property Tax'!$E$25*'Alloc. Factors and Property Tax'!$E$26/12</f>
        <v>2866.2285551405798</v>
      </c>
      <c r="AD139" s="267">
        <f>Repayment!$AB$81/180</f>
        <v>111439.8075347611</v>
      </c>
      <c r="AF139" s="17">
        <f t="shared" si="14"/>
        <v>638722.2064953479</v>
      </c>
      <c r="AH139" s="21">
        <f>'Alloc. Factors and Property Tax'!$C$18</f>
        <v>0.9604166666666667</v>
      </c>
      <c r="AJ139" s="19">
        <f t="shared" si="12"/>
        <v>613439.45248824044</v>
      </c>
    </row>
    <row r="140" spans="2:36" x14ac:dyDescent="0.2">
      <c r="B140" s="23" t="s">
        <v>10</v>
      </c>
      <c r="D140" s="3">
        <v>2036</v>
      </c>
      <c r="F140" s="226">
        <f>'Depr and ADFIT'!$C$1</f>
        <v>57798518.958269402</v>
      </c>
      <c r="H140" s="14">
        <f>'Depr and ADFIT'!C138</f>
        <v>-42385728</v>
      </c>
      <c r="J140" s="227">
        <f>'Depr and ADFIT'!J138</f>
        <v>1907752</v>
      </c>
      <c r="L140" s="260">
        <f>'Depr and ADFIT'!$N$1</f>
        <v>20059165.356256999</v>
      </c>
      <c r="M140" s="261"/>
      <c r="N140" s="259">
        <f>'Depr and ADFIT'!N138</f>
        <v>-14710080</v>
      </c>
      <c r="O140" s="261"/>
      <c r="P140" s="262">
        <f>'Depr and ADFIT'!P138</f>
        <v>-1123308</v>
      </c>
      <c r="R140" s="198">
        <f t="shared" si="13"/>
        <v>21546320.314526401</v>
      </c>
      <c r="T140" s="20">
        <f>WACC!$S$16</f>
        <v>8.1600000000000006E-2</v>
      </c>
      <c r="V140" s="16">
        <f t="shared" si="11"/>
        <v>146514.97813877955</v>
      </c>
      <c r="X140" s="17">
        <f t="shared" si="10"/>
        <v>54166.666666666664</v>
      </c>
      <c r="Z140" s="17">
        <f>(ROUND(F140*'Depr and ADFIT'!$C$4/12,0))</f>
        <v>321104</v>
      </c>
      <c r="AB140" s="17">
        <f>F140*'Alloc. Factors and Property Tax'!$E$24*'Alloc. Factors and Property Tax'!$E$25*'Alloc. Factors and Property Tax'!$E$26/12</f>
        <v>2866.2285551405798</v>
      </c>
      <c r="AD140" s="267">
        <f>Repayment!$AB$81/180</f>
        <v>111439.8075347611</v>
      </c>
      <c r="AF140" s="17">
        <f t="shared" si="14"/>
        <v>636091.68089534796</v>
      </c>
      <c r="AH140" s="21">
        <f>'Alloc. Factors and Property Tax'!$C$18</f>
        <v>0.9604166666666667</v>
      </c>
      <c r="AJ140" s="19">
        <f t="shared" si="12"/>
        <v>610913.05185990711</v>
      </c>
    </row>
    <row r="141" spans="2:36" x14ac:dyDescent="0.2">
      <c r="B141" s="23" t="s">
        <v>11</v>
      </c>
      <c r="D141" s="3">
        <v>2037</v>
      </c>
      <c r="F141" s="226">
        <f>'Depr and ADFIT'!$C$1</f>
        <v>57798518.958269402</v>
      </c>
      <c r="H141" s="14">
        <f>'Depr and ADFIT'!C139</f>
        <v>-42706832</v>
      </c>
      <c r="J141" s="227">
        <f>'Depr and ADFIT'!J139</f>
        <v>1930062</v>
      </c>
      <c r="L141" s="260">
        <f>'Depr and ADFIT'!$N$1</f>
        <v>20059165.356256999</v>
      </c>
      <c r="M141" s="261"/>
      <c r="N141" s="259">
        <f>'Depr and ADFIT'!N139</f>
        <v>-14821520</v>
      </c>
      <c r="O141" s="261"/>
      <c r="P141" s="262">
        <f>'Depr and ADFIT'!P139</f>
        <v>-1099906</v>
      </c>
      <c r="R141" s="198">
        <f t="shared" si="13"/>
        <v>21159488.314526401</v>
      </c>
      <c r="T141" s="20">
        <f>WACC!$S$16</f>
        <v>8.1600000000000006E-2</v>
      </c>
      <c r="V141" s="16">
        <f t="shared" si="11"/>
        <v>143884.52053877953</v>
      </c>
      <c r="X141" s="17">
        <f t="shared" si="10"/>
        <v>54166.666666666664</v>
      </c>
      <c r="Z141" s="17">
        <f>(ROUND(F141*'Depr and ADFIT'!$C$4/12,0))</f>
        <v>321104</v>
      </c>
      <c r="AB141" s="17">
        <f>F141*'Alloc. Factors and Property Tax'!$E$24*'Alloc. Factors and Property Tax'!$E$25*'Alloc. Factors and Property Tax'!$E$26/12</f>
        <v>2866.2285551405798</v>
      </c>
      <c r="AD141" s="267">
        <f>Repayment!$AB$81/180</f>
        <v>111439.8075347611</v>
      </c>
      <c r="AF141" s="17">
        <f t="shared" si="14"/>
        <v>633461.22329534788</v>
      </c>
      <c r="AH141" s="21">
        <f>'Alloc. Factors and Property Tax'!$C$18</f>
        <v>0.9604166666666667</v>
      </c>
      <c r="AJ141" s="19">
        <f t="shared" si="12"/>
        <v>608386.71653990704</v>
      </c>
    </row>
    <row r="142" spans="2:36" x14ac:dyDescent="0.2">
      <c r="B142" s="23" t="s">
        <v>12</v>
      </c>
      <c r="D142" s="3">
        <v>2037</v>
      </c>
      <c r="F142" s="226">
        <f>'Depr and ADFIT'!$C$1</f>
        <v>57798518.958269402</v>
      </c>
      <c r="H142" s="14">
        <f>'Depr and ADFIT'!C140</f>
        <v>-43027936</v>
      </c>
      <c r="J142" s="227">
        <f>'Depr and ADFIT'!J140</f>
        <v>1952372</v>
      </c>
      <c r="L142" s="260">
        <f>'Depr and ADFIT'!$N$1</f>
        <v>20059165.356256999</v>
      </c>
      <c r="M142" s="261"/>
      <c r="N142" s="259">
        <f>'Depr and ADFIT'!N140</f>
        <v>-14932960</v>
      </c>
      <c r="O142" s="261"/>
      <c r="P142" s="262">
        <f>'Depr and ADFIT'!P140</f>
        <v>-1076503</v>
      </c>
      <c r="R142" s="198">
        <f t="shared" si="13"/>
        <v>20772657.314526401</v>
      </c>
      <c r="T142" s="20">
        <f>WACC!$S$16</f>
        <v>8.1600000000000006E-2</v>
      </c>
      <c r="V142" s="16">
        <f t="shared" si="11"/>
        <v>141254.06973877954</v>
      </c>
      <c r="X142" s="17">
        <f t="shared" si="10"/>
        <v>54166.666666666664</v>
      </c>
      <c r="Z142" s="17">
        <f>(ROUND(F142*'Depr and ADFIT'!$C$4/12,0))</f>
        <v>321104</v>
      </c>
      <c r="AB142" s="17">
        <f>F142*'Alloc. Factors and Property Tax'!$E$24*'Alloc. Factors and Property Tax'!$E$25*'Alloc. Factors and Property Tax'!$E$26/12</f>
        <v>2866.2285551405798</v>
      </c>
      <c r="AD142" s="267">
        <f>Repayment!$AB$81/180</f>
        <v>111439.8075347611</v>
      </c>
      <c r="AF142" s="17">
        <f t="shared" si="14"/>
        <v>630830.77249534789</v>
      </c>
      <c r="AH142" s="21">
        <f>'Alloc. Factors and Property Tax'!$C$18</f>
        <v>0.9604166666666667</v>
      </c>
      <c r="AJ142" s="19">
        <f t="shared" si="12"/>
        <v>605860.3877507404</v>
      </c>
    </row>
    <row r="143" spans="2:36" x14ac:dyDescent="0.2">
      <c r="B143" s="23" t="s">
        <v>13</v>
      </c>
      <c r="D143" s="3">
        <v>2037</v>
      </c>
      <c r="F143" s="226">
        <f>'Depr and ADFIT'!$C$1</f>
        <v>57798518.958269402</v>
      </c>
      <c r="H143" s="14">
        <f>'Depr and ADFIT'!C141</f>
        <v>-43349040</v>
      </c>
      <c r="J143" s="227">
        <f>'Depr and ADFIT'!J141</f>
        <v>1974682</v>
      </c>
      <c r="L143" s="260">
        <f>'Depr and ADFIT'!$N$1</f>
        <v>20059165.356256999</v>
      </c>
      <c r="M143" s="261"/>
      <c r="N143" s="259">
        <f>'Depr and ADFIT'!N141</f>
        <v>-15044400</v>
      </c>
      <c r="O143" s="261"/>
      <c r="P143" s="262">
        <f>'Depr and ADFIT'!P141</f>
        <v>-1053101</v>
      </c>
      <c r="R143" s="198">
        <f t="shared" si="13"/>
        <v>20385825.314526401</v>
      </c>
      <c r="T143" s="20">
        <f>WACC!$S$16</f>
        <v>8.1600000000000006E-2</v>
      </c>
      <c r="V143" s="16">
        <f t="shared" si="11"/>
        <v>138623.61213877954</v>
      </c>
      <c r="X143" s="17">
        <f t="shared" si="10"/>
        <v>54166.666666666664</v>
      </c>
      <c r="Z143" s="17">
        <f>(ROUND(F143*'Depr and ADFIT'!$C$4/12,0))</f>
        <v>321104</v>
      </c>
      <c r="AB143" s="17">
        <f>F143*'Alloc. Factors and Property Tax'!$E$24*'Alloc. Factors and Property Tax'!$E$25*'Alloc. Factors and Property Tax'!$E$26/12</f>
        <v>2866.2285551405798</v>
      </c>
      <c r="AD143" s="267">
        <f>Repayment!$AB$81/180</f>
        <v>111439.8075347611</v>
      </c>
      <c r="AF143" s="17">
        <f t="shared" si="14"/>
        <v>628200.31489534792</v>
      </c>
      <c r="AH143" s="21">
        <f>'Alloc. Factors and Property Tax'!$C$18</f>
        <v>0.9604166666666667</v>
      </c>
      <c r="AJ143" s="19">
        <f t="shared" si="12"/>
        <v>603334.05243074044</v>
      </c>
    </row>
    <row r="144" spans="2:36" x14ac:dyDescent="0.2">
      <c r="B144" s="23" t="s">
        <v>14</v>
      </c>
      <c r="D144" s="3">
        <v>2037</v>
      </c>
      <c r="F144" s="226">
        <f>'Depr and ADFIT'!$C$1</f>
        <v>57798518.958269402</v>
      </c>
      <c r="H144" s="14">
        <f>'Depr and ADFIT'!C142</f>
        <v>-43670144</v>
      </c>
      <c r="J144" s="227">
        <f>'Depr and ADFIT'!J142</f>
        <v>1996992</v>
      </c>
      <c r="L144" s="260">
        <f>'Depr and ADFIT'!$N$1</f>
        <v>20059165.356256999</v>
      </c>
      <c r="M144" s="261"/>
      <c r="N144" s="259">
        <f>'Depr and ADFIT'!N142</f>
        <v>-15155840</v>
      </c>
      <c r="O144" s="261"/>
      <c r="P144" s="262">
        <f>'Depr and ADFIT'!P142</f>
        <v>-1029698</v>
      </c>
      <c r="R144" s="198">
        <f t="shared" si="13"/>
        <v>19998994.314526401</v>
      </c>
      <c r="T144" s="20">
        <f>WACC!$S$16</f>
        <v>8.1600000000000006E-2</v>
      </c>
      <c r="V144" s="16">
        <f t="shared" si="11"/>
        <v>135993.16133877952</v>
      </c>
      <c r="X144" s="17">
        <f t="shared" si="10"/>
        <v>54166.666666666664</v>
      </c>
      <c r="Z144" s="17">
        <f>(ROUND(F144*'Depr and ADFIT'!$C$4/12,0))</f>
        <v>321104</v>
      </c>
      <c r="AB144" s="17">
        <f>F144*'Alloc. Factors and Property Tax'!$E$24*'Alloc. Factors and Property Tax'!$E$25*'Alloc. Factors and Property Tax'!$E$26/12</f>
        <v>2866.2285551405798</v>
      </c>
      <c r="AD144" s="267">
        <f>Repayment!$AB$81/180</f>
        <v>111439.8075347611</v>
      </c>
      <c r="AF144" s="17">
        <f t="shared" si="14"/>
        <v>625569.86409534782</v>
      </c>
      <c r="AH144" s="21">
        <f>'Alloc. Factors and Property Tax'!$C$18</f>
        <v>0.9604166666666667</v>
      </c>
      <c r="AJ144" s="19">
        <f t="shared" si="12"/>
        <v>600807.72364157368</v>
      </c>
    </row>
    <row r="145" spans="2:36" x14ac:dyDescent="0.2">
      <c r="B145" s="23" t="s">
        <v>15</v>
      </c>
      <c r="D145" s="3">
        <v>2037</v>
      </c>
      <c r="F145" s="226">
        <f>'Depr and ADFIT'!$C$1</f>
        <v>57798518.958269402</v>
      </c>
      <c r="H145" s="14">
        <f>'Depr and ADFIT'!C143</f>
        <v>-43991248</v>
      </c>
      <c r="J145" s="227">
        <f>'Depr and ADFIT'!J143</f>
        <v>2019302</v>
      </c>
      <c r="L145" s="260">
        <f>'Depr and ADFIT'!$N$1</f>
        <v>20059165.356256999</v>
      </c>
      <c r="M145" s="261"/>
      <c r="N145" s="259">
        <f>'Depr and ADFIT'!N143</f>
        <v>-15267280</v>
      </c>
      <c r="O145" s="261"/>
      <c r="P145" s="262">
        <f>'Depr and ADFIT'!P143</f>
        <v>-1006296</v>
      </c>
      <c r="R145" s="198">
        <f t="shared" si="13"/>
        <v>19612162.314526401</v>
      </c>
      <c r="T145" s="20">
        <f>WACC!$S$16</f>
        <v>8.1600000000000006E-2</v>
      </c>
      <c r="V145" s="16">
        <f t="shared" si="11"/>
        <v>133362.70373877956</v>
      </c>
      <c r="X145" s="17">
        <f t="shared" si="10"/>
        <v>54166.666666666664</v>
      </c>
      <c r="Z145" s="17">
        <f>(ROUND(F145*'Depr and ADFIT'!$C$4/12,0))</f>
        <v>321104</v>
      </c>
      <c r="AB145" s="17">
        <f>F145*'Alloc. Factors and Property Tax'!$E$24*'Alloc. Factors and Property Tax'!$E$25*'Alloc. Factors and Property Tax'!$E$26/12</f>
        <v>2866.2285551405798</v>
      </c>
      <c r="AD145" s="267">
        <f>Repayment!$AB$81/180</f>
        <v>111439.8075347611</v>
      </c>
      <c r="AF145" s="17">
        <f t="shared" si="14"/>
        <v>622939.40649534785</v>
      </c>
      <c r="AH145" s="21">
        <f>'Alloc. Factors and Property Tax'!$C$18</f>
        <v>0.9604166666666667</v>
      </c>
      <c r="AJ145" s="19">
        <f t="shared" si="12"/>
        <v>598281.38832157373</v>
      </c>
    </row>
    <row r="146" spans="2:36" x14ac:dyDescent="0.2">
      <c r="B146" s="23" t="s">
        <v>16</v>
      </c>
      <c r="D146" s="3">
        <v>2037</v>
      </c>
      <c r="F146" s="226">
        <f>'Depr and ADFIT'!$C$1</f>
        <v>57798518.958269402</v>
      </c>
      <c r="H146" s="14">
        <f>'Depr and ADFIT'!C144</f>
        <v>-44312352</v>
      </c>
      <c r="J146" s="227">
        <f>'Depr and ADFIT'!J144</f>
        <v>2041612</v>
      </c>
      <c r="L146" s="260">
        <f>'Depr and ADFIT'!$N$1</f>
        <v>20059165.356256999</v>
      </c>
      <c r="M146" s="261"/>
      <c r="N146" s="259">
        <f>'Depr and ADFIT'!N144</f>
        <v>-15378720</v>
      </c>
      <c r="O146" s="261"/>
      <c r="P146" s="262">
        <f>'Depr and ADFIT'!P144</f>
        <v>-982894</v>
      </c>
      <c r="R146" s="198">
        <f t="shared" si="13"/>
        <v>19225330.314526401</v>
      </c>
      <c r="T146" s="20">
        <f>WACC!$S$16</f>
        <v>8.1600000000000006E-2</v>
      </c>
      <c r="V146" s="16">
        <f t="shared" si="11"/>
        <v>130732.24613877955</v>
      </c>
      <c r="X146" s="17">
        <f t="shared" si="10"/>
        <v>54166.666666666664</v>
      </c>
      <c r="Z146" s="17">
        <f>(ROUND(F146*'Depr and ADFIT'!$C$4/12,0))</f>
        <v>321104</v>
      </c>
      <c r="AB146" s="17">
        <f>F146*'Alloc. Factors and Property Tax'!$E$24*'Alloc. Factors and Property Tax'!$E$25*'Alloc. Factors and Property Tax'!$E$26/12</f>
        <v>2866.2285551405798</v>
      </c>
      <c r="AD146" s="267">
        <f>Repayment!$AB$81/180</f>
        <v>111439.8075347611</v>
      </c>
      <c r="AF146" s="17">
        <f t="shared" si="14"/>
        <v>620308.94889534789</v>
      </c>
      <c r="AH146" s="21">
        <f>'Alloc. Factors and Property Tax'!$C$18</f>
        <v>0.9604166666666667</v>
      </c>
      <c r="AJ146" s="19">
        <f t="shared" si="12"/>
        <v>595755.05300157377</v>
      </c>
    </row>
    <row r="147" spans="2:36" x14ac:dyDescent="0.2">
      <c r="B147" s="23" t="s">
        <v>17</v>
      </c>
      <c r="D147" s="3">
        <v>2037</v>
      </c>
      <c r="F147" s="226">
        <f>'Depr and ADFIT'!$C$1</f>
        <v>57798518.958269402</v>
      </c>
      <c r="H147" s="14">
        <f>'Depr and ADFIT'!C145</f>
        <v>-44633456</v>
      </c>
      <c r="J147" s="227">
        <f>'Depr and ADFIT'!J145</f>
        <v>2063922</v>
      </c>
      <c r="L147" s="260">
        <f>'Depr and ADFIT'!$N$1</f>
        <v>20059165.356256999</v>
      </c>
      <c r="M147" s="261"/>
      <c r="N147" s="259">
        <f>'Depr and ADFIT'!N145</f>
        <v>-15490160</v>
      </c>
      <c r="O147" s="261"/>
      <c r="P147" s="262">
        <f>'Depr and ADFIT'!P145</f>
        <v>-959491</v>
      </c>
      <c r="R147" s="198">
        <f t="shared" si="13"/>
        <v>18838499.314526401</v>
      </c>
      <c r="T147" s="20">
        <f>WACC!$S$16</f>
        <v>8.1600000000000006E-2</v>
      </c>
      <c r="V147" s="16">
        <f t="shared" si="11"/>
        <v>128101.79533877953</v>
      </c>
      <c r="X147" s="17">
        <f t="shared" si="10"/>
        <v>54166.666666666664</v>
      </c>
      <c r="Z147" s="17">
        <f>(ROUND(F147*'Depr and ADFIT'!$C$4/12,0))</f>
        <v>321104</v>
      </c>
      <c r="AB147" s="17">
        <f>F147*'Alloc. Factors and Property Tax'!$E$24*'Alloc. Factors and Property Tax'!$E$25*'Alloc. Factors and Property Tax'!$E$26/12</f>
        <v>2866.2285551405798</v>
      </c>
      <c r="AD147" s="267">
        <f>Repayment!$AB$81/180</f>
        <v>111439.8075347611</v>
      </c>
      <c r="AF147" s="17">
        <f t="shared" si="14"/>
        <v>617678.4980953479</v>
      </c>
      <c r="AH147" s="21">
        <f>'Alloc. Factors and Property Tax'!$C$18</f>
        <v>0.9604166666666667</v>
      </c>
      <c r="AJ147" s="19">
        <f t="shared" si="12"/>
        <v>593228.72421240702</v>
      </c>
    </row>
    <row r="148" spans="2:36" x14ac:dyDescent="0.2">
      <c r="B148" s="23" t="s">
        <v>18</v>
      </c>
      <c r="D148" s="3">
        <v>2037</v>
      </c>
      <c r="F148" s="226">
        <f>'Depr and ADFIT'!$C$1</f>
        <v>57798518.958269402</v>
      </c>
      <c r="H148" s="14">
        <f>'Depr and ADFIT'!C146</f>
        <v>-44954560</v>
      </c>
      <c r="J148" s="227">
        <f>'Depr and ADFIT'!J146</f>
        <v>2086232</v>
      </c>
      <c r="L148" s="260">
        <f>'Depr and ADFIT'!$N$1</f>
        <v>20059165.356256999</v>
      </c>
      <c r="M148" s="261"/>
      <c r="N148" s="259">
        <f>'Depr and ADFIT'!N146</f>
        <v>-15601600</v>
      </c>
      <c r="O148" s="261"/>
      <c r="P148" s="262">
        <f>'Depr and ADFIT'!P146</f>
        <v>-936089</v>
      </c>
      <c r="R148" s="198">
        <f t="shared" si="13"/>
        <v>18451667.314526401</v>
      </c>
      <c r="T148" s="20">
        <f>WACC!$S$16</f>
        <v>8.1600000000000006E-2</v>
      </c>
      <c r="V148" s="16">
        <f t="shared" si="11"/>
        <v>125471.33773877955</v>
      </c>
      <c r="X148" s="17">
        <f t="shared" si="10"/>
        <v>54166.666666666664</v>
      </c>
      <c r="Z148" s="17">
        <f>(ROUND(F148*'Depr and ADFIT'!$C$4/12,0))</f>
        <v>321104</v>
      </c>
      <c r="AB148" s="17">
        <f>F148*'Alloc. Factors and Property Tax'!$E$24*'Alloc. Factors and Property Tax'!$E$25*'Alloc. Factors and Property Tax'!$E$26/12</f>
        <v>2866.2285551405798</v>
      </c>
      <c r="AD148" s="267">
        <f>Repayment!$AB$81/180</f>
        <v>111439.8075347611</v>
      </c>
      <c r="AF148" s="17">
        <f t="shared" si="14"/>
        <v>615048.04049534793</v>
      </c>
      <c r="AH148" s="21">
        <f>'Alloc. Factors and Property Tax'!$C$18</f>
        <v>0.9604166666666667</v>
      </c>
      <c r="AJ148" s="19">
        <f t="shared" si="12"/>
        <v>590702.38889240706</v>
      </c>
    </row>
    <row r="149" spans="2:36" x14ac:dyDescent="0.2">
      <c r="B149" s="23" t="s">
        <v>19</v>
      </c>
      <c r="D149" s="3">
        <v>2037</v>
      </c>
      <c r="F149" s="226">
        <f>'Depr and ADFIT'!$C$1</f>
        <v>57798518.958269402</v>
      </c>
      <c r="H149" s="14">
        <f>'Depr and ADFIT'!C147</f>
        <v>-45275664</v>
      </c>
      <c r="J149" s="227">
        <f>'Depr and ADFIT'!J147</f>
        <v>2108542</v>
      </c>
      <c r="L149" s="260">
        <f>'Depr and ADFIT'!$N$1</f>
        <v>20059165.356256999</v>
      </c>
      <c r="M149" s="261"/>
      <c r="N149" s="259">
        <f>'Depr and ADFIT'!N147</f>
        <v>-15713040</v>
      </c>
      <c r="O149" s="261"/>
      <c r="P149" s="262">
        <f>'Depr and ADFIT'!P147</f>
        <v>-912686</v>
      </c>
      <c r="R149" s="198">
        <f t="shared" si="13"/>
        <v>18064836.314526401</v>
      </c>
      <c r="T149" s="20">
        <f>WACC!$S$16</f>
        <v>8.1600000000000006E-2</v>
      </c>
      <c r="V149" s="16">
        <f t="shared" si="11"/>
        <v>122840.88693877954</v>
      </c>
      <c r="X149" s="17">
        <f t="shared" si="10"/>
        <v>54166.666666666664</v>
      </c>
      <c r="Z149" s="17">
        <f>(ROUND(F149*'Depr and ADFIT'!$C$4/12,0))</f>
        <v>321104</v>
      </c>
      <c r="AB149" s="17">
        <f>F149*'Alloc. Factors and Property Tax'!$E$24*'Alloc. Factors and Property Tax'!$E$25*'Alloc. Factors and Property Tax'!$E$26/12</f>
        <v>2866.2285551405798</v>
      </c>
      <c r="AD149" s="267">
        <f>Repayment!$AB$81/180</f>
        <v>111439.8075347611</v>
      </c>
      <c r="AF149" s="17">
        <f t="shared" si="14"/>
        <v>612417.58969534794</v>
      </c>
      <c r="AH149" s="21">
        <f>'Alloc. Factors and Property Tax'!$C$18</f>
        <v>0.9604166666666667</v>
      </c>
      <c r="AJ149" s="19">
        <f t="shared" si="12"/>
        <v>588176.06010324042</v>
      </c>
    </row>
    <row r="150" spans="2:36" x14ac:dyDescent="0.2">
      <c r="B150" s="23" t="s">
        <v>8</v>
      </c>
      <c r="D150" s="3">
        <v>2037</v>
      </c>
      <c r="F150" s="226">
        <f>'Depr and ADFIT'!$C$1</f>
        <v>57798518.958269402</v>
      </c>
      <c r="H150" s="14">
        <f>'Depr and ADFIT'!C148</f>
        <v>-45596768</v>
      </c>
      <c r="J150" s="227">
        <f>'Depr and ADFIT'!J148</f>
        <v>2130852</v>
      </c>
      <c r="L150" s="260">
        <f>'Depr and ADFIT'!$N$1</f>
        <v>20059165.356256999</v>
      </c>
      <c r="M150" s="261"/>
      <c r="N150" s="259">
        <f>'Depr and ADFIT'!N148</f>
        <v>-15824480</v>
      </c>
      <c r="O150" s="261"/>
      <c r="P150" s="262">
        <f>'Depr and ADFIT'!P148</f>
        <v>-889284</v>
      </c>
      <c r="R150" s="198">
        <f t="shared" si="13"/>
        <v>17678004.314526401</v>
      </c>
      <c r="T150" s="20">
        <f>WACC!$S$16</f>
        <v>8.1600000000000006E-2</v>
      </c>
      <c r="V150" s="16">
        <f t="shared" si="11"/>
        <v>120210.42933877953</v>
      </c>
      <c r="X150" s="17">
        <f t="shared" si="10"/>
        <v>54166.666666666664</v>
      </c>
      <c r="Z150" s="17">
        <f>(ROUND(F150*'Depr and ADFIT'!$C$4/12,0))</f>
        <v>321104</v>
      </c>
      <c r="AB150" s="17">
        <f>F150*'Alloc. Factors and Property Tax'!$E$24*'Alloc. Factors and Property Tax'!$E$25*'Alloc. Factors and Property Tax'!$E$26/12</f>
        <v>2866.2285551405798</v>
      </c>
      <c r="AD150" s="267">
        <f>Repayment!$AB$81/180</f>
        <v>111439.8075347611</v>
      </c>
      <c r="AF150" s="17">
        <f t="shared" si="14"/>
        <v>609787.13209534786</v>
      </c>
      <c r="AH150" s="21">
        <f>'Alloc. Factors and Property Tax'!$C$18</f>
        <v>0.9604166666666667</v>
      </c>
      <c r="AJ150" s="19">
        <f t="shared" si="12"/>
        <v>585649.72478324035</v>
      </c>
    </row>
    <row r="151" spans="2:36" x14ac:dyDescent="0.2">
      <c r="B151" s="23" t="s">
        <v>9</v>
      </c>
      <c r="D151" s="3">
        <v>2037</v>
      </c>
      <c r="F151" s="226">
        <f>'Depr and ADFIT'!$C$1</f>
        <v>57798518.958269402</v>
      </c>
      <c r="H151" s="14">
        <f>'Depr and ADFIT'!C149</f>
        <v>-45917872</v>
      </c>
      <c r="J151" s="227">
        <f>'Depr and ADFIT'!J149</f>
        <v>2153162</v>
      </c>
      <c r="L151" s="260">
        <f>'Depr and ADFIT'!$N$1</f>
        <v>20059165.356256999</v>
      </c>
      <c r="M151" s="261"/>
      <c r="N151" s="259">
        <f>'Depr and ADFIT'!N149</f>
        <v>-15935920</v>
      </c>
      <c r="O151" s="261"/>
      <c r="P151" s="262">
        <f>'Depr and ADFIT'!P149</f>
        <v>-865882</v>
      </c>
      <c r="R151" s="198">
        <f t="shared" si="13"/>
        <v>17291172.314526401</v>
      </c>
      <c r="T151" s="20">
        <f>WACC!$S$16</f>
        <v>8.1600000000000006E-2</v>
      </c>
      <c r="V151" s="16">
        <f t="shared" si="11"/>
        <v>117579.97173877952</v>
      </c>
      <c r="X151" s="17">
        <f t="shared" si="10"/>
        <v>54166.666666666664</v>
      </c>
      <c r="Z151" s="17">
        <f>(ROUND(F151*'Depr and ADFIT'!$C$4/12,0))</f>
        <v>321104</v>
      </c>
      <c r="AB151" s="17">
        <f>F151*'Alloc. Factors and Property Tax'!$E$24*'Alloc. Factors and Property Tax'!$E$25*'Alloc. Factors and Property Tax'!$E$26/12</f>
        <v>2866.2285551405798</v>
      </c>
      <c r="AD151" s="267">
        <f>Repayment!$AB$81/180</f>
        <v>111439.8075347611</v>
      </c>
      <c r="AF151" s="17">
        <f t="shared" si="14"/>
        <v>607156.67449534789</v>
      </c>
      <c r="AH151" s="21">
        <f>'Alloc. Factors and Property Tax'!$C$18</f>
        <v>0.9604166666666667</v>
      </c>
      <c r="AJ151" s="19">
        <f t="shared" si="12"/>
        <v>583123.3894632404</v>
      </c>
    </row>
    <row r="152" spans="2:36" x14ac:dyDescent="0.2">
      <c r="B152" s="23" t="s">
        <v>10</v>
      </c>
      <c r="D152" s="3">
        <v>2037</v>
      </c>
      <c r="F152" s="226">
        <f>'Depr and ADFIT'!$C$1</f>
        <v>57798518.958269402</v>
      </c>
      <c r="H152" s="14">
        <f>'Depr and ADFIT'!C150</f>
        <v>-46238976</v>
      </c>
      <c r="J152" s="227">
        <f>'Depr and ADFIT'!J150</f>
        <v>2175472</v>
      </c>
      <c r="L152" s="260">
        <f>'Depr and ADFIT'!$N$1</f>
        <v>20059165.356256999</v>
      </c>
      <c r="M152" s="261"/>
      <c r="N152" s="259">
        <f>'Depr and ADFIT'!N150</f>
        <v>-16047360</v>
      </c>
      <c r="O152" s="261"/>
      <c r="P152" s="262">
        <f>'Depr and ADFIT'!P150</f>
        <v>-842479</v>
      </c>
      <c r="R152" s="198">
        <f t="shared" si="13"/>
        <v>16904341.314526401</v>
      </c>
      <c r="T152" s="20">
        <f>WACC!$S$16</f>
        <v>8.1600000000000006E-2</v>
      </c>
      <c r="V152" s="16">
        <f t="shared" si="11"/>
        <v>114949.52093877953</v>
      </c>
      <c r="X152" s="17">
        <f t="shared" si="10"/>
        <v>54166.666666666664</v>
      </c>
      <c r="Z152" s="17">
        <f>(ROUND(F152*'Depr and ADFIT'!$C$4/12,0))</f>
        <v>321104</v>
      </c>
      <c r="AB152" s="17">
        <f>F152*'Alloc. Factors and Property Tax'!$E$24*'Alloc. Factors and Property Tax'!$E$25*'Alloc. Factors and Property Tax'!$E$26/12</f>
        <v>2866.2285551405798</v>
      </c>
      <c r="AD152" s="267">
        <f>Repayment!$AB$81/180</f>
        <v>111439.8075347611</v>
      </c>
      <c r="AF152" s="17">
        <f t="shared" si="14"/>
        <v>604526.2236953479</v>
      </c>
      <c r="AH152" s="21">
        <f>'Alloc. Factors and Property Tax'!$C$18</f>
        <v>0.9604166666666667</v>
      </c>
      <c r="AJ152" s="19">
        <f t="shared" si="12"/>
        <v>580597.06067407376</v>
      </c>
    </row>
    <row r="153" spans="2:36" x14ac:dyDescent="0.2">
      <c r="B153" s="23" t="s">
        <v>11</v>
      </c>
      <c r="D153" s="3">
        <v>2038</v>
      </c>
      <c r="F153" s="226">
        <f>'Depr and ADFIT'!$C$1</f>
        <v>57798518.958269402</v>
      </c>
      <c r="H153" s="14">
        <f>'Depr and ADFIT'!C151</f>
        <v>-46560080</v>
      </c>
      <c r="J153" s="227">
        <f>'Depr and ADFIT'!J151</f>
        <v>2197772</v>
      </c>
      <c r="L153" s="260">
        <f>'Depr and ADFIT'!$N$1</f>
        <v>20059165.356256999</v>
      </c>
      <c r="M153" s="261"/>
      <c r="N153" s="259">
        <f>'Depr and ADFIT'!N151</f>
        <v>-16158800</v>
      </c>
      <c r="O153" s="261"/>
      <c r="P153" s="262">
        <f>'Depr and ADFIT'!P151</f>
        <v>-819077</v>
      </c>
      <c r="R153" s="198">
        <f t="shared" si="13"/>
        <v>16517499.314526401</v>
      </c>
      <c r="T153" s="20">
        <f>WACC!$S$16</f>
        <v>8.1600000000000006E-2</v>
      </c>
      <c r="V153" s="16">
        <f t="shared" si="11"/>
        <v>112318.99533877954</v>
      </c>
      <c r="X153" s="17">
        <f t="shared" si="10"/>
        <v>54166.666666666664</v>
      </c>
      <c r="Z153" s="17">
        <f>(ROUND(F153*'Depr and ADFIT'!$C$4/12,0))</f>
        <v>321104</v>
      </c>
      <c r="AB153" s="17">
        <f>F153*'Alloc. Factors and Property Tax'!$E$24*'Alloc. Factors and Property Tax'!$E$25*'Alloc. Factors and Property Tax'!$E$26/12</f>
        <v>2866.2285551405798</v>
      </c>
      <c r="AD153" s="267">
        <f>Repayment!$AB$81/180</f>
        <v>111439.8075347611</v>
      </c>
      <c r="AF153" s="17">
        <f t="shared" si="14"/>
        <v>601895.69809534785</v>
      </c>
      <c r="AH153" s="21">
        <f>'Alloc. Factors and Property Tax'!$C$18</f>
        <v>0.9604166666666667</v>
      </c>
      <c r="AJ153" s="19">
        <f t="shared" si="12"/>
        <v>578070.66004574031</v>
      </c>
    </row>
    <row r="154" spans="2:36" x14ac:dyDescent="0.2">
      <c r="B154" s="23" t="s">
        <v>12</v>
      </c>
      <c r="D154" s="3">
        <v>2038</v>
      </c>
      <c r="F154" s="226">
        <f>'Depr and ADFIT'!$C$1</f>
        <v>57798518.958269402</v>
      </c>
      <c r="H154" s="14">
        <f>'Depr and ADFIT'!C152</f>
        <v>-46881184</v>
      </c>
      <c r="J154" s="227">
        <f>'Depr and ADFIT'!J152</f>
        <v>2220072</v>
      </c>
      <c r="L154" s="260">
        <f>'Depr and ADFIT'!$N$1</f>
        <v>20059165.356256999</v>
      </c>
      <c r="M154" s="261"/>
      <c r="N154" s="259">
        <f>'Depr and ADFIT'!N152</f>
        <v>-16270240</v>
      </c>
      <c r="O154" s="261"/>
      <c r="P154" s="262">
        <f>'Depr and ADFIT'!P152</f>
        <v>-795674</v>
      </c>
      <c r="R154" s="198">
        <f t="shared" si="13"/>
        <v>16130658.314526401</v>
      </c>
      <c r="T154" s="20">
        <f>WACC!$S$16</f>
        <v>8.1600000000000006E-2</v>
      </c>
      <c r="V154" s="16">
        <f t="shared" si="11"/>
        <v>109688.47653877955</v>
      </c>
      <c r="X154" s="17">
        <f t="shared" si="10"/>
        <v>54166.666666666664</v>
      </c>
      <c r="Z154" s="17">
        <f>(ROUND(F154*'Depr and ADFIT'!$C$4/12,0))</f>
        <v>321104</v>
      </c>
      <c r="AB154" s="17">
        <f>F154*'Alloc. Factors and Property Tax'!$E$24*'Alloc. Factors and Property Tax'!$E$25*'Alloc. Factors and Property Tax'!$E$26/12</f>
        <v>2866.2285551405798</v>
      </c>
      <c r="AD154" s="267">
        <f>Repayment!$AB$81/180</f>
        <v>111439.8075347611</v>
      </c>
      <c r="AF154" s="17">
        <f t="shared" si="14"/>
        <v>599265.17929534789</v>
      </c>
      <c r="AH154" s="21">
        <f>'Alloc. Factors and Property Tax'!$C$18</f>
        <v>0.9604166666666667</v>
      </c>
      <c r="AJ154" s="19">
        <f t="shared" si="12"/>
        <v>575544.26594824041</v>
      </c>
    </row>
    <row r="155" spans="2:36" x14ac:dyDescent="0.2">
      <c r="B155" s="23" t="s">
        <v>13</v>
      </c>
      <c r="D155" s="3">
        <v>2038</v>
      </c>
      <c r="F155" s="226">
        <f>'Depr and ADFIT'!$C$1</f>
        <v>57798518.958269402</v>
      </c>
      <c r="H155" s="14">
        <f>'Depr and ADFIT'!C153</f>
        <v>-47202288</v>
      </c>
      <c r="J155" s="227">
        <f>'Depr and ADFIT'!J153</f>
        <v>2242371</v>
      </c>
      <c r="L155" s="260">
        <f>'Depr and ADFIT'!$N$1</f>
        <v>20059165.356256999</v>
      </c>
      <c r="M155" s="261"/>
      <c r="N155" s="259">
        <f>'Depr and ADFIT'!N153</f>
        <v>-16381680</v>
      </c>
      <c r="O155" s="261"/>
      <c r="P155" s="262">
        <f>'Depr and ADFIT'!P153</f>
        <v>-772272</v>
      </c>
      <c r="R155" s="198">
        <f t="shared" si="13"/>
        <v>15743815.314526401</v>
      </c>
      <c r="T155" s="20">
        <f>WACC!$S$16</f>
        <v>8.1600000000000006E-2</v>
      </c>
      <c r="V155" s="16">
        <f t="shared" si="11"/>
        <v>107057.94413877954</v>
      </c>
      <c r="X155" s="17">
        <f t="shared" si="10"/>
        <v>54166.666666666664</v>
      </c>
      <c r="Z155" s="17">
        <f>(ROUND(F155*'Depr and ADFIT'!$C$4/12,0))</f>
        <v>321104</v>
      </c>
      <c r="AB155" s="17">
        <f>F155*'Alloc. Factors and Property Tax'!$E$24*'Alloc. Factors and Property Tax'!$E$25*'Alloc. Factors and Property Tax'!$E$26/12</f>
        <v>2866.2285551405798</v>
      </c>
      <c r="AD155" s="267">
        <f>Repayment!$AB$81/180</f>
        <v>111439.8075347611</v>
      </c>
      <c r="AF155" s="17">
        <f t="shared" si="14"/>
        <v>596634.64689534786</v>
      </c>
      <c r="AH155" s="21">
        <f>'Alloc. Factors and Property Tax'!$C$18</f>
        <v>0.9604166666666667</v>
      </c>
      <c r="AJ155" s="19">
        <f t="shared" si="12"/>
        <v>573017.85878907365</v>
      </c>
    </row>
    <row r="156" spans="2:36" x14ac:dyDescent="0.2">
      <c r="B156" s="23" t="s">
        <v>14</v>
      </c>
      <c r="D156" s="3">
        <v>2038</v>
      </c>
      <c r="F156" s="226">
        <f>'Depr and ADFIT'!$C$1</f>
        <v>57798518.958269402</v>
      </c>
      <c r="H156" s="14">
        <f>'Depr and ADFIT'!C154</f>
        <v>-47523392</v>
      </c>
      <c r="J156" s="227">
        <f>'Depr and ADFIT'!J154</f>
        <v>2264671</v>
      </c>
      <c r="L156" s="260">
        <f>'Depr and ADFIT'!$N$1</f>
        <v>20059165.356256999</v>
      </c>
      <c r="M156" s="261"/>
      <c r="N156" s="259">
        <f>'Depr and ADFIT'!N154</f>
        <v>-16493120</v>
      </c>
      <c r="O156" s="261"/>
      <c r="P156" s="262">
        <f>'Depr and ADFIT'!P154</f>
        <v>-748870</v>
      </c>
      <c r="R156" s="198">
        <f t="shared" si="13"/>
        <v>15356973.314526401</v>
      </c>
      <c r="T156" s="20">
        <f>WACC!$S$16</f>
        <v>8.1600000000000006E-2</v>
      </c>
      <c r="V156" s="16">
        <f t="shared" si="11"/>
        <v>104427.41853877954</v>
      </c>
      <c r="X156" s="17">
        <f t="shared" si="10"/>
        <v>54166.666666666664</v>
      </c>
      <c r="Z156" s="17">
        <f>(ROUND(F156*'Depr and ADFIT'!$C$4/12,0))</f>
        <v>321104</v>
      </c>
      <c r="AB156" s="17">
        <f>F156*'Alloc. Factors and Property Tax'!$E$24*'Alloc. Factors and Property Tax'!$E$25*'Alloc. Factors and Property Tax'!$E$26/12</f>
        <v>2866.2285551405798</v>
      </c>
      <c r="AD156" s="267">
        <f>Repayment!$AB$81/180</f>
        <v>111439.8075347611</v>
      </c>
      <c r="AF156" s="17">
        <f t="shared" si="14"/>
        <v>594004.12129534793</v>
      </c>
      <c r="AH156" s="21">
        <f>'Alloc. Factors and Property Tax'!$C$18</f>
        <v>0.9604166666666667</v>
      </c>
      <c r="AJ156" s="19">
        <f t="shared" si="12"/>
        <v>570491.45816074044</v>
      </c>
    </row>
    <row r="157" spans="2:36" x14ac:dyDescent="0.2">
      <c r="B157" s="23" t="s">
        <v>15</v>
      </c>
      <c r="D157" s="3">
        <v>2038</v>
      </c>
      <c r="F157" s="226">
        <f>'Depr and ADFIT'!$C$1</f>
        <v>57798518.958269402</v>
      </c>
      <c r="H157" s="14">
        <f>'Depr and ADFIT'!C155</f>
        <v>-47844496</v>
      </c>
      <c r="J157" s="227">
        <f>'Depr and ADFIT'!J155</f>
        <v>2286971</v>
      </c>
      <c r="L157" s="260">
        <f>'Depr and ADFIT'!$N$1</f>
        <v>20059165.356256999</v>
      </c>
      <c r="M157" s="261"/>
      <c r="N157" s="259">
        <f>'Depr and ADFIT'!N155</f>
        <v>-16604560</v>
      </c>
      <c r="O157" s="261"/>
      <c r="P157" s="262">
        <f>'Depr and ADFIT'!P155</f>
        <v>-725467</v>
      </c>
      <c r="R157" s="198">
        <f t="shared" si="13"/>
        <v>14970132.314526401</v>
      </c>
      <c r="T157" s="20">
        <f>WACC!$S$16</f>
        <v>8.1600000000000006E-2</v>
      </c>
      <c r="V157" s="16">
        <f t="shared" si="11"/>
        <v>101796.89973877954</v>
      </c>
      <c r="X157" s="17">
        <f t="shared" si="10"/>
        <v>54166.666666666664</v>
      </c>
      <c r="Z157" s="17">
        <f>(ROUND(F157*'Depr and ADFIT'!$C$4/12,0))</f>
        <v>321104</v>
      </c>
      <c r="AB157" s="17">
        <f>F157*'Alloc. Factors and Property Tax'!$E$24*'Alloc. Factors and Property Tax'!$E$25*'Alloc. Factors and Property Tax'!$E$26/12</f>
        <v>2866.2285551405798</v>
      </c>
      <c r="AD157" s="267">
        <f>Repayment!$AB$81/180</f>
        <v>111439.8075347611</v>
      </c>
      <c r="AF157" s="17">
        <f t="shared" si="14"/>
        <v>591373.60249534785</v>
      </c>
      <c r="AH157" s="21">
        <f>'Alloc. Factors and Property Tax'!$C$18</f>
        <v>0.9604166666666667</v>
      </c>
      <c r="AJ157" s="19">
        <f t="shared" si="12"/>
        <v>567965.06406324031</v>
      </c>
    </row>
    <row r="158" spans="2:36" x14ac:dyDescent="0.2">
      <c r="B158" s="23" t="s">
        <v>16</v>
      </c>
      <c r="D158" s="3">
        <v>2038</v>
      </c>
      <c r="F158" s="226">
        <f>'Depr and ADFIT'!$C$1</f>
        <v>57798518.958269402</v>
      </c>
      <c r="H158" s="14">
        <f>'Depr and ADFIT'!C156</f>
        <v>-48165600</v>
      </c>
      <c r="J158" s="227">
        <f>'Depr and ADFIT'!J156</f>
        <v>2309271</v>
      </c>
      <c r="L158" s="260">
        <f>'Depr and ADFIT'!$N$1</f>
        <v>20059165.356256999</v>
      </c>
      <c r="M158" s="261"/>
      <c r="N158" s="259">
        <f>'Depr and ADFIT'!N156</f>
        <v>-16716000</v>
      </c>
      <c r="O158" s="261"/>
      <c r="P158" s="262">
        <f>'Depr and ADFIT'!P156</f>
        <v>-702065</v>
      </c>
      <c r="R158" s="198">
        <f t="shared" si="13"/>
        <v>14583290.314526401</v>
      </c>
      <c r="T158" s="20">
        <f>WACC!$S$16</f>
        <v>8.1600000000000006E-2</v>
      </c>
      <c r="V158" s="16">
        <f t="shared" si="11"/>
        <v>99166.374138779531</v>
      </c>
      <c r="X158" s="17">
        <f t="shared" si="10"/>
        <v>54166.666666666664</v>
      </c>
      <c r="Z158" s="17">
        <f>(ROUND(F158*'Depr and ADFIT'!$C$4/12,0))</f>
        <v>321104</v>
      </c>
      <c r="AB158" s="17">
        <f>F158*'Alloc. Factors and Property Tax'!$E$24*'Alloc. Factors and Property Tax'!$E$25*'Alloc. Factors and Property Tax'!$E$26/12</f>
        <v>2866.2285551405798</v>
      </c>
      <c r="AD158" s="267">
        <f>Repayment!$AB$81/180</f>
        <v>111439.8075347611</v>
      </c>
      <c r="AF158" s="17">
        <f t="shared" si="14"/>
        <v>588743.07689534791</v>
      </c>
      <c r="AH158" s="21">
        <f>'Alloc. Factors and Property Tax'!$C$18</f>
        <v>0.9604166666666667</v>
      </c>
      <c r="AJ158" s="19">
        <f t="shared" si="12"/>
        <v>565438.6634349071</v>
      </c>
    </row>
    <row r="159" spans="2:36" x14ac:dyDescent="0.2">
      <c r="B159" s="23" t="s">
        <v>17</v>
      </c>
      <c r="D159" s="3">
        <v>2038</v>
      </c>
      <c r="F159" s="226">
        <f>'Depr and ADFIT'!$C$1</f>
        <v>57798518.958269402</v>
      </c>
      <c r="H159" s="14">
        <f>'Depr and ADFIT'!C157</f>
        <v>-48486704</v>
      </c>
      <c r="J159" s="227">
        <f>'Depr and ADFIT'!J157</f>
        <v>2331571</v>
      </c>
      <c r="L159" s="260">
        <f>'Depr and ADFIT'!$N$1</f>
        <v>20059165.356256999</v>
      </c>
      <c r="M159" s="261"/>
      <c r="N159" s="259">
        <f>'Depr and ADFIT'!N157</f>
        <v>-16827440</v>
      </c>
      <c r="O159" s="261"/>
      <c r="P159" s="262">
        <f>'Depr and ADFIT'!P157</f>
        <v>-678662</v>
      </c>
      <c r="R159" s="198">
        <f t="shared" si="13"/>
        <v>14196449.314526401</v>
      </c>
      <c r="T159" s="20">
        <f>WACC!$S$16</f>
        <v>8.1600000000000006E-2</v>
      </c>
      <c r="V159" s="16">
        <f t="shared" si="11"/>
        <v>96535.855338779525</v>
      </c>
      <c r="X159" s="17">
        <f t="shared" si="10"/>
        <v>54166.666666666664</v>
      </c>
      <c r="Z159" s="17">
        <f>(ROUND(F159*'Depr and ADFIT'!$C$4/12,0))</f>
        <v>321104</v>
      </c>
      <c r="AB159" s="17">
        <f>F159*'Alloc. Factors and Property Tax'!$E$24*'Alloc. Factors and Property Tax'!$E$25*'Alloc. Factors and Property Tax'!$E$26/12</f>
        <v>2866.2285551405798</v>
      </c>
      <c r="AD159" s="267">
        <f>Repayment!$AB$81/180</f>
        <v>111439.8075347611</v>
      </c>
      <c r="AF159" s="17">
        <f t="shared" si="14"/>
        <v>586112.55809534783</v>
      </c>
      <c r="AH159" s="21">
        <f>'Alloc. Factors and Property Tax'!$C$18</f>
        <v>0.9604166666666667</v>
      </c>
      <c r="AJ159" s="19">
        <f t="shared" si="12"/>
        <v>562912.26933740696</v>
      </c>
    </row>
    <row r="160" spans="2:36" x14ac:dyDescent="0.2">
      <c r="B160" s="23" t="s">
        <v>18</v>
      </c>
      <c r="D160" s="3">
        <v>2038</v>
      </c>
      <c r="F160" s="226">
        <f>'Depr and ADFIT'!$C$1</f>
        <v>57798518.958269402</v>
      </c>
      <c r="H160" s="14">
        <f>'Depr and ADFIT'!C158</f>
        <v>-48807808</v>
      </c>
      <c r="J160" s="227">
        <f>'Depr and ADFIT'!J158</f>
        <v>2353871</v>
      </c>
      <c r="L160" s="260">
        <f>'Depr and ADFIT'!$N$1</f>
        <v>20059165.356256999</v>
      </c>
      <c r="M160" s="261"/>
      <c r="N160" s="259">
        <f>'Depr and ADFIT'!N158</f>
        <v>-16938880</v>
      </c>
      <c r="O160" s="261"/>
      <c r="P160" s="262">
        <f>'Depr and ADFIT'!P158</f>
        <v>-655260</v>
      </c>
      <c r="R160" s="198">
        <f t="shared" si="13"/>
        <v>13809607.314526401</v>
      </c>
      <c r="T160" s="20">
        <f>WACC!$S$16</f>
        <v>8.1600000000000006E-2</v>
      </c>
      <c r="V160" s="16">
        <f t="shared" si="11"/>
        <v>93905.329738779532</v>
      </c>
      <c r="X160" s="17">
        <f t="shared" si="10"/>
        <v>54166.666666666664</v>
      </c>
      <c r="Z160" s="17">
        <f>(ROUND(F160*'Depr and ADFIT'!$C$4/12,0))</f>
        <v>321104</v>
      </c>
      <c r="AB160" s="17">
        <f>F160*'Alloc. Factors and Property Tax'!$E$24*'Alloc. Factors and Property Tax'!$E$25*'Alloc. Factors and Property Tax'!$E$26/12</f>
        <v>2866.2285551405798</v>
      </c>
      <c r="AD160" s="267">
        <f>Repayment!$AB$81/180</f>
        <v>111439.8075347611</v>
      </c>
      <c r="AF160" s="17">
        <f t="shared" si="14"/>
        <v>583482.0324953479</v>
      </c>
      <c r="AH160" s="21">
        <f>'Alloc. Factors and Property Tax'!$C$18</f>
        <v>0.9604166666666667</v>
      </c>
      <c r="AJ160" s="19">
        <f t="shared" si="12"/>
        <v>560385.86870907375</v>
      </c>
    </row>
    <row r="161" spans="2:36" x14ac:dyDescent="0.2">
      <c r="B161" s="23" t="s">
        <v>19</v>
      </c>
      <c r="D161" s="3">
        <v>2038</v>
      </c>
      <c r="F161" s="226">
        <f>'Depr and ADFIT'!$C$1</f>
        <v>57798518.958269402</v>
      </c>
      <c r="H161" s="14">
        <f>'Depr and ADFIT'!C159</f>
        <v>-49128912</v>
      </c>
      <c r="J161" s="227">
        <f>'Depr and ADFIT'!J159</f>
        <v>2376171</v>
      </c>
      <c r="L161" s="260">
        <f>'Depr and ADFIT'!$N$1</f>
        <v>20059165.356256999</v>
      </c>
      <c r="M161" s="261"/>
      <c r="N161" s="259">
        <f>'Depr and ADFIT'!N159</f>
        <v>-17050320</v>
      </c>
      <c r="O161" s="261"/>
      <c r="P161" s="262">
        <f>'Depr and ADFIT'!P159</f>
        <v>-631858</v>
      </c>
      <c r="R161" s="198">
        <f t="shared" si="13"/>
        <v>13422765.314526401</v>
      </c>
      <c r="T161" s="20">
        <f>WACC!$S$16</f>
        <v>8.1600000000000006E-2</v>
      </c>
      <c r="V161" s="16">
        <f t="shared" si="11"/>
        <v>91274.804138779538</v>
      </c>
      <c r="X161" s="17">
        <f t="shared" si="10"/>
        <v>54166.666666666664</v>
      </c>
      <c r="Z161" s="17">
        <f>(ROUND(F161*'Depr and ADFIT'!$C$4/12,0))</f>
        <v>321104</v>
      </c>
      <c r="AB161" s="17">
        <f>F161*'Alloc. Factors and Property Tax'!$E$24*'Alloc. Factors and Property Tax'!$E$25*'Alloc. Factors and Property Tax'!$E$26/12</f>
        <v>2866.2285551405798</v>
      </c>
      <c r="AD161" s="267">
        <f>Repayment!$AB$81/180</f>
        <v>111439.8075347611</v>
      </c>
      <c r="AF161" s="17">
        <f t="shared" si="14"/>
        <v>580851.50689534785</v>
      </c>
      <c r="AH161" s="21">
        <f>'Alloc. Factors and Property Tax'!$C$18</f>
        <v>0.9604166666666667</v>
      </c>
      <c r="AJ161" s="19">
        <f t="shared" si="12"/>
        <v>557859.46808074031</v>
      </c>
    </row>
    <row r="162" spans="2:36" x14ac:dyDescent="0.2">
      <c r="B162" s="23" t="s">
        <v>8</v>
      </c>
      <c r="D162" s="3">
        <v>2038</v>
      </c>
      <c r="F162" s="226">
        <f>'Depr and ADFIT'!$C$1</f>
        <v>57798518.958269402</v>
      </c>
      <c r="H162" s="14">
        <f>'Depr and ADFIT'!C160</f>
        <v>-49450016</v>
      </c>
      <c r="J162" s="227">
        <f>'Depr and ADFIT'!J160</f>
        <v>2398470</v>
      </c>
      <c r="L162" s="260">
        <f>'Depr and ADFIT'!$N$1</f>
        <v>20059165.356256999</v>
      </c>
      <c r="M162" s="261"/>
      <c r="N162" s="259">
        <f>'Depr and ADFIT'!N160</f>
        <v>-17161760</v>
      </c>
      <c r="O162" s="261"/>
      <c r="P162" s="262">
        <f>'Depr and ADFIT'!P160</f>
        <v>-608455</v>
      </c>
      <c r="R162" s="198">
        <f t="shared" si="13"/>
        <v>13035923.314526401</v>
      </c>
      <c r="T162" s="20">
        <f>WACC!$S$16</f>
        <v>8.1600000000000006E-2</v>
      </c>
      <c r="V162" s="16">
        <f t="shared" si="11"/>
        <v>88644.27853877953</v>
      </c>
      <c r="X162" s="17">
        <f t="shared" si="10"/>
        <v>54166.666666666664</v>
      </c>
      <c r="Z162" s="17">
        <f>(ROUND(F162*'Depr and ADFIT'!$C$4/12,0))</f>
        <v>321104</v>
      </c>
      <c r="AB162" s="17">
        <f>F162*'Alloc. Factors and Property Tax'!$E$24*'Alloc. Factors and Property Tax'!$E$25*'Alloc. Factors and Property Tax'!$E$26/12</f>
        <v>2866.2285551405798</v>
      </c>
      <c r="AD162" s="267">
        <f>Repayment!$AB$81/180</f>
        <v>111439.8075347611</v>
      </c>
      <c r="AF162" s="17">
        <f t="shared" si="14"/>
        <v>578220.98129534791</v>
      </c>
      <c r="AH162" s="21">
        <f>'Alloc. Factors and Property Tax'!$C$18</f>
        <v>0.9604166666666667</v>
      </c>
      <c r="AJ162" s="19">
        <f t="shared" si="12"/>
        <v>555333.06745240709</v>
      </c>
    </row>
    <row r="163" spans="2:36" x14ac:dyDescent="0.2">
      <c r="B163" s="23" t="s">
        <v>9</v>
      </c>
      <c r="D163" s="3">
        <v>2038</v>
      </c>
      <c r="F163" s="226">
        <f>'Depr and ADFIT'!$C$1</f>
        <v>57798518.958269402</v>
      </c>
      <c r="H163" s="14">
        <f>'Depr and ADFIT'!C161</f>
        <v>-49771120</v>
      </c>
      <c r="J163" s="227">
        <f>'Depr and ADFIT'!J161</f>
        <v>2420770</v>
      </c>
      <c r="L163" s="260">
        <f>'Depr and ADFIT'!$N$1</f>
        <v>20059165.356256999</v>
      </c>
      <c r="M163" s="261"/>
      <c r="N163" s="259">
        <f>'Depr and ADFIT'!N161</f>
        <v>-17273200</v>
      </c>
      <c r="O163" s="261"/>
      <c r="P163" s="262">
        <f>'Depr and ADFIT'!P161</f>
        <v>-585053</v>
      </c>
      <c r="R163" s="198">
        <f t="shared" si="13"/>
        <v>12649081.314526401</v>
      </c>
      <c r="T163" s="20">
        <f>WACC!$S$16</f>
        <v>8.1600000000000006E-2</v>
      </c>
      <c r="V163" s="16">
        <f t="shared" si="11"/>
        <v>86013.752938779537</v>
      </c>
      <c r="X163" s="17">
        <f t="shared" si="10"/>
        <v>54166.666666666664</v>
      </c>
      <c r="Z163" s="17">
        <f>(ROUND(F163*'Depr and ADFIT'!$C$4/12,0))</f>
        <v>321104</v>
      </c>
      <c r="AB163" s="17">
        <f>F163*'Alloc. Factors and Property Tax'!$E$24*'Alloc. Factors and Property Tax'!$E$25*'Alloc. Factors and Property Tax'!$E$26/12</f>
        <v>2866.2285551405798</v>
      </c>
      <c r="AD163" s="267">
        <f>Repayment!$AB$81/180</f>
        <v>111439.8075347611</v>
      </c>
      <c r="AF163" s="17">
        <f t="shared" si="14"/>
        <v>575590.45569534786</v>
      </c>
      <c r="AH163" s="21">
        <f>'Alloc. Factors and Property Tax'!$C$18</f>
        <v>0.9604166666666667</v>
      </c>
      <c r="AJ163" s="19">
        <f t="shared" si="12"/>
        <v>552806.66682407365</v>
      </c>
    </row>
    <row r="164" spans="2:36" x14ac:dyDescent="0.2">
      <c r="B164" s="23" t="s">
        <v>10</v>
      </c>
      <c r="D164" s="3">
        <v>2038</v>
      </c>
      <c r="F164" s="226">
        <f>'Depr and ADFIT'!$C$1</f>
        <v>57798518.958269402</v>
      </c>
      <c r="H164" s="14">
        <f>'Depr and ADFIT'!C162</f>
        <v>-50092224</v>
      </c>
      <c r="J164" s="227">
        <f>'Depr and ADFIT'!J162</f>
        <v>2443070</v>
      </c>
      <c r="L164" s="260">
        <f>'Depr and ADFIT'!$N$1</f>
        <v>20059165.356256999</v>
      </c>
      <c r="M164" s="261"/>
      <c r="N164" s="259">
        <f>'Depr and ADFIT'!N162</f>
        <v>-17384640</v>
      </c>
      <c r="O164" s="261"/>
      <c r="P164" s="262">
        <f>'Depr and ADFIT'!P162</f>
        <v>-561650</v>
      </c>
      <c r="R164" s="198">
        <f t="shared" si="13"/>
        <v>12262240.314526401</v>
      </c>
      <c r="T164" s="20">
        <f>WACC!$S$16</f>
        <v>8.1600000000000006E-2</v>
      </c>
      <c r="V164" s="16">
        <f t="shared" si="11"/>
        <v>83383.234138779531</v>
      </c>
      <c r="X164" s="17">
        <f t="shared" si="10"/>
        <v>54166.666666666664</v>
      </c>
      <c r="Z164" s="17">
        <f>(ROUND(F164*'Depr and ADFIT'!$C$4/12,0))</f>
        <v>321104</v>
      </c>
      <c r="AB164" s="17">
        <f>F164*'Alloc. Factors and Property Tax'!$E$24*'Alloc. Factors and Property Tax'!$E$25*'Alloc. Factors and Property Tax'!$E$26/12</f>
        <v>2866.2285551405798</v>
      </c>
      <c r="AD164" s="267">
        <f>Repayment!$AB$81/180</f>
        <v>111439.8075347611</v>
      </c>
      <c r="AF164" s="17">
        <f t="shared" si="14"/>
        <v>572959.9368953479</v>
      </c>
      <c r="AH164" s="21">
        <f>'Alloc. Factors and Property Tax'!$C$18</f>
        <v>0.9604166666666667</v>
      </c>
      <c r="AJ164" s="19">
        <f t="shared" si="12"/>
        <v>550280.27272657375</v>
      </c>
    </row>
    <row r="165" spans="2:36" x14ac:dyDescent="0.2">
      <c r="B165" s="23" t="s">
        <v>11</v>
      </c>
      <c r="D165" s="3">
        <v>2039</v>
      </c>
      <c r="F165" s="226">
        <f>'Depr and ADFIT'!$C$1</f>
        <v>57798518.958269402</v>
      </c>
      <c r="H165" s="14">
        <f>'Depr and ADFIT'!C163</f>
        <v>-50413328</v>
      </c>
      <c r="J165" s="227">
        <f>'Depr and ADFIT'!J163</f>
        <v>2465380</v>
      </c>
      <c r="L165" s="260">
        <f>'Depr and ADFIT'!$N$1</f>
        <v>20059165.356256999</v>
      </c>
      <c r="M165" s="261"/>
      <c r="N165" s="259">
        <f>'Depr and ADFIT'!N163</f>
        <v>-17496080</v>
      </c>
      <c r="O165" s="261"/>
      <c r="P165" s="262">
        <f>'Depr and ADFIT'!P163</f>
        <v>-538248</v>
      </c>
      <c r="R165" s="198">
        <f t="shared" si="13"/>
        <v>11875408.314526401</v>
      </c>
      <c r="T165" s="20">
        <f>WACC!$S$16</f>
        <v>8.1600000000000006E-2</v>
      </c>
      <c r="V165" s="16">
        <f t="shared" si="11"/>
        <v>80752.776538779537</v>
      </c>
      <c r="X165" s="17">
        <f t="shared" si="10"/>
        <v>54166.666666666664</v>
      </c>
      <c r="Z165" s="17">
        <f>(ROUND(F165*'Depr and ADFIT'!$C$4/12,0))</f>
        <v>321104</v>
      </c>
      <c r="AB165" s="17">
        <f>F165*'Alloc. Factors and Property Tax'!$E$24*'Alloc. Factors and Property Tax'!$E$25*'Alloc. Factors and Property Tax'!$E$26/12</f>
        <v>2866.2285551405798</v>
      </c>
      <c r="AD165" s="267">
        <f>Repayment!$AB$81/180</f>
        <v>111439.8075347611</v>
      </c>
      <c r="AF165" s="17">
        <f t="shared" si="14"/>
        <v>570329.47929534793</v>
      </c>
      <c r="AH165" s="21">
        <f>'Alloc. Factors and Property Tax'!$C$18</f>
        <v>0.9604166666666667</v>
      </c>
      <c r="AJ165" s="19">
        <f t="shared" si="12"/>
        <v>547753.93740657379</v>
      </c>
    </row>
    <row r="166" spans="2:36" x14ac:dyDescent="0.2">
      <c r="B166" s="23" t="s">
        <v>12</v>
      </c>
      <c r="D166" s="3">
        <v>2039</v>
      </c>
      <c r="F166" s="226">
        <f>'Depr and ADFIT'!$C$1</f>
        <v>57798518.958269402</v>
      </c>
      <c r="H166" s="14">
        <f>'Depr and ADFIT'!C164</f>
        <v>-50734432</v>
      </c>
      <c r="J166" s="227">
        <f>'Depr and ADFIT'!J164</f>
        <v>2487690</v>
      </c>
      <c r="L166" s="260">
        <f>'Depr and ADFIT'!$N$1</f>
        <v>20059165.356256999</v>
      </c>
      <c r="M166" s="261"/>
      <c r="N166" s="259">
        <f>'Depr and ADFIT'!N164</f>
        <v>-17607520</v>
      </c>
      <c r="O166" s="261"/>
      <c r="P166" s="262">
        <f>'Depr and ADFIT'!P164</f>
        <v>-514846</v>
      </c>
      <c r="R166" s="198">
        <f t="shared" si="13"/>
        <v>11488576.314526401</v>
      </c>
      <c r="T166" s="20">
        <f>WACC!$S$16</f>
        <v>8.1600000000000006E-2</v>
      </c>
      <c r="V166" s="16">
        <f t="shared" si="11"/>
        <v>78122.318938779543</v>
      </c>
      <c r="X166" s="17">
        <f t="shared" si="10"/>
        <v>54166.666666666664</v>
      </c>
      <c r="Z166" s="17">
        <f>(ROUND(F166*'Depr and ADFIT'!$C$4/12,0))</f>
        <v>321104</v>
      </c>
      <c r="AB166" s="17">
        <f>F166*'Alloc. Factors and Property Tax'!$E$24*'Alloc. Factors and Property Tax'!$E$25*'Alloc. Factors and Property Tax'!$E$26/12</f>
        <v>2866.2285551405798</v>
      </c>
      <c r="AD166" s="267">
        <f>Repayment!$AB$81/180</f>
        <v>111439.8075347611</v>
      </c>
      <c r="AF166" s="17">
        <f t="shared" si="14"/>
        <v>567699.02169534785</v>
      </c>
      <c r="AH166" s="21">
        <f>'Alloc. Factors and Property Tax'!$C$18</f>
        <v>0.9604166666666667</v>
      </c>
      <c r="AJ166" s="19">
        <f t="shared" si="12"/>
        <v>545227.60208657372</v>
      </c>
    </row>
    <row r="167" spans="2:36" x14ac:dyDescent="0.2">
      <c r="B167" s="23" t="s">
        <v>13</v>
      </c>
      <c r="D167" s="3">
        <v>2039</v>
      </c>
      <c r="F167" s="226">
        <f>'Depr and ADFIT'!$C$1</f>
        <v>57798518.958269402</v>
      </c>
      <c r="H167" s="14">
        <f>'Depr and ADFIT'!C165</f>
        <v>-51055536</v>
      </c>
      <c r="J167" s="227">
        <f>'Depr and ADFIT'!J165</f>
        <v>2510000</v>
      </c>
      <c r="L167" s="260">
        <f>'Depr and ADFIT'!$N$1</f>
        <v>20059165.356256999</v>
      </c>
      <c r="M167" s="261"/>
      <c r="N167" s="259">
        <f>'Depr and ADFIT'!N165</f>
        <v>-17718960</v>
      </c>
      <c r="O167" s="261"/>
      <c r="P167" s="262">
        <f>'Depr and ADFIT'!P165</f>
        <v>-491443</v>
      </c>
      <c r="R167" s="198">
        <f t="shared" si="13"/>
        <v>11101745.314526401</v>
      </c>
      <c r="T167" s="20">
        <f>WACC!$S$16</f>
        <v>8.1600000000000006E-2</v>
      </c>
      <c r="V167" s="16">
        <f t="shared" si="11"/>
        <v>75491.868138779537</v>
      </c>
      <c r="X167" s="17">
        <f t="shared" si="10"/>
        <v>54166.666666666664</v>
      </c>
      <c r="Z167" s="17">
        <f>(ROUND(F167*'Depr and ADFIT'!$C$4/12,0))</f>
        <v>321104</v>
      </c>
      <c r="AB167" s="17">
        <f>F167*'Alloc. Factors and Property Tax'!$E$24*'Alloc. Factors and Property Tax'!$E$25*'Alloc. Factors and Property Tax'!$E$26/12</f>
        <v>2866.2285551405798</v>
      </c>
      <c r="AD167" s="267">
        <f>Repayment!$AB$81/180</f>
        <v>111439.8075347611</v>
      </c>
      <c r="AF167" s="17">
        <f t="shared" si="14"/>
        <v>565068.57089534786</v>
      </c>
      <c r="AH167" s="21">
        <f>'Alloc. Factors and Property Tax'!$C$18</f>
        <v>0.9604166666666667</v>
      </c>
      <c r="AJ167" s="19">
        <f t="shared" si="12"/>
        <v>542701.27329740708</v>
      </c>
    </row>
    <row r="168" spans="2:36" x14ac:dyDescent="0.2">
      <c r="B168" s="23" t="s">
        <v>14</v>
      </c>
      <c r="D168" s="3">
        <v>2039</v>
      </c>
      <c r="F168" s="226">
        <f>'Depr and ADFIT'!$C$1</f>
        <v>57798518.958269402</v>
      </c>
      <c r="H168" s="14">
        <f>'Depr and ADFIT'!C166</f>
        <v>-51376640</v>
      </c>
      <c r="J168" s="227">
        <f>'Depr and ADFIT'!J166</f>
        <v>2532310</v>
      </c>
      <c r="L168" s="260">
        <f>'Depr and ADFIT'!$N$1</f>
        <v>20059165.356256999</v>
      </c>
      <c r="M168" s="261"/>
      <c r="N168" s="259">
        <f>'Depr and ADFIT'!N166</f>
        <v>-17830400</v>
      </c>
      <c r="O168" s="261"/>
      <c r="P168" s="262">
        <f>'Depr and ADFIT'!P166</f>
        <v>-468041</v>
      </c>
      <c r="R168" s="198">
        <f t="shared" si="13"/>
        <v>10714913.314526401</v>
      </c>
      <c r="T168" s="20">
        <f>WACC!$S$16</f>
        <v>8.1600000000000006E-2</v>
      </c>
      <c r="V168" s="16">
        <f t="shared" si="11"/>
        <v>72861.410538779528</v>
      </c>
      <c r="X168" s="17">
        <f t="shared" si="10"/>
        <v>54166.666666666664</v>
      </c>
      <c r="Z168" s="17">
        <f>(ROUND(F168*'Depr and ADFIT'!$C$4/12,0))</f>
        <v>321104</v>
      </c>
      <c r="AB168" s="17">
        <f>F168*'Alloc. Factors and Property Tax'!$E$24*'Alloc. Factors and Property Tax'!$E$25*'Alloc. Factors and Property Tax'!$E$26/12</f>
        <v>2866.2285551405798</v>
      </c>
      <c r="AD168" s="267">
        <f>Repayment!$AB$81/180</f>
        <v>111439.8075347611</v>
      </c>
      <c r="AF168" s="17">
        <f t="shared" si="14"/>
        <v>562438.1132953479</v>
      </c>
      <c r="AH168" s="21">
        <f>'Alloc. Factors and Property Tax'!$C$18</f>
        <v>0.9604166666666667</v>
      </c>
      <c r="AJ168" s="19">
        <f t="shared" si="12"/>
        <v>540174.93797740701</v>
      </c>
    </row>
    <row r="169" spans="2:36" x14ac:dyDescent="0.2">
      <c r="B169" s="23" t="s">
        <v>15</v>
      </c>
      <c r="D169" s="3">
        <v>2039</v>
      </c>
      <c r="F169" s="226">
        <f>'Depr and ADFIT'!$C$1</f>
        <v>57798518.958269402</v>
      </c>
      <c r="H169" s="14">
        <f>'Depr and ADFIT'!C167</f>
        <v>-51697744</v>
      </c>
      <c r="J169" s="227">
        <f>'Depr and ADFIT'!J167</f>
        <v>2554620</v>
      </c>
      <c r="L169" s="260">
        <f>'Depr and ADFIT'!$N$1</f>
        <v>20059165.356256999</v>
      </c>
      <c r="M169" s="261"/>
      <c r="N169" s="259">
        <f>'Depr and ADFIT'!N167</f>
        <v>-17941840</v>
      </c>
      <c r="O169" s="261"/>
      <c r="P169" s="262">
        <f>'Depr and ADFIT'!P167</f>
        <v>-444638</v>
      </c>
      <c r="R169" s="198">
        <f t="shared" ref="R169:R188" si="15">SUM(F169:Q169)</f>
        <v>10328082.314526401</v>
      </c>
      <c r="T169" s="20">
        <f>WACC!$S$16</f>
        <v>8.1600000000000006E-2</v>
      </c>
      <c r="V169" s="16">
        <f t="shared" si="11"/>
        <v>70230.959738779537</v>
      </c>
      <c r="X169" s="17">
        <f t="shared" si="10"/>
        <v>54166.666666666664</v>
      </c>
      <c r="Z169" s="17">
        <f>(ROUND(F169*'Depr and ADFIT'!$C$4/12,0))</f>
        <v>321104</v>
      </c>
      <c r="AB169" s="17">
        <f>F169*'Alloc. Factors and Property Tax'!$E$24*'Alloc. Factors and Property Tax'!$E$25*'Alloc. Factors and Property Tax'!$E$26/12</f>
        <v>2866.2285551405798</v>
      </c>
      <c r="AD169" s="267">
        <f>Repayment!$AB$81/180</f>
        <v>111439.8075347611</v>
      </c>
      <c r="AF169" s="17">
        <f t="shared" si="14"/>
        <v>559807.6624953479</v>
      </c>
      <c r="AH169" s="21">
        <f>'Alloc. Factors and Property Tax'!$C$18</f>
        <v>0.9604166666666667</v>
      </c>
      <c r="AJ169" s="19">
        <f t="shared" si="12"/>
        <v>537648.60918824037</v>
      </c>
    </row>
    <row r="170" spans="2:36" x14ac:dyDescent="0.2">
      <c r="B170" s="23" t="s">
        <v>16</v>
      </c>
      <c r="D170" s="3">
        <v>2039</v>
      </c>
      <c r="F170" s="226">
        <f>'Depr and ADFIT'!$C$1</f>
        <v>57798518.958269402</v>
      </c>
      <c r="H170" s="14">
        <f>'Depr and ADFIT'!C168</f>
        <v>-52018848</v>
      </c>
      <c r="J170" s="227">
        <f>'Depr and ADFIT'!J168</f>
        <v>2576930</v>
      </c>
      <c r="L170" s="260">
        <f>'Depr and ADFIT'!$N$1</f>
        <v>20059165.356256999</v>
      </c>
      <c r="M170" s="261"/>
      <c r="N170" s="259">
        <f>'Depr and ADFIT'!N168</f>
        <v>-18053280</v>
      </c>
      <c r="O170" s="261"/>
      <c r="P170" s="262">
        <f>'Depr and ADFIT'!P168</f>
        <v>-421236</v>
      </c>
      <c r="R170" s="198">
        <f t="shared" si="15"/>
        <v>9941250.3145264015</v>
      </c>
      <c r="T170" s="20">
        <f>WACC!$S$16</f>
        <v>8.1600000000000006E-2</v>
      </c>
      <c r="V170" s="16">
        <f t="shared" si="11"/>
        <v>67600.502138779542</v>
      </c>
      <c r="X170" s="17">
        <f t="shared" si="10"/>
        <v>54166.666666666664</v>
      </c>
      <c r="Z170" s="17">
        <f>(ROUND(F170*'Depr and ADFIT'!$C$4/12,0))</f>
        <v>321104</v>
      </c>
      <c r="AB170" s="17">
        <f>F170*'Alloc. Factors and Property Tax'!$E$24*'Alloc. Factors and Property Tax'!$E$25*'Alloc. Factors and Property Tax'!$E$26/12</f>
        <v>2866.2285551405798</v>
      </c>
      <c r="AD170" s="267">
        <f>Repayment!$AB$81/180</f>
        <v>111439.8075347611</v>
      </c>
      <c r="AF170" s="17">
        <f t="shared" si="14"/>
        <v>557177.20489534794</v>
      </c>
      <c r="AH170" s="21">
        <f>'Alloc. Factors and Property Tax'!$C$18</f>
        <v>0.9604166666666667</v>
      </c>
      <c r="AJ170" s="19">
        <f t="shared" si="12"/>
        <v>535122.27386824042</v>
      </c>
    </row>
    <row r="171" spans="2:36" x14ac:dyDescent="0.2">
      <c r="B171" s="23" t="s">
        <v>17</v>
      </c>
      <c r="D171" s="3">
        <v>2039</v>
      </c>
      <c r="F171" s="226">
        <f>'Depr and ADFIT'!$C$1</f>
        <v>57798518.958269402</v>
      </c>
      <c r="H171" s="14">
        <f>'Depr and ADFIT'!C169</f>
        <v>-52339952</v>
      </c>
      <c r="J171" s="227">
        <f>'Depr and ADFIT'!J169</f>
        <v>2599240</v>
      </c>
      <c r="L171" s="260">
        <f>'Depr and ADFIT'!$N$1</f>
        <v>20059165.356256999</v>
      </c>
      <c r="M171" s="261"/>
      <c r="N171" s="259">
        <f>'Depr and ADFIT'!N169</f>
        <v>-18164720</v>
      </c>
      <c r="O171" s="261"/>
      <c r="P171" s="262">
        <f>'Depr and ADFIT'!P169</f>
        <v>-397834</v>
      </c>
      <c r="R171" s="198">
        <f t="shared" si="15"/>
        <v>9554418.3145264015</v>
      </c>
      <c r="T171" s="20">
        <f>WACC!$S$16</f>
        <v>8.1600000000000006E-2</v>
      </c>
      <c r="V171" s="16">
        <f t="shared" si="11"/>
        <v>64970.044538779533</v>
      </c>
      <c r="X171" s="17">
        <f t="shared" si="10"/>
        <v>54166.666666666664</v>
      </c>
      <c r="Z171" s="17">
        <f>(ROUND(F171*'Depr and ADFIT'!$C$4/12,0))</f>
        <v>321104</v>
      </c>
      <c r="AB171" s="17">
        <f>F171*'Alloc. Factors and Property Tax'!$E$24*'Alloc. Factors and Property Tax'!$E$25*'Alloc. Factors and Property Tax'!$E$26/12</f>
        <v>2866.2285551405798</v>
      </c>
      <c r="AD171" s="267">
        <f>Repayment!$AB$81/180</f>
        <v>111439.8075347611</v>
      </c>
      <c r="AF171" s="17">
        <f t="shared" si="14"/>
        <v>554546.74729534786</v>
      </c>
      <c r="AH171" s="21">
        <f>'Alloc. Factors and Property Tax'!$C$18</f>
        <v>0.9604166666666667</v>
      </c>
      <c r="AJ171" s="19">
        <f t="shared" si="12"/>
        <v>532595.93854824034</v>
      </c>
    </row>
    <row r="172" spans="2:36" x14ac:dyDescent="0.2">
      <c r="B172" s="23" t="s">
        <v>18</v>
      </c>
      <c r="D172" s="3">
        <v>2039</v>
      </c>
      <c r="F172" s="226">
        <f>'Depr and ADFIT'!$C$1</f>
        <v>57798518.958269402</v>
      </c>
      <c r="H172" s="14">
        <f>'Depr and ADFIT'!C170</f>
        <v>-52661056</v>
      </c>
      <c r="J172" s="227">
        <f>'Depr and ADFIT'!J170</f>
        <v>2621550</v>
      </c>
      <c r="L172" s="260">
        <f>'Depr and ADFIT'!$N$1</f>
        <v>20059165.356256999</v>
      </c>
      <c r="M172" s="261"/>
      <c r="N172" s="259">
        <f>'Depr and ADFIT'!N170</f>
        <v>-18276160</v>
      </c>
      <c r="O172" s="261"/>
      <c r="P172" s="262">
        <f>'Depr and ADFIT'!P170</f>
        <v>-374431</v>
      </c>
      <c r="R172" s="198">
        <f t="shared" si="15"/>
        <v>9167587.3145264015</v>
      </c>
      <c r="T172" s="20">
        <f>WACC!$S$16</f>
        <v>8.1600000000000006E-2</v>
      </c>
      <c r="V172" s="16">
        <f t="shared" si="11"/>
        <v>62339.593738779535</v>
      </c>
      <c r="X172" s="17">
        <f t="shared" si="10"/>
        <v>54166.666666666664</v>
      </c>
      <c r="Z172" s="17">
        <f>(ROUND(F172*'Depr and ADFIT'!$C$4/12,0))</f>
        <v>321104</v>
      </c>
      <c r="AB172" s="17">
        <f>F172*'Alloc. Factors and Property Tax'!$E$24*'Alloc. Factors and Property Tax'!$E$25*'Alloc. Factors and Property Tax'!$E$26/12</f>
        <v>2866.2285551405798</v>
      </c>
      <c r="AD172" s="267">
        <f>Repayment!$AB$81/180</f>
        <v>111439.8075347611</v>
      </c>
      <c r="AF172" s="17">
        <f t="shared" si="14"/>
        <v>551916.29649534787</v>
      </c>
      <c r="AH172" s="21">
        <f>'Alloc. Factors and Property Tax'!$C$18</f>
        <v>0.9604166666666667</v>
      </c>
      <c r="AJ172" s="19">
        <f t="shared" si="12"/>
        <v>530069.6097590737</v>
      </c>
    </row>
    <row r="173" spans="2:36" x14ac:dyDescent="0.2">
      <c r="B173" s="23" t="s">
        <v>19</v>
      </c>
      <c r="D173" s="3">
        <v>2039</v>
      </c>
      <c r="F173" s="226">
        <f>'Depr and ADFIT'!$C$1</f>
        <v>57798518.958269402</v>
      </c>
      <c r="H173" s="14">
        <f>'Depr and ADFIT'!C171</f>
        <v>-52982160</v>
      </c>
      <c r="J173" s="227">
        <f>'Depr and ADFIT'!J171</f>
        <v>2643860</v>
      </c>
      <c r="L173" s="260">
        <f>'Depr and ADFIT'!$N$1</f>
        <v>20059165.356256999</v>
      </c>
      <c r="M173" s="261"/>
      <c r="N173" s="259">
        <f>'Depr and ADFIT'!N171</f>
        <v>-18387600</v>
      </c>
      <c r="O173" s="261"/>
      <c r="P173" s="262">
        <f>'Depr and ADFIT'!P171</f>
        <v>-351029</v>
      </c>
      <c r="R173" s="198">
        <f t="shared" si="15"/>
        <v>8780755.3145264015</v>
      </c>
      <c r="T173" s="20">
        <f>WACC!$S$16</f>
        <v>8.1600000000000006E-2</v>
      </c>
      <c r="V173" s="16">
        <f t="shared" si="11"/>
        <v>59709.13613877954</v>
      </c>
      <c r="X173" s="17">
        <f t="shared" si="10"/>
        <v>54166.666666666664</v>
      </c>
      <c r="Z173" s="17">
        <f>(ROUND(F173*'Depr and ADFIT'!$C$4/12,0))</f>
        <v>321104</v>
      </c>
      <c r="AB173" s="17">
        <f>F173*'Alloc. Factors and Property Tax'!$E$24*'Alloc. Factors and Property Tax'!$E$25*'Alloc. Factors and Property Tax'!$E$26/12</f>
        <v>2866.2285551405798</v>
      </c>
      <c r="AD173" s="267">
        <f>Repayment!$AB$81/180</f>
        <v>111439.8075347611</v>
      </c>
      <c r="AF173" s="17">
        <f t="shared" si="14"/>
        <v>549285.8388953479</v>
      </c>
      <c r="AH173" s="21">
        <f>'Alloc. Factors and Property Tax'!$C$18</f>
        <v>0.9604166666666667</v>
      </c>
      <c r="AJ173" s="19">
        <f t="shared" si="12"/>
        <v>527543.27443907375</v>
      </c>
    </row>
    <row r="174" spans="2:36" x14ac:dyDescent="0.2">
      <c r="B174" s="23" t="s">
        <v>8</v>
      </c>
      <c r="D174" s="3">
        <v>2039</v>
      </c>
      <c r="F174" s="226">
        <f>'Depr and ADFIT'!$C$1</f>
        <v>57798518.958269402</v>
      </c>
      <c r="H174" s="14">
        <f>'Depr and ADFIT'!C172</f>
        <v>-53303264</v>
      </c>
      <c r="J174" s="227">
        <f>'Depr and ADFIT'!J172</f>
        <v>2666170</v>
      </c>
      <c r="L174" s="260">
        <f>'Depr and ADFIT'!$N$1</f>
        <v>20059165.356256999</v>
      </c>
      <c r="M174" s="261"/>
      <c r="N174" s="259">
        <f>'Depr and ADFIT'!N172</f>
        <v>-18499040</v>
      </c>
      <c r="O174" s="261"/>
      <c r="P174" s="262">
        <f>'Depr and ADFIT'!P172</f>
        <v>-327626</v>
      </c>
      <c r="R174" s="198">
        <f t="shared" si="15"/>
        <v>8393924.3145264015</v>
      </c>
      <c r="T174" s="20">
        <f>WACC!$S$16</f>
        <v>8.1600000000000006E-2</v>
      </c>
      <c r="V174" s="16">
        <f t="shared" si="11"/>
        <v>57078.685338779535</v>
      </c>
      <c r="X174" s="17">
        <f t="shared" si="10"/>
        <v>54166.666666666664</v>
      </c>
      <c r="Z174" s="17">
        <f>(ROUND(F174*'Depr and ADFIT'!$C$4/12,0))</f>
        <v>321104</v>
      </c>
      <c r="AB174" s="17">
        <f>F174*'Alloc. Factors and Property Tax'!$E$24*'Alloc. Factors and Property Tax'!$E$25*'Alloc. Factors and Property Tax'!$E$26/12</f>
        <v>2866.2285551405798</v>
      </c>
      <c r="AD174" s="267">
        <f>Repayment!$AB$81/180</f>
        <v>111439.8075347611</v>
      </c>
      <c r="AF174" s="17">
        <f t="shared" si="14"/>
        <v>546655.38809534791</v>
      </c>
      <c r="AH174" s="21">
        <f>'Alloc. Factors and Property Tax'!$C$18</f>
        <v>0.9604166666666667</v>
      </c>
      <c r="AJ174" s="19">
        <f t="shared" si="12"/>
        <v>525016.94564990711</v>
      </c>
    </row>
    <row r="175" spans="2:36" x14ac:dyDescent="0.2">
      <c r="B175" s="23" t="s">
        <v>9</v>
      </c>
      <c r="D175" s="3">
        <v>2039</v>
      </c>
      <c r="F175" s="226">
        <f>'Depr and ADFIT'!$C$1</f>
        <v>57798518.958269402</v>
      </c>
      <c r="H175" s="14">
        <f>'Depr and ADFIT'!C173</f>
        <v>-53624368</v>
      </c>
      <c r="J175" s="227">
        <f>'Depr and ADFIT'!J173</f>
        <v>2688480</v>
      </c>
      <c r="L175" s="260">
        <f>'Depr and ADFIT'!$N$1</f>
        <v>20059165.356256999</v>
      </c>
      <c r="M175" s="261"/>
      <c r="N175" s="259">
        <f>'Depr and ADFIT'!N173</f>
        <v>-18610480</v>
      </c>
      <c r="O175" s="261"/>
      <c r="P175" s="262">
        <f>'Depr and ADFIT'!P173</f>
        <v>-304224</v>
      </c>
      <c r="R175" s="198">
        <f t="shared" si="15"/>
        <v>8007092.3145264015</v>
      </c>
      <c r="T175" s="20">
        <f>WACC!$S$16</f>
        <v>8.1600000000000006E-2</v>
      </c>
      <c r="V175" s="16">
        <f t="shared" si="11"/>
        <v>54448.227738779533</v>
      </c>
      <c r="X175" s="17">
        <f t="shared" si="10"/>
        <v>54166.666666666664</v>
      </c>
      <c r="Z175" s="17">
        <f>(ROUND(F175*'Depr and ADFIT'!$C$4/12,0))</f>
        <v>321104</v>
      </c>
      <c r="AB175" s="17">
        <f>F175*'Alloc. Factors and Property Tax'!$E$24*'Alloc. Factors and Property Tax'!$E$25*'Alloc. Factors and Property Tax'!$E$26/12</f>
        <v>2866.2285551405798</v>
      </c>
      <c r="AD175" s="267">
        <f>Repayment!$AB$81/180</f>
        <v>111439.8075347611</v>
      </c>
      <c r="AF175" s="17">
        <f t="shared" si="14"/>
        <v>544024.93049534783</v>
      </c>
      <c r="AH175" s="21">
        <f>'Alloc. Factors and Property Tax'!$C$18</f>
        <v>0.9604166666666667</v>
      </c>
      <c r="AJ175" s="19">
        <f t="shared" si="12"/>
        <v>522490.61032990698</v>
      </c>
    </row>
    <row r="176" spans="2:36" x14ac:dyDescent="0.2">
      <c r="B176" s="23" t="s">
        <v>10</v>
      </c>
      <c r="D176" s="3">
        <v>2039</v>
      </c>
      <c r="F176" s="226">
        <f>'Depr and ADFIT'!$C$1</f>
        <v>57798518.958269402</v>
      </c>
      <c r="H176" s="14">
        <f>'Depr and ADFIT'!C174</f>
        <v>-53945472</v>
      </c>
      <c r="J176" s="227">
        <f>'Depr and ADFIT'!J174</f>
        <v>2710790</v>
      </c>
      <c r="L176" s="260">
        <f>'Depr and ADFIT'!$N$1</f>
        <v>20059165.356256999</v>
      </c>
      <c r="M176" s="261"/>
      <c r="N176" s="259">
        <f>'Depr and ADFIT'!N174</f>
        <v>-18721920</v>
      </c>
      <c r="O176" s="261"/>
      <c r="P176" s="262">
        <f>'Depr and ADFIT'!P174</f>
        <v>-280822</v>
      </c>
      <c r="R176" s="198">
        <f t="shared" si="15"/>
        <v>7620260.3145264015</v>
      </c>
      <c r="T176" s="20">
        <f>WACC!$S$16</f>
        <v>8.1600000000000006E-2</v>
      </c>
      <c r="V176" s="16">
        <f t="shared" si="11"/>
        <v>51817.770138779531</v>
      </c>
      <c r="X176" s="17">
        <f t="shared" si="10"/>
        <v>54166.666666666664</v>
      </c>
      <c r="Z176" s="17">
        <f>(ROUND(F176*'Depr and ADFIT'!$C$4/12,0))</f>
        <v>321104</v>
      </c>
      <c r="AB176" s="17">
        <f>F176*'Alloc. Factors and Property Tax'!$E$24*'Alloc. Factors and Property Tax'!$E$25*'Alloc. Factors and Property Tax'!$E$26/12</f>
        <v>2866.2285551405798</v>
      </c>
      <c r="AD176" s="267">
        <f>Repayment!$AB$81/180</f>
        <v>111439.8075347611</v>
      </c>
      <c r="AF176" s="17">
        <f t="shared" si="14"/>
        <v>541394.47289534786</v>
      </c>
      <c r="AH176" s="21">
        <f>'Alloc. Factors and Property Tax'!$C$18</f>
        <v>0.9604166666666667</v>
      </c>
      <c r="AJ176" s="19">
        <f t="shared" si="12"/>
        <v>519964.27500990703</v>
      </c>
    </row>
    <row r="177" spans="2:36" x14ac:dyDescent="0.2">
      <c r="B177" s="23" t="s">
        <v>11</v>
      </c>
      <c r="D177" s="3">
        <v>2040</v>
      </c>
      <c r="F177" s="226">
        <f>'Depr and ADFIT'!$C$1</f>
        <v>57798518.958269402</v>
      </c>
      <c r="H177" s="14">
        <f>'Depr and ADFIT'!C175</f>
        <v>-54266576</v>
      </c>
      <c r="J177" s="227">
        <f>'Depr and ADFIT'!J175</f>
        <v>2733090</v>
      </c>
      <c r="L177" s="260">
        <f>'Depr and ADFIT'!$N$1</f>
        <v>20059165.356256999</v>
      </c>
      <c r="M177" s="261"/>
      <c r="N177" s="259">
        <f>'Depr and ADFIT'!N175</f>
        <v>-18833360</v>
      </c>
      <c r="O177" s="261"/>
      <c r="P177" s="262">
        <f>'Depr and ADFIT'!P175</f>
        <v>-257419</v>
      </c>
      <c r="R177" s="198">
        <f t="shared" si="15"/>
        <v>7233419.3145264015</v>
      </c>
      <c r="T177" s="20">
        <f>WACC!$S$16</f>
        <v>8.1600000000000006E-2</v>
      </c>
      <c r="V177" s="16">
        <f t="shared" si="11"/>
        <v>49187.251338779541</v>
      </c>
      <c r="X177" s="17">
        <f t="shared" si="10"/>
        <v>54166.666666666664</v>
      </c>
      <c r="Z177" s="17">
        <f>(ROUND(F177*'Depr and ADFIT'!$C$4/12,0))</f>
        <v>321104</v>
      </c>
      <c r="AB177" s="17">
        <f>F177*'Alloc. Factors and Property Tax'!$E$24*'Alloc. Factors and Property Tax'!$E$25*'Alloc. Factors and Property Tax'!$E$26/12</f>
        <v>2866.2285551405798</v>
      </c>
      <c r="AD177" s="267">
        <f>Repayment!$AB$81/180</f>
        <v>111439.8075347611</v>
      </c>
      <c r="AF177" s="17">
        <f t="shared" si="14"/>
        <v>538763.9540953479</v>
      </c>
      <c r="AH177" s="21">
        <f>'Alloc. Factors and Property Tax'!$C$18</f>
        <v>0.9604166666666667</v>
      </c>
      <c r="AJ177" s="19">
        <f t="shared" si="12"/>
        <v>517437.88091240707</v>
      </c>
    </row>
    <row r="178" spans="2:36" x14ac:dyDescent="0.2">
      <c r="B178" s="23" t="s">
        <v>12</v>
      </c>
      <c r="D178" s="3">
        <v>2040</v>
      </c>
      <c r="F178" s="226">
        <f>'Depr and ADFIT'!$C$1</f>
        <v>57798518.958269402</v>
      </c>
      <c r="H178" s="14">
        <f>'Depr and ADFIT'!C176</f>
        <v>-54587680</v>
      </c>
      <c r="J178" s="227">
        <f>'Depr and ADFIT'!J176</f>
        <v>2755390</v>
      </c>
      <c r="L178" s="260">
        <f>'Depr and ADFIT'!$N$1</f>
        <v>20059165.356256999</v>
      </c>
      <c r="M178" s="261"/>
      <c r="N178" s="259">
        <f>'Depr and ADFIT'!N176</f>
        <v>-18944800</v>
      </c>
      <c r="O178" s="261"/>
      <c r="P178" s="262">
        <f>'Depr and ADFIT'!P176</f>
        <v>-234017</v>
      </c>
      <c r="R178" s="198">
        <f t="shared" si="15"/>
        <v>6846577.3145264015</v>
      </c>
      <c r="T178" s="20">
        <f>WACC!$S$16</f>
        <v>8.1600000000000006E-2</v>
      </c>
      <c r="V178" s="16">
        <f t="shared" si="11"/>
        <v>46556.725738779533</v>
      </c>
      <c r="X178" s="17">
        <f t="shared" si="10"/>
        <v>54166.666666666664</v>
      </c>
      <c r="Z178" s="17">
        <f>(ROUND(F178*'Depr and ADFIT'!$C$4/12,0))</f>
        <v>321104</v>
      </c>
      <c r="AB178" s="17">
        <f>F178*'Alloc. Factors and Property Tax'!$E$24*'Alloc. Factors and Property Tax'!$E$25*'Alloc. Factors and Property Tax'!$E$26/12</f>
        <v>2866.2285551405798</v>
      </c>
      <c r="AD178" s="267">
        <f>Repayment!$AB$81/180</f>
        <v>111439.8075347611</v>
      </c>
      <c r="AF178" s="17">
        <f t="shared" si="14"/>
        <v>536133.42849534785</v>
      </c>
      <c r="AH178" s="21">
        <f>'Alloc. Factors and Property Tax'!$C$18</f>
        <v>0.9604166666666667</v>
      </c>
      <c r="AJ178" s="19">
        <f t="shared" si="12"/>
        <v>514911.48028407368</v>
      </c>
    </row>
    <row r="179" spans="2:36" x14ac:dyDescent="0.2">
      <c r="B179" s="23" t="s">
        <v>13</v>
      </c>
      <c r="D179" s="3">
        <v>2040</v>
      </c>
      <c r="F179" s="226">
        <f>'Depr and ADFIT'!$C$1</f>
        <v>57798518.958269402</v>
      </c>
      <c r="H179" s="14">
        <f>'Depr and ADFIT'!C177</f>
        <v>-54908784</v>
      </c>
      <c r="J179" s="227">
        <f>'Depr and ADFIT'!J177</f>
        <v>2777690</v>
      </c>
      <c r="L179" s="260">
        <f>'Depr and ADFIT'!$N$1</f>
        <v>20059165.356256999</v>
      </c>
      <c r="M179" s="261"/>
      <c r="N179" s="259">
        <f>'Depr and ADFIT'!N177</f>
        <v>-19056240</v>
      </c>
      <c r="O179" s="261"/>
      <c r="P179" s="262">
        <f>'Depr and ADFIT'!P177</f>
        <v>-210614</v>
      </c>
      <c r="R179" s="198">
        <f t="shared" si="15"/>
        <v>6459736.3145264015</v>
      </c>
      <c r="T179" s="20">
        <f>WACC!$S$16</f>
        <v>8.1600000000000006E-2</v>
      </c>
      <c r="V179" s="16">
        <f t="shared" si="11"/>
        <v>43926.206938779535</v>
      </c>
      <c r="X179" s="17">
        <f t="shared" si="10"/>
        <v>54166.666666666664</v>
      </c>
      <c r="Z179" s="17">
        <f>(ROUND(F179*'Depr and ADFIT'!$C$4/12,0))</f>
        <v>321104</v>
      </c>
      <c r="AB179" s="17">
        <f>F179*'Alloc. Factors and Property Tax'!$E$24*'Alloc. Factors and Property Tax'!$E$25*'Alloc. Factors and Property Tax'!$E$26/12</f>
        <v>2866.2285551405798</v>
      </c>
      <c r="AD179" s="267">
        <f>Repayment!$AB$81/180</f>
        <v>111439.8075347611</v>
      </c>
      <c r="AF179" s="17">
        <f t="shared" si="14"/>
        <v>533502.90969534789</v>
      </c>
      <c r="AH179" s="21">
        <f>'Alloc. Factors and Property Tax'!$C$18</f>
        <v>0.9604166666666667</v>
      </c>
      <c r="AJ179" s="19">
        <f t="shared" si="12"/>
        <v>512385.08618657372</v>
      </c>
    </row>
    <row r="180" spans="2:36" x14ac:dyDescent="0.2">
      <c r="B180" s="23" t="s">
        <v>14</v>
      </c>
      <c r="D180" s="3">
        <v>2040</v>
      </c>
      <c r="F180" s="226">
        <f>'Depr and ADFIT'!$C$1</f>
        <v>57798518.958269402</v>
      </c>
      <c r="H180" s="14">
        <f>'Depr and ADFIT'!C178</f>
        <v>-55229888</v>
      </c>
      <c r="J180" s="227">
        <f>'Depr and ADFIT'!J178</f>
        <v>2799989</v>
      </c>
      <c r="L180" s="260">
        <f>'Depr and ADFIT'!$N$1</f>
        <v>20059165.356256999</v>
      </c>
      <c r="M180" s="261"/>
      <c r="N180" s="259">
        <f>'Depr and ADFIT'!N178</f>
        <v>-19167680</v>
      </c>
      <c r="O180" s="261"/>
      <c r="P180" s="262">
        <f>'Depr and ADFIT'!P178</f>
        <v>-187212</v>
      </c>
      <c r="R180" s="198">
        <f t="shared" si="15"/>
        <v>6072893.3145264015</v>
      </c>
      <c r="T180" s="20">
        <f>WACC!$S$16</f>
        <v>8.1600000000000006E-2</v>
      </c>
      <c r="V180" s="16">
        <f t="shared" si="11"/>
        <v>41295.674538779531</v>
      </c>
      <c r="X180" s="17">
        <f t="shared" si="10"/>
        <v>54166.666666666664</v>
      </c>
      <c r="Z180" s="17">
        <f>(ROUND(F180*'Depr and ADFIT'!$C$4/12,0))</f>
        <v>321104</v>
      </c>
      <c r="AB180" s="17">
        <f>F180*'Alloc. Factors and Property Tax'!$E$24*'Alloc. Factors and Property Tax'!$E$25*'Alloc. Factors and Property Tax'!$E$26/12</f>
        <v>2866.2285551405798</v>
      </c>
      <c r="AD180" s="267">
        <f>Repayment!$AB$81/180</f>
        <v>111439.8075347611</v>
      </c>
      <c r="AF180" s="17">
        <f t="shared" si="14"/>
        <v>530872.37729534786</v>
      </c>
      <c r="AH180" s="21">
        <f>'Alloc. Factors and Property Tax'!$C$18</f>
        <v>0.9604166666666667</v>
      </c>
      <c r="AJ180" s="19">
        <f t="shared" si="12"/>
        <v>509858.67902740702</v>
      </c>
    </row>
    <row r="181" spans="2:36" x14ac:dyDescent="0.2">
      <c r="B181" s="23" t="s">
        <v>15</v>
      </c>
      <c r="D181" s="3">
        <v>2040</v>
      </c>
      <c r="F181" s="226">
        <f>'Depr and ADFIT'!$C$1</f>
        <v>57798518.958269402</v>
      </c>
      <c r="H181" s="14">
        <f>'Depr and ADFIT'!C179</f>
        <v>-55550992</v>
      </c>
      <c r="J181" s="227">
        <f>'Depr and ADFIT'!J179</f>
        <v>2822289</v>
      </c>
      <c r="L181" s="260">
        <f>'Depr and ADFIT'!$N$1</f>
        <v>20059165.356256999</v>
      </c>
      <c r="M181" s="261"/>
      <c r="N181" s="259">
        <f>'Depr and ADFIT'!N179</f>
        <v>-19279120</v>
      </c>
      <c r="O181" s="261"/>
      <c r="P181" s="262">
        <f>'Depr and ADFIT'!P179</f>
        <v>-163810</v>
      </c>
      <c r="R181" s="198">
        <f t="shared" si="15"/>
        <v>5686051.3145264015</v>
      </c>
      <c r="T181" s="20">
        <f>WACC!$S$16</f>
        <v>8.1600000000000006E-2</v>
      </c>
      <c r="V181" s="16">
        <f t="shared" si="11"/>
        <v>38665.148938779537</v>
      </c>
      <c r="X181" s="17">
        <f t="shared" si="10"/>
        <v>54166.666666666664</v>
      </c>
      <c r="Z181" s="17">
        <f>(ROUND(F181*'Depr and ADFIT'!$C$4/12,0))</f>
        <v>321104</v>
      </c>
      <c r="AB181" s="17">
        <f>F181*'Alloc. Factors and Property Tax'!$E$24*'Alloc. Factors and Property Tax'!$E$25*'Alloc. Factors and Property Tax'!$E$26/12</f>
        <v>2866.2285551405798</v>
      </c>
      <c r="AD181" s="267">
        <f>Repayment!$AB$81/180</f>
        <v>111439.8075347611</v>
      </c>
      <c r="AF181" s="17">
        <f t="shared" si="14"/>
        <v>528241.85169534793</v>
      </c>
      <c r="AH181" s="21">
        <f>'Alloc. Factors and Property Tax'!$C$18</f>
        <v>0.9604166666666667</v>
      </c>
      <c r="AJ181" s="19">
        <f t="shared" si="12"/>
        <v>507332.27839907375</v>
      </c>
    </row>
    <row r="182" spans="2:36" x14ac:dyDescent="0.2">
      <c r="B182" s="23" t="s">
        <v>16</v>
      </c>
      <c r="D182" s="3">
        <v>2040</v>
      </c>
      <c r="F182" s="226">
        <f>'Depr and ADFIT'!$C$1</f>
        <v>57798518.958269402</v>
      </c>
      <c r="H182" s="14">
        <f>'Depr and ADFIT'!C180</f>
        <v>-55872096</v>
      </c>
      <c r="J182" s="227">
        <f>'Depr and ADFIT'!J180</f>
        <v>2844589</v>
      </c>
      <c r="L182" s="260">
        <f>'Depr and ADFIT'!$N$1</f>
        <v>20059165.356256999</v>
      </c>
      <c r="M182" s="261"/>
      <c r="N182" s="259">
        <f>'Depr and ADFIT'!N180</f>
        <v>-19390560</v>
      </c>
      <c r="O182" s="261"/>
      <c r="P182" s="262">
        <f>'Depr and ADFIT'!P180</f>
        <v>-140407</v>
      </c>
      <c r="R182" s="198">
        <f t="shared" si="15"/>
        <v>5299210.3145264015</v>
      </c>
      <c r="T182" s="20">
        <f>WACC!$S$16</f>
        <v>8.1600000000000006E-2</v>
      </c>
      <c r="V182" s="16">
        <f t="shared" si="11"/>
        <v>36034.630138779532</v>
      </c>
      <c r="X182" s="17">
        <f t="shared" si="10"/>
        <v>54166.666666666664</v>
      </c>
      <c r="Z182" s="17">
        <f>(ROUND(F182*'Depr and ADFIT'!$C$4/12,0))</f>
        <v>321104</v>
      </c>
      <c r="AB182" s="17">
        <f>F182*'Alloc. Factors and Property Tax'!$E$24*'Alloc. Factors and Property Tax'!$E$25*'Alloc. Factors and Property Tax'!$E$26/12</f>
        <v>2866.2285551405798</v>
      </c>
      <c r="AD182" s="267">
        <f>Repayment!$AB$81/180</f>
        <v>111439.8075347611</v>
      </c>
      <c r="AF182" s="17">
        <f t="shared" si="14"/>
        <v>525611.33289534785</v>
      </c>
      <c r="AH182" s="21">
        <f>'Alloc. Factors and Property Tax'!$C$18</f>
        <v>0.9604166666666667</v>
      </c>
      <c r="AJ182" s="19">
        <f t="shared" si="12"/>
        <v>504805.88430157368</v>
      </c>
    </row>
    <row r="183" spans="2:36" x14ac:dyDescent="0.2">
      <c r="B183" s="23" t="s">
        <v>17</v>
      </c>
      <c r="D183" s="3">
        <v>2040</v>
      </c>
      <c r="F183" s="226">
        <f>'Depr and ADFIT'!$C$1</f>
        <v>57798518.958269402</v>
      </c>
      <c r="H183" s="14">
        <f>'Depr and ADFIT'!C181</f>
        <v>-56193200</v>
      </c>
      <c r="J183" s="227">
        <f>'Depr and ADFIT'!J181</f>
        <v>2866889</v>
      </c>
      <c r="L183" s="260">
        <f>'Depr and ADFIT'!$N$1</f>
        <v>20059165.356256999</v>
      </c>
      <c r="M183" s="261"/>
      <c r="N183" s="259">
        <f>'Depr and ADFIT'!N181</f>
        <v>-19502000</v>
      </c>
      <c r="O183" s="261"/>
      <c r="P183" s="262">
        <f>'Depr and ADFIT'!P181</f>
        <v>-117005</v>
      </c>
      <c r="R183" s="198">
        <f t="shared" si="15"/>
        <v>4912368.3145264015</v>
      </c>
      <c r="T183" s="20">
        <f>WACC!$S$16</f>
        <v>8.1600000000000006E-2</v>
      </c>
      <c r="V183" s="16">
        <f t="shared" si="11"/>
        <v>33404.104538779531</v>
      </c>
      <c r="X183" s="17">
        <f t="shared" si="10"/>
        <v>54166.666666666664</v>
      </c>
      <c r="Z183" s="17">
        <f>(ROUND(F183*'Depr and ADFIT'!$C$4/12,0))</f>
        <v>321104</v>
      </c>
      <c r="AB183" s="17">
        <f>F183*'Alloc. Factors and Property Tax'!$E$24*'Alloc. Factors and Property Tax'!$E$25*'Alloc. Factors and Property Tax'!$E$26/12</f>
        <v>2866.2285551405798</v>
      </c>
      <c r="AD183" s="267">
        <f>Repayment!$AB$81/180</f>
        <v>111439.8075347611</v>
      </c>
      <c r="AF183" s="17">
        <f t="shared" si="14"/>
        <v>522980.80729534785</v>
      </c>
      <c r="AH183" s="21">
        <f>'Alloc. Factors and Property Tax'!$C$18</f>
        <v>0.9604166666666667</v>
      </c>
      <c r="AJ183" s="19">
        <f t="shared" si="12"/>
        <v>502279.48367324035</v>
      </c>
    </row>
    <row r="184" spans="2:36" x14ac:dyDescent="0.2">
      <c r="B184" s="23" t="s">
        <v>18</v>
      </c>
      <c r="D184" s="3">
        <v>2040</v>
      </c>
      <c r="F184" s="226">
        <f>'Depr and ADFIT'!$C$1</f>
        <v>57798518.958269402</v>
      </c>
      <c r="H184" s="14">
        <f>'Depr and ADFIT'!C182</f>
        <v>-56514304</v>
      </c>
      <c r="J184" s="227">
        <f>'Depr and ADFIT'!J182</f>
        <v>2889189</v>
      </c>
      <c r="L184" s="260">
        <f>'Depr and ADFIT'!$N$1</f>
        <v>20059165.356256999</v>
      </c>
      <c r="M184" s="261"/>
      <c r="N184" s="259">
        <f>'Depr and ADFIT'!N182</f>
        <v>-19613440</v>
      </c>
      <c r="O184" s="261"/>
      <c r="P184" s="262">
        <f>'Depr and ADFIT'!P182</f>
        <v>-93602</v>
      </c>
      <c r="R184" s="198">
        <f t="shared" si="15"/>
        <v>4525527.3145264015</v>
      </c>
      <c r="T184" s="20">
        <f>WACC!$S$16</f>
        <v>8.1600000000000006E-2</v>
      </c>
      <c r="V184" s="16">
        <f t="shared" si="11"/>
        <v>30773.585738779529</v>
      </c>
      <c r="X184" s="17">
        <f t="shared" si="10"/>
        <v>54166.666666666664</v>
      </c>
      <c r="Z184" s="17">
        <f>(ROUND(F184*'Depr and ADFIT'!$C$4/12,0))</f>
        <v>321104</v>
      </c>
      <c r="AB184" s="17">
        <f>F184*'Alloc. Factors and Property Tax'!$E$24*'Alloc. Factors and Property Tax'!$E$25*'Alloc. Factors and Property Tax'!$E$26/12</f>
        <v>2866.2285551405798</v>
      </c>
      <c r="AD184" s="267">
        <f>Repayment!$AB$81/180</f>
        <v>111439.8075347611</v>
      </c>
      <c r="AF184" s="17">
        <f t="shared" si="14"/>
        <v>520350.28849534784</v>
      </c>
      <c r="AH184" s="21">
        <f>'Alloc. Factors and Property Tax'!$C$18</f>
        <v>0.9604166666666667</v>
      </c>
      <c r="AJ184" s="19">
        <f t="shared" si="12"/>
        <v>499753.08957574033</v>
      </c>
    </row>
    <row r="185" spans="2:36" x14ac:dyDescent="0.2">
      <c r="B185" s="23" t="s">
        <v>19</v>
      </c>
      <c r="D185" s="3">
        <v>2040</v>
      </c>
      <c r="F185" s="226">
        <f>'Depr and ADFIT'!$C$1</f>
        <v>57798518.958269402</v>
      </c>
      <c r="H185" s="14">
        <f>'Depr and ADFIT'!C183</f>
        <v>-56835408</v>
      </c>
      <c r="J185" s="227">
        <f>'Depr and ADFIT'!J183</f>
        <v>2911489</v>
      </c>
      <c r="L185" s="260">
        <f>'Depr and ADFIT'!$N$1</f>
        <v>20059165.356256999</v>
      </c>
      <c r="M185" s="261"/>
      <c r="N185" s="259">
        <f>'Depr and ADFIT'!N183</f>
        <v>-19724880</v>
      </c>
      <c r="O185" s="261"/>
      <c r="P185" s="262">
        <f>'Depr and ADFIT'!P183</f>
        <v>-70200</v>
      </c>
      <c r="R185" s="198">
        <f t="shared" si="15"/>
        <v>4138685.3145264015</v>
      </c>
      <c r="T185" s="20">
        <f>WACC!$S$16</f>
        <v>8.1600000000000006E-2</v>
      </c>
      <c r="V185" s="16">
        <f t="shared" si="11"/>
        <v>28143.060138779532</v>
      </c>
      <c r="X185" s="17">
        <f t="shared" si="10"/>
        <v>54166.666666666664</v>
      </c>
      <c r="Z185" s="17">
        <f>(ROUND(F185*'Depr and ADFIT'!$C$4/12,0))</f>
        <v>321104</v>
      </c>
      <c r="AB185" s="17">
        <f>F185*'Alloc. Factors and Property Tax'!$E$24*'Alloc. Factors and Property Tax'!$E$25*'Alloc. Factors and Property Tax'!$E$26/12</f>
        <v>2866.2285551405798</v>
      </c>
      <c r="AD185" s="267">
        <f>Repayment!$AB$81/180</f>
        <v>111439.8075347611</v>
      </c>
      <c r="AF185" s="17">
        <f t="shared" si="14"/>
        <v>517719.76289534784</v>
      </c>
      <c r="AH185" s="21">
        <f>'Alloc. Factors and Property Tax'!$C$18</f>
        <v>0.9604166666666667</v>
      </c>
      <c r="AJ185" s="19">
        <f t="shared" si="12"/>
        <v>497226.688947407</v>
      </c>
    </row>
    <row r="186" spans="2:36" x14ac:dyDescent="0.2">
      <c r="B186" s="23" t="s">
        <v>8</v>
      </c>
      <c r="D186" s="3">
        <v>2040</v>
      </c>
      <c r="F186" s="226">
        <f>'Depr and ADFIT'!$C$1</f>
        <v>57798518.958269402</v>
      </c>
      <c r="H186" s="14">
        <f>'Depr and ADFIT'!C184</f>
        <v>-57156512</v>
      </c>
      <c r="J186" s="227">
        <f>'Depr and ADFIT'!J184</f>
        <v>2933789</v>
      </c>
      <c r="L186" s="260">
        <f>'Depr and ADFIT'!$N$1</f>
        <v>20059165.356256999</v>
      </c>
      <c r="M186" s="261"/>
      <c r="N186" s="259">
        <f>'Depr and ADFIT'!N184</f>
        <v>-19836320</v>
      </c>
      <c r="O186" s="261"/>
      <c r="P186" s="262">
        <f>'Depr and ADFIT'!P184</f>
        <v>-46798</v>
      </c>
      <c r="R186" s="198">
        <f t="shared" si="15"/>
        <v>3751843.3145264015</v>
      </c>
      <c r="T186" s="20">
        <f>WACC!$S$16</f>
        <v>8.1600000000000006E-2</v>
      </c>
      <c r="V186" s="16">
        <f t="shared" si="11"/>
        <v>25512.534538779535</v>
      </c>
      <c r="X186" s="17">
        <f t="shared" si="10"/>
        <v>54166.666666666664</v>
      </c>
      <c r="Z186" s="17">
        <f>(ROUND(F186*'Depr and ADFIT'!$C$4/12,0))</f>
        <v>321104</v>
      </c>
      <c r="AB186" s="17">
        <f>F186*'Alloc. Factors and Property Tax'!$E$24*'Alloc. Factors and Property Tax'!$E$25*'Alloc. Factors and Property Tax'!$E$26/12</f>
        <v>2866.2285551405798</v>
      </c>
      <c r="AD186" s="267">
        <f>Repayment!$AB$81/180</f>
        <v>111439.8075347611</v>
      </c>
      <c r="AF186" s="17">
        <f t="shared" si="14"/>
        <v>515089.23729534785</v>
      </c>
      <c r="AH186" s="21">
        <f>'Alloc. Factors and Property Tax'!$C$18</f>
        <v>0.9604166666666667</v>
      </c>
      <c r="AJ186" s="19">
        <f t="shared" si="12"/>
        <v>494700.28831907368</v>
      </c>
    </row>
    <row r="187" spans="2:36" x14ac:dyDescent="0.2">
      <c r="B187" s="23" t="s">
        <v>9</v>
      </c>
      <c r="D187" s="3">
        <v>2040</v>
      </c>
      <c r="F187" s="226">
        <f>'Depr and ADFIT'!$C$1</f>
        <v>57798518.958269402</v>
      </c>
      <c r="H187" s="14">
        <f>'Depr and ADFIT'!C185</f>
        <v>-57477616</v>
      </c>
      <c r="J187" s="227">
        <f>'Depr and ADFIT'!J185</f>
        <v>2956088</v>
      </c>
      <c r="L187" s="260">
        <f>'Depr and ADFIT'!$N$1</f>
        <v>20059165.356256999</v>
      </c>
      <c r="M187" s="261"/>
      <c r="N187" s="259">
        <f>'Depr and ADFIT'!N185</f>
        <v>-19947760</v>
      </c>
      <c r="O187" s="261"/>
      <c r="P187" s="262">
        <f>'Depr and ADFIT'!P185</f>
        <v>-23395</v>
      </c>
      <c r="R187" s="198">
        <f t="shared" si="15"/>
        <v>3365001.3145264015</v>
      </c>
      <c r="T187" s="20">
        <f>WACC!$S$16</f>
        <v>8.1600000000000006E-2</v>
      </c>
      <c r="V187" s="16">
        <f t="shared" si="11"/>
        <v>22882.008938779531</v>
      </c>
      <c r="X187" s="17">
        <f t="shared" si="10"/>
        <v>54166.666666666664</v>
      </c>
      <c r="Z187" s="17">
        <f>(ROUND(F187*'Depr and ADFIT'!$C$4/12,0))</f>
        <v>321104</v>
      </c>
      <c r="AB187" s="17">
        <f>F187*'Alloc. Factors and Property Tax'!$E$24*'Alloc. Factors and Property Tax'!$E$25*'Alloc. Factors and Property Tax'!$E$26/12</f>
        <v>2866.2285551405798</v>
      </c>
      <c r="AD187" s="267">
        <f>Repayment!$AB$81/180</f>
        <v>111439.8075347611</v>
      </c>
      <c r="AF187" s="17">
        <f t="shared" si="14"/>
        <v>512458.71169534785</v>
      </c>
      <c r="AH187" s="21">
        <f>'Alloc. Factors and Property Tax'!$C$18</f>
        <v>0.9604166666666667</v>
      </c>
      <c r="AJ187" s="19">
        <f t="shared" si="12"/>
        <v>492173.88769074035</v>
      </c>
    </row>
    <row r="188" spans="2:36" x14ac:dyDescent="0.2">
      <c r="B188" s="23" t="s">
        <v>10</v>
      </c>
      <c r="D188" s="3">
        <v>2040</v>
      </c>
      <c r="F188" s="228">
        <f>'Depr and ADFIT'!$C$1</f>
        <v>57798518.958269402</v>
      </c>
      <c r="G188" s="181"/>
      <c r="H188" s="183">
        <f>'Depr and ADFIT'!C186</f>
        <v>-57798720</v>
      </c>
      <c r="I188" s="181"/>
      <c r="J188" s="229">
        <f>'Depr and ADFIT'!J186</f>
        <v>2978388</v>
      </c>
      <c r="L188" s="263">
        <f>'Depr and ADFIT'!$N$1</f>
        <v>20059165.356256999</v>
      </c>
      <c r="M188" s="264"/>
      <c r="N188" s="265">
        <f>'Depr and ADFIT'!N186</f>
        <v>-20059200</v>
      </c>
      <c r="O188" s="264"/>
      <c r="P188" s="266">
        <f>'Depr and ADFIT'!P186</f>
        <v>7</v>
      </c>
      <c r="R188" s="198">
        <f t="shared" si="15"/>
        <v>2978159.3145264015</v>
      </c>
      <c r="T188" s="20">
        <f>WACC!$S$16</f>
        <v>8.1600000000000006E-2</v>
      </c>
      <c r="V188" s="16">
        <f t="shared" si="11"/>
        <v>20251.483338779533</v>
      </c>
      <c r="X188" s="17">
        <f t="shared" si="10"/>
        <v>54166.666666666664</v>
      </c>
      <c r="Z188" s="17">
        <f>(ROUND(F188*'Depr and ADFIT'!$C$4/12,0))</f>
        <v>321104</v>
      </c>
      <c r="AB188" s="17">
        <f>F188*'Alloc. Factors and Property Tax'!$E$24*'Alloc. Factors and Property Tax'!$E$25*'Alloc. Factors and Property Tax'!$E$26/12</f>
        <v>2866.2285551405798</v>
      </c>
      <c r="AD188" s="267">
        <f>Repayment!$AB$81/180</f>
        <v>111439.8075347611</v>
      </c>
      <c r="AF188" s="17">
        <f t="shared" si="14"/>
        <v>509828.1860953478</v>
      </c>
      <c r="AH188" s="21">
        <f>'Alloc. Factors and Property Tax'!$C$18</f>
        <v>0.9604166666666667</v>
      </c>
      <c r="AJ188" s="19">
        <f t="shared" si="12"/>
        <v>489647.48706240696</v>
      </c>
    </row>
    <row r="189" spans="2:36" x14ac:dyDescent="0.2">
      <c r="AJ189" s="42"/>
    </row>
  </sheetData>
  <mergeCells count="20">
    <mergeCell ref="B1:AJ2"/>
    <mergeCell ref="AD4:AD6"/>
    <mergeCell ref="AF4:AF6"/>
    <mergeCell ref="AJ4:AJ6"/>
    <mergeCell ref="AH4:AH6"/>
    <mergeCell ref="Z5:Z6"/>
    <mergeCell ref="B5:B6"/>
    <mergeCell ref="F5:F6"/>
    <mergeCell ref="H5:H6"/>
    <mergeCell ref="J5:J6"/>
    <mergeCell ref="R5:R6"/>
    <mergeCell ref="T5:T6"/>
    <mergeCell ref="V5:V6"/>
    <mergeCell ref="X5:X6"/>
    <mergeCell ref="AB5:AB6"/>
    <mergeCell ref="L5:L6"/>
    <mergeCell ref="P5:P6"/>
    <mergeCell ref="N5:N6"/>
    <mergeCell ref="F4:J4"/>
    <mergeCell ref="L4:P4"/>
  </mergeCells>
  <phoneticPr fontId="12" type="noConversion"/>
  <pageMargins left="0.7" right="0.7" top="0.75" bottom="0.75" header="0.3" footer="0.3"/>
  <pageSetup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C131C-0EA3-4281-A5F1-DE2D2991C4E9}">
  <sheetPr>
    <pageSetUpPr fitToPage="1"/>
  </sheetPr>
  <dimension ref="B1:AF82"/>
  <sheetViews>
    <sheetView zoomScale="81" zoomScaleNormal="100" workbookViewId="0">
      <selection activeCell="AB81" sqref="AB81"/>
    </sheetView>
  </sheetViews>
  <sheetFormatPr defaultColWidth="8.85546875" defaultRowHeight="12.75" x14ac:dyDescent="0.2"/>
  <cols>
    <col min="1" max="1" width="1.7109375" style="3" customWidth="1"/>
    <col min="2" max="2" width="10.140625" style="3" customWidth="1"/>
    <col min="3" max="3" width="2.5703125" style="3" customWidth="1"/>
    <col min="4" max="4" width="8.140625" style="3" customWidth="1"/>
    <col min="5" max="5" width="2.5703125" style="3" customWidth="1"/>
    <col min="6" max="6" width="17.7109375" style="3" customWidth="1"/>
    <col min="7" max="7" width="2.5703125" style="3" customWidth="1"/>
    <col min="8" max="8" width="14" style="3" customWidth="1"/>
    <col min="9" max="9" width="2.5703125" style="3" customWidth="1"/>
    <col min="10" max="10" width="12.42578125" style="3" customWidth="1"/>
    <col min="11" max="11" width="2.5703125" style="3" customWidth="1"/>
    <col min="12" max="12" width="14" style="3" customWidth="1"/>
    <col min="13" max="13" width="2.5703125" style="3" customWidth="1"/>
    <col min="14" max="14" width="14.5703125" style="3" customWidth="1"/>
    <col min="15" max="15" width="2.5703125" style="3" customWidth="1"/>
    <col min="16" max="16" width="14.5703125" style="3" customWidth="1"/>
    <col min="17" max="17" width="2.5703125" style="3" customWidth="1"/>
    <col min="18" max="18" width="11.7109375" style="3" customWidth="1"/>
    <col min="19" max="19" width="2.5703125" style="3" customWidth="1"/>
    <col min="20" max="20" width="12.140625" style="3" customWidth="1"/>
    <col min="21" max="21" width="2.5703125" style="3" customWidth="1"/>
    <col min="22" max="22" width="12.140625" style="3" customWidth="1"/>
    <col min="23" max="23" width="2.5703125" style="3" customWidth="1"/>
    <col min="24" max="24" width="12.140625" style="3" customWidth="1"/>
    <col min="25" max="25" width="2.5703125" style="3" customWidth="1"/>
    <col min="26" max="26" width="14.5703125" style="3" customWidth="1"/>
    <col min="27" max="27" width="2.5703125" style="3" customWidth="1"/>
    <col min="28" max="28" width="12.28515625" style="3" customWidth="1"/>
    <col min="29" max="29" width="2.140625" style="3" customWidth="1"/>
    <col min="30" max="30" width="13.85546875" style="3" bestFit="1" customWidth="1"/>
    <col min="31" max="31" width="15.42578125" style="3" bestFit="1" customWidth="1"/>
    <col min="32" max="32" width="12" style="3" bestFit="1" customWidth="1"/>
    <col min="33" max="16384" width="8.85546875" style="3"/>
  </cols>
  <sheetData>
    <row r="1" spans="2:31" ht="14.25" x14ac:dyDescent="0.2">
      <c r="B1" s="387" t="s">
        <v>201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  <c r="AC1" s="195"/>
    </row>
    <row r="2" spans="2:31" ht="15" thickBot="1" x14ac:dyDescent="0.25"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  <c r="AC2" s="195"/>
    </row>
    <row r="3" spans="2:31" x14ac:dyDescent="0.2">
      <c r="B3" s="13"/>
    </row>
    <row r="4" spans="2:31" ht="12.75" customHeight="1" x14ac:dyDescent="0.2">
      <c r="B4" s="3" t="s">
        <v>0</v>
      </c>
      <c r="T4" s="201">
        <v>5.7099999999999998E-2</v>
      </c>
      <c r="Z4" s="377" t="s">
        <v>51</v>
      </c>
      <c r="AB4" s="391">
        <v>0.5</v>
      </c>
    </row>
    <row r="5" spans="2:31" ht="24" customHeight="1" x14ac:dyDescent="0.2">
      <c r="B5" s="377" t="s">
        <v>22</v>
      </c>
      <c r="C5" s="4"/>
      <c r="E5" s="4"/>
      <c r="F5" s="377" t="s">
        <v>195</v>
      </c>
      <c r="G5" s="4"/>
      <c r="H5" s="377" t="s">
        <v>1</v>
      </c>
      <c r="J5" s="377" t="s">
        <v>2</v>
      </c>
      <c r="L5" s="377" t="s">
        <v>193</v>
      </c>
      <c r="N5" s="377" t="s">
        <v>3</v>
      </c>
      <c r="P5" s="377" t="s">
        <v>194</v>
      </c>
      <c r="R5" s="377" t="s">
        <v>4</v>
      </c>
      <c r="T5" s="377" t="s">
        <v>23</v>
      </c>
      <c r="U5" s="5"/>
      <c r="V5" s="377" t="s">
        <v>197</v>
      </c>
      <c r="W5" s="5"/>
      <c r="X5" s="377" t="s">
        <v>196</v>
      </c>
      <c r="Y5" s="5"/>
      <c r="Z5" s="377"/>
      <c r="AB5" s="377"/>
      <c r="AE5" s="192"/>
    </row>
    <row r="6" spans="2:31" s="7" customFormat="1" ht="14.25" customHeight="1" x14ac:dyDescent="0.2">
      <c r="B6" s="377"/>
      <c r="C6" s="6"/>
      <c r="D6" s="6" t="s">
        <v>7</v>
      </c>
      <c r="E6" s="6"/>
      <c r="F6" s="377"/>
      <c r="G6" s="6"/>
      <c r="H6" s="377"/>
      <c r="J6" s="377"/>
      <c r="L6" s="377"/>
      <c r="N6" s="377"/>
      <c r="P6" s="377"/>
      <c r="R6" s="377"/>
      <c r="T6" s="377"/>
      <c r="U6" s="5"/>
      <c r="V6" s="377"/>
      <c r="W6" s="5"/>
      <c r="X6" s="377"/>
      <c r="Y6" s="5"/>
      <c r="Z6" s="377"/>
      <c r="AB6" s="377"/>
      <c r="AD6" s="3"/>
      <c r="AE6" s="194"/>
    </row>
    <row r="7" spans="2:31" s="8" customFormat="1" ht="16.5" customHeight="1" x14ac:dyDescent="0.2">
      <c r="B7" s="191">
        <v>-1</v>
      </c>
      <c r="C7" s="191" t="s">
        <v>0</v>
      </c>
      <c r="D7" s="191">
        <f>B7-1</f>
        <v>-2</v>
      </c>
      <c r="E7" s="191" t="s">
        <v>0</v>
      </c>
      <c r="F7" s="191">
        <f>D7-1</f>
        <v>-3</v>
      </c>
      <c r="G7" s="191" t="s">
        <v>0</v>
      </c>
      <c r="H7" s="191">
        <f>F7-1</f>
        <v>-4</v>
      </c>
      <c r="I7" s="191" t="s">
        <v>0</v>
      </c>
      <c r="J7" s="191">
        <f>H7-1</f>
        <v>-5</v>
      </c>
      <c r="K7" s="191" t="s">
        <v>0</v>
      </c>
      <c r="L7" s="191">
        <f>J7-1</f>
        <v>-6</v>
      </c>
      <c r="M7" s="191" t="s">
        <v>0</v>
      </c>
      <c r="N7" s="191">
        <f>L7-1</f>
        <v>-7</v>
      </c>
      <c r="O7" s="191" t="s">
        <v>0</v>
      </c>
      <c r="P7" s="191">
        <f>N7-1</f>
        <v>-8</v>
      </c>
      <c r="Q7" s="191" t="s">
        <v>0</v>
      </c>
      <c r="R7" s="191">
        <f>P7-1</f>
        <v>-9</v>
      </c>
      <c r="S7" s="191" t="s">
        <v>0</v>
      </c>
      <c r="T7" s="191">
        <f>R7-1</f>
        <v>-10</v>
      </c>
      <c r="U7" s="191" t="s">
        <v>0</v>
      </c>
      <c r="V7" s="191">
        <f>T7-1</f>
        <v>-11</v>
      </c>
      <c r="W7" s="191" t="s">
        <v>0</v>
      </c>
      <c r="X7" s="191">
        <f>V7-1</f>
        <v>-12</v>
      </c>
      <c r="Y7" s="191" t="s">
        <v>0</v>
      </c>
      <c r="Z7" s="191">
        <f>X7-1</f>
        <v>-13</v>
      </c>
      <c r="AA7" s="191" t="s">
        <v>0</v>
      </c>
      <c r="AB7" s="191">
        <f>Z7-1</f>
        <v>-14</v>
      </c>
      <c r="AD7" s="3"/>
    </row>
    <row r="8" spans="2:31" x14ac:dyDescent="0.2">
      <c r="B8" s="23" t="s">
        <v>10</v>
      </c>
      <c r="C8" s="4"/>
      <c r="D8" s="3">
        <v>2019</v>
      </c>
      <c r="E8" s="4"/>
      <c r="F8" s="198">
        <v>0</v>
      </c>
      <c r="G8" s="4"/>
      <c r="H8" s="197">
        <v>0</v>
      </c>
      <c r="J8" s="197">
        <v>0</v>
      </c>
      <c r="L8" s="200">
        <v>170495.58999999997</v>
      </c>
      <c r="N8" s="198">
        <f>SUM(F8:L8)</f>
        <v>170495.58999999997</v>
      </c>
      <c r="P8" s="20">
        <v>5.8602364517541137E-3</v>
      </c>
      <c r="R8" s="16">
        <v>0</v>
      </c>
      <c r="T8" s="193">
        <f t="shared" ref="T8:T39" si="0">F7*($T$4/12)</f>
        <v>-1.4274999999999999E-2</v>
      </c>
      <c r="U8" s="17"/>
      <c r="V8" s="17">
        <v>0</v>
      </c>
      <c r="W8" s="17"/>
      <c r="X8" s="17">
        <v>0</v>
      </c>
      <c r="Y8" s="17"/>
      <c r="Z8" s="17">
        <f t="shared" ref="Z8:Z39" si="1">SUM(R8:X8)</f>
        <v>-1.4274999999999999E-2</v>
      </c>
      <c r="AB8" s="19">
        <f>Z8/2</f>
        <v>-7.1374999999999997E-3</v>
      </c>
    </row>
    <row r="9" spans="2:31" x14ac:dyDescent="0.2">
      <c r="B9" s="23" t="s">
        <v>11</v>
      </c>
      <c r="C9" s="4"/>
      <c r="D9" s="3">
        <v>2020</v>
      </c>
      <c r="E9" s="4"/>
      <c r="F9" s="198">
        <v>0</v>
      </c>
      <c r="G9" s="4"/>
      <c r="H9" s="197">
        <v>0</v>
      </c>
      <c r="J9" s="197">
        <v>0</v>
      </c>
      <c r="L9" s="200">
        <v>494682.23000000004</v>
      </c>
      <c r="N9" s="198">
        <f>SUM(F9:L9)</f>
        <v>494682.23000000004</v>
      </c>
      <c r="P9" s="20">
        <v>5.8602364517541137E-3</v>
      </c>
      <c r="R9" s="16">
        <f>N8*P9</f>
        <v>999.14447138132391</v>
      </c>
      <c r="T9" s="193">
        <f t="shared" si="0"/>
        <v>0</v>
      </c>
      <c r="U9" s="17"/>
      <c r="V9" s="17">
        <v>0</v>
      </c>
      <c r="W9" s="17"/>
      <c r="X9" s="17">
        <v>0</v>
      </c>
      <c r="Y9" s="17"/>
      <c r="Z9" s="17">
        <f t="shared" si="1"/>
        <v>999.14447138132391</v>
      </c>
      <c r="AB9" s="19">
        <f t="shared" ref="AB9:AB72" si="2">Z9/2</f>
        <v>499.57223569066196</v>
      </c>
    </row>
    <row r="10" spans="2:31" x14ac:dyDescent="0.2">
      <c r="B10" s="23" t="s">
        <v>12</v>
      </c>
      <c r="C10" s="4"/>
      <c r="D10" s="3">
        <v>2020</v>
      </c>
      <c r="E10" s="4"/>
      <c r="F10" s="198">
        <v>0</v>
      </c>
      <c r="G10" s="4"/>
      <c r="H10" s="197">
        <v>0</v>
      </c>
      <c r="J10" s="197">
        <v>0</v>
      </c>
      <c r="L10" s="200">
        <v>621475.8600000001</v>
      </c>
      <c r="N10" s="198">
        <f t="shared" ref="N10:N73" si="3">SUM(F10:L10)</f>
        <v>621475.8600000001</v>
      </c>
      <c r="P10" s="20">
        <v>5.8602364517541137E-3</v>
      </c>
      <c r="R10" s="16">
        <f t="shared" ref="R10:R73" si="4">N9*P10</f>
        <v>2898.9548362810128</v>
      </c>
      <c r="T10" s="193">
        <f t="shared" si="0"/>
        <v>0</v>
      </c>
      <c r="U10" s="17"/>
      <c r="V10" s="17">
        <v>0</v>
      </c>
      <c r="W10" s="17"/>
      <c r="X10" s="17">
        <v>0</v>
      </c>
      <c r="Y10" s="17"/>
      <c r="Z10" s="17">
        <f t="shared" si="1"/>
        <v>2898.9548362810128</v>
      </c>
      <c r="AB10" s="19">
        <f t="shared" si="2"/>
        <v>1449.4774181405064</v>
      </c>
    </row>
    <row r="11" spans="2:31" x14ac:dyDescent="0.2">
      <c r="B11" s="23" t="s">
        <v>13</v>
      </c>
      <c r="C11" s="4"/>
      <c r="D11" s="3">
        <v>2020</v>
      </c>
      <c r="E11" s="4"/>
      <c r="F11" s="198">
        <v>0</v>
      </c>
      <c r="G11" s="4"/>
      <c r="H11" s="197">
        <v>0</v>
      </c>
      <c r="J11" s="197">
        <v>0</v>
      </c>
      <c r="L11" s="200">
        <v>824780.43</v>
      </c>
      <c r="N11" s="198">
        <f t="shared" si="3"/>
        <v>824780.43</v>
      </c>
      <c r="P11" s="20">
        <v>5.8602364517541137E-3</v>
      </c>
      <c r="R11" s="16">
        <f t="shared" si="4"/>
        <v>3641.9954886572368</v>
      </c>
      <c r="T11" s="193">
        <f t="shared" si="0"/>
        <v>0</v>
      </c>
      <c r="U11" s="17"/>
      <c r="V11" s="17">
        <v>0</v>
      </c>
      <c r="W11" s="17"/>
      <c r="X11" s="17">
        <v>0</v>
      </c>
      <c r="Y11" s="17"/>
      <c r="Z11" s="17">
        <f t="shared" si="1"/>
        <v>3641.9954886572368</v>
      </c>
      <c r="AB11" s="19">
        <f t="shared" si="2"/>
        <v>1820.9977443286184</v>
      </c>
    </row>
    <row r="12" spans="2:31" x14ac:dyDescent="0.2">
      <c r="B12" s="23" t="s">
        <v>14</v>
      </c>
      <c r="C12" s="4"/>
      <c r="D12" s="3">
        <v>2020</v>
      </c>
      <c r="E12" s="4"/>
      <c r="F12" s="198">
        <v>0</v>
      </c>
      <c r="G12" s="4"/>
      <c r="H12" s="197">
        <v>0</v>
      </c>
      <c r="J12" s="197">
        <v>0</v>
      </c>
      <c r="L12" s="200">
        <v>1023744.24</v>
      </c>
      <c r="N12" s="198">
        <f t="shared" si="3"/>
        <v>1023744.24</v>
      </c>
      <c r="P12" s="20">
        <v>5.8602364517541137E-3</v>
      </c>
      <c r="R12" s="16">
        <f t="shared" si="4"/>
        <v>4833.4083405794327</v>
      </c>
      <c r="T12" s="193">
        <f t="shared" si="0"/>
        <v>0</v>
      </c>
      <c r="U12" s="17"/>
      <c r="V12" s="17">
        <v>0</v>
      </c>
      <c r="W12" s="17"/>
      <c r="X12" s="17">
        <v>0</v>
      </c>
      <c r="Y12" s="17"/>
      <c r="Z12" s="17">
        <f t="shared" si="1"/>
        <v>4833.4083405794327</v>
      </c>
      <c r="AB12" s="19">
        <f t="shared" si="2"/>
        <v>2416.7041702897163</v>
      </c>
    </row>
    <row r="13" spans="2:31" x14ac:dyDescent="0.2">
      <c r="B13" s="23" t="s">
        <v>15</v>
      </c>
      <c r="C13" s="4"/>
      <c r="D13" s="3">
        <v>2020</v>
      </c>
      <c r="E13" s="4"/>
      <c r="F13" s="198">
        <v>0</v>
      </c>
      <c r="G13" s="4"/>
      <c r="H13" s="197">
        <v>0</v>
      </c>
      <c r="J13" s="197">
        <v>0</v>
      </c>
      <c r="L13" s="200">
        <v>1112039.18</v>
      </c>
      <c r="N13" s="198">
        <f t="shared" si="3"/>
        <v>1112039.18</v>
      </c>
      <c r="P13" s="20">
        <v>5.8602364517541137E-3</v>
      </c>
      <c r="R13" s="16">
        <f t="shared" si="4"/>
        <v>5999.3833125213114</v>
      </c>
      <c r="T13" s="193">
        <f t="shared" si="0"/>
        <v>0</v>
      </c>
      <c r="U13" s="17"/>
      <c r="V13" s="17">
        <v>0</v>
      </c>
      <c r="W13" s="17"/>
      <c r="X13" s="17">
        <v>0</v>
      </c>
      <c r="Y13" s="17"/>
      <c r="Z13" s="17">
        <f t="shared" si="1"/>
        <v>5999.3833125213114</v>
      </c>
      <c r="AB13" s="19">
        <f t="shared" si="2"/>
        <v>2999.6916562606557</v>
      </c>
    </row>
    <row r="14" spans="2:31" x14ac:dyDescent="0.2">
      <c r="B14" s="23" t="s">
        <v>16</v>
      </c>
      <c r="C14" s="4"/>
      <c r="D14" s="3">
        <v>2020</v>
      </c>
      <c r="E14" s="4"/>
      <c r="F14" s="198">
        <v>0</v>
      </c>
      <c r="G14" s="4"/>
      <c r="H14" s="197">
        <v>0</v>
      </c>
      <c r="J14" s="197">
        <v>0</v>
      </c>
      <c r="L14" s="200">
        <v>1199717.7299999997</v>
      </c>
      <c r="N14" s="198">
        <f t="shared" si="3"/>
        <v>1199717.7299999997</v>
      </c>
      <c r="P14" s="20">
        <v>5.8602364517541137E-3</v>
      </c>
      <c r="R14" s="16">
        <f t="shared" si="4"/>
        <v>6516.8125384147534</v>
      </c>
      <c r="T14" s="193">
        <f t="shared" si="0"/>
        <v>0</v>
      </c>
      <c r="U14" s="17"/>
      <c r="V14" s="17">
        <v>0</v>
      </c>
      <c r="W14" s="17"/>
      <c r="X14" s="17">
        <v>0</v>
      </c>
      <c r="Y14" s="17"/>
      <c r="Z14" s="17">
        <f t="shared" si="1"/>
        <v>6516.8125384147534</v>
      </c>
      <c r="AB14" s="19">
        <f t="shared" si="2"/>
        <v>3258.4062692073767</v>
      </c>
    </row>
    <row r="15" spans="2:31" x14ac:dyDescent="0.2">
      <c r="B15" s="23" t="s">
        <v>17</v>
      </c>
      <c r="C15" s="4"/>
      <c r="D15" s="3">
        <v>2020</v>
      </c>
      <c r="E15" s="4"/>
      <c r="F15" s="198">
        <v>0</v>
      </c>
      <c r="G15" s="4"/>
      <c r="H15" s="197">
        <v>0</v>
      </c>
      <c r="J15" s="197">
        <v>0</v>
      </c>
      <c r="L15" s="200">
        <v>1264285.2400000002</v>
      </c>
      <c r="N15" s="198">
        <f t="shared" si="3"/>
        <v>1264285.2400000002</v>
      </c>
      <c r="P15" s="20">
        <v>5.8602364517541137E-3</v>
      </c>
      <c r="R15" s="16">
        <f t="shared" si="4"/>
        <v>7030.6295731616983</v>
      </c>
      <c r="T15" s="193">
        <f t="shared" si="0"/>
        <v>0</v>
      </c>
      <c r="U15" s="17"/>
      <c r="V15" s="17">
        <v>0</v>
      </c>
      <c r="W15" s="17"/>
      <c r="X15" s="17">
        <v>0</v>
      </c>
      <c r="Y15" s="17"/>
      <c r="Z15" s="17">
        <f t="shared" si="1"/>
        <v>7030.6295731616983</v>
      </c>
      <c r="AB15" s="19">
        <f t="shared" si="2"/>
        <v>3515.3147865808492</v>
      </c>
    </row>
    <row r="16" spans="2:31" x14ac:dyDescent="0.2">
      <c r="B16" s="23" t="s">
        <v>18</v>
      </c>
      <c r="C16" s="4"/>
      <c r="D16" s="3">
        <v>2020</v>
      </c>
      <c r="E16" s="4"/>
      <c r="F16" s="198">
        <v>0</v>
      </c>
      <c r="G16" s="4"/>
      <c r="H16" s="197">
        <v>0</v>
      </c>
      <c r="J16" s="197">
        <v>0</v>
      </c>
      <c r="L16" s="200">
        <v>1313596.76</v>
      </c>
      <c r="N16" s="198">
        <f t="shared" si="3"/>
        <v>1313596.76</v>
      </c>
      <c r="P16" s="20">
        <v>5.8602364517541137E-3</v>
      </c>
      <c r="R16" s="16">
        <f t="shared" si="4"/>
        <v>7409.0104488626994</v>
      </c>
      <c r="T16" s="193">
        <f t="shared" si="0"/>
        <v>0</v>
      </c>
      <c r="U16" s="17"/>
      <c r="V16" s="17">
        <v>0</v>
      </c>
      <c r="W16" s="17"/>
      <c r="X16" s="17">
        <v>0</v>
      </c>
      <c r="Y16" s="17"/>
      <c r="Z16" s="17">
        <f t="shared" si="1"/>
        <v>7409.0104488626994</v>
      </c>
      <c r="AB16" s="19">
        <f t="shared" si="2"/>
        <v>3704.5052244313497</v>
      </c>
    </row>
    <row r="17" spans="2:28" x14ac:dyDescent="0.2">
      <c r="B17" s="23" t="s">
        <v>19</v>
      </c>
      <c r="C17" s="4"/>
      <c r="D17" s="3">
        <v>2020</v>
      </c>
      <c r="E17" s="4"/>
      <c r="F17" s="198">
        <v>0</v>
      </c>
      <c r="G17" s="4"/>
      <c r="H17" s="197">
        <v>0</v>
      </c>
      <c r="J17" s="197">
        <v>0</v>
      </c>
      <c r="L17" s="200">
        <v>1373996.69</v>
      </c>
      <c r="N17" s="198">
        <f t="shared" si="3"/>
        <v>1373996.69</v>
      </c>
      <c r="P17" s="20">
        <v>5.8602364517541137E-3</v>
      </c>
      <c r="R17" s="16">
        <f t="shared" si="4"/>
        <v>7697.9876158581001</v>
      </c>
      <c r="T17" s="193">
        <f t="shared" si="0"/>
        <v>0</v>
      </c>
      <c r="U17" s="17"/>
      <c r="V17" s="17">
        <v>0</v>
      </c>
      <c r="W17" s="17"/>
      <c r="X17" s="17">
        <v>0</v>
      </c>
      <c r="Y17" s="17"/>
      <c r="Z17" s="17">
        <f t="shared" si="1"/>
        <v>7697.9876158581001</v>
      </c>
      <c r="AB17" s="19">
        <f t="shared" si="2"/>
        <v>3848.99380792905</v>
      </c>
    </row>
    <row r="18" spans="2:28" x14ac:dyDescent="0.2">
      <c r="B18" s="23" t="s">
        <v>8</v>
      </c>
      <c r="C18" s="4"/>
      <c r="D18" s="3">
        <v>2020</v>
      </c>
      <c r="E18" s="4"/>
      <c r="F18" s="198">
        <v>0</v>
      </c>
      <c r="G18" s="4"/>
      <c r="H18" s="197">
        <v>0</v>
      </c>
      <c r="J18" s="197">
        <v>0</v>
      </c>
      <c r="L18" s="200">
        <v>1440445.6199999999</v>
      </c>
      <c r="N18" s="198">
        <f t="shared" si="3"/>
        <v>1440445.6199999999</v>
      </c>
      <c r="P18" s="20">
        <v>5.8602364517541137E-3</v>
      </c>
      <c r="R18" s="16">
        <f t="shared" si="4"/>
        <v>8051.9454873274963</v>
      </c>
      <c r="T18" s="193">
        <f t="shared" si="0"/>
        <v>0</v>
      </c>
      <c r="U18" s="17"/>
      <c r="V18" s="17">
        <v>0</v>
      </c>
      <c r="W18" s="17"/>
      <c r="X18" s="17">
        <v>0</v>
      </c>
      <c r="Y18" s="17"/>
      <c r="Z18" s="17">
        <f t="shared" si="1"/>
        <v>8051.9454873274963</v>
      </c>
      <c r="AB18" s="19">
        <f t="shared" si="2"/>
        <v>4025.9727436637481</v>
      </c>
    </row>
    <row r="19" spans="2:28" x14ac:dyDescent="0.2">
      <c r="B19" s="23" t="s">
        <v>9</v>
      </c>
      <c r="C19" s="4"/>
      <c r="D19" s="3">
        <v>2020</v>
      </c>
      <c r="E19" s="4"/>
      <c r="F19" s="198">
        <v>0</v>
      </c>
      <c r="G19" s="4"/>
      <c r="H19" s="197">
        <v>0</v>
      </c>
      <c r="J19" s="197">
        <v>0</v>
      </c>
      <c r="L19" s="200">
        <v>1518414.6700000002</v>
      </c>
      <c r="N19" s="198">
        <f t="shared" si="3"/>
        <v>1518414.6700000002</v>
      </c>
      <c r="P19" s="20">
        <v>5.8602364517541137E-3</v>
      </c>
      <c r="R19" s="16">
        <f t="shared" si="4"/>
        <v>8441.3519290935528</v>
      </c>
      <c r="T19" s="193">
        <f t="shared" si="0"/>
        <v>0</v>
      </c>
      <c r="U19" s="17"/>
      <c r="V19" s="17">
        <v>0</v>
      </c>
      <c r="W19" s="17"/>
      <c r="X19" s="17">
        <v>0</v>
      </c>
      <c r="Y19" s="17"/>
      <c r="Z19" s="17">
        <f t="shared" si="1"/>
        <v>8441.3519290935528</v>
      </c>
      <c r="AB19" s="19">
        <f t="shared" si="2"/>
        <v>4220.6759645467764</v>
      </c>
    </row>
    <row r="20" spans="2:28" x14ac:dyDescent="0.2">
      <c r="B20" s="23" t="s">
        <v>10</v>
      </c>
      <c r="C20" s="16"/>
      <c r="D20" s="3">
        <v>2020</v>
      </c>
      <c r="E20" s="16"/>
      <c r="F20" s="198">
        <v>0</v>
      </c>
      <c r="G20" s="16"/>
      <c r="H20" s="197">
        <v>0</v>
      </c>
      <c r="J20" s="197">
        <v>0</v>
      </c>
      <c r="L20" s="200">
        <v>1513036.4900000002</v>
      </c>
      <c r="N20" s="198">
        <f t="shared" si="3"/>
        <v>1513036.4900000002</v>
      </c>
      <c r="P20" s="20">
        <v>5.8602364517541137E-3</v>
      </c>
      <c r="R20" s="16">
        <f t="shared" si="4"/>
        <v>8898.2689980121941</v>
      </c>
      <c r="T20" s="193">
        <f t="shared" si="0"/>
        <v>0</v>
      </c>
      <c r="U20" s="17"/>
      <c r="V20" s="17">
        <v>0</v>
      </c>
      <c r="W20" s="17"/>
      <c r="X20" s="17">
        <v>0</v>
      </c>
      <c r="Y20" s="17"/>
      <c r="Z20" s="17">
        <f t="shared" si="1"/>
        <v>8898.2689980121941</v>
      </c>
      <c r="AB20" s="19">
        <f t="shared" si="2"/>
        <v>4449.134499006097</v>
      </c>
    </row>
    <row r="21" spans="2:28" x14ac:dyDescent="0.2">
      <c r="B21" s="23" t="s">
        <v>11</v>
      </c>
      <c r="C21" s="4"/>
      <c r="D21" s="3">
        <v>2021</v>
      </c>
      <c r="E21" s="4"/>
      <c r="F21" s="198">
        <v>0</v>
      </c>
      <c r="G21" s="4"/>
      <c r="H21" s="197">
        <v>0</v>
      </c>
      <c r="J21" s="197">
        <v>0</v>
      </c>
      <c r="L21" s="200">
        <v>1698193.9700000009</v>
      </c>
      <c r="N21" s="198">
        <f t="shared" si="3"/>
        <v>1698193.9700000009</v>
      </c>
      <c r="P21" s="20">
        <v>5.8602364517541137E-3</v>
      </c>
      <c r="R21" s="16">
        <f t="shared" si="4"/>
        <v>8866.7515915321001</v>
      </c>
      <c r="T21" s="193">
        <f t="shared" si="0"/>
        <v>0</v>
      </c>
      <c r="U21" s="17"/>
      <c r="V21" s="17">
        <v>0</v>
      </c>
      <c r="W21" s="17"/>
      <c r="X21" s="17">
        <v>0</v>
      </c>
      <c r="Y21" s="17"/>
      <c r="Z21" s="17">
        <f t="shared" si="1"/>
        <v>8866.7515915321001</v>
      </c>
      <c r="AB21" s="19">
        <f t="shared" si="2"/>
        <v>4433.37579576605</v>
      </c>
    </row>
    <row r="22" spans="2:28" x14ac:dyDescent="0.2">
      <c r="B22" s="23" t="s">
        <v>12</v>
      </c>
      <c r="C22" s="4"/>
      <c r="D22" s="3">
        <v>2021</v>
      </c>
      <c r="E22" s="4"/>
      <c r="F22" s="198">
        <v>0</v>
      </c>
      <c r="G22" s="4"/>
      <c r="H22" s="197">
        <v>0</v>
      </c>
      <c r="J22" s="197">
        <v>0</v>
      </c>
      <c r="L22" s="200">
        <v>1675439.8200000003</v>
      </c>
      <c r="N22" s="198">
        <f t="shared" si="3"/>
        <v>1675439.8200000003</v>
      </c>
      <c r="P22" s="20">
        <v>5.8602364517541137E-3</v>
      </c>
      <c r="R22" s="16">
        <f t="shared" si="4"/>
        <v>9951.8182051430376</v>
      </c>
      <c r="T22" s="193">
        <f t="shared" si="0"/>
        <v>0</v>
      </c>
      <c r="U22" s="17"/>
      <c r="V22" s="17">
        <v>0</v>
      </c>
      <c r="W22" s="17"/>
      <c r="X22" s="17">
        <v>0</v>
      </c>
      <c r="Y22" s="17"/>
      <c r="Z22" s="17">
        <f t="shared" si="1"/>
        <v>9951.8182051430376</v>
      </c>
      <c r="AB22" s="19">
        <f t="shared" si="2"/>
        <v>4975.9091025715188</v>
      </c>
    </row>
    <row r="23" spans="2:28" x14ac:dyDescent="0.2">
      <c r="B23" s="23" t="s">
        <v>13</v>
      </c>
      <c r="C23" s="4"/>
      <c r="D23" s="3">
        <v>2021</v>
      </c>
      <c r="E23" s="4"/>
      <c r="F23" s="198">
        <v>0</v>
      </c>
      <c r="G23" s="4"/>
      <c r="H23" s="197">
        <v>0</v>
      </c>
      <c r="J23" s="197">
        <v>0</v>
      </c>
      <c r="L23" s="200">
        <v>1786684.4000000008</v>
      </c>
      <c r="N23" s="198">
        <f t="shared" si="3"/>
        <v>1786684.4000000008</v>
      </c>
      <c r="P23" s="20">
        <v>5.8602364517541137E-3</v>
      </c>
      <c r="R23" s="16">
        <f t="shared" si="4"/>
        <v>9818.4735058843526</v>
      </c>
      <c r="T23" s="193">
        <f t="shared" si="0"/>
        <v>0</v>
      </c>
      <c r="U23" s="17"/>
      <c r="V23" s="17">
        <v>0</v>
      </c>
      <c r="W23" s="17"/>
      <c r="X23" s="17">
        <v>0</v>
      </c>
      <c r="Y23" s="17"/>
      <c r="Z23" s="17">
        <f t="shared" si="1"/>
        <v>9818.4735058843526</v>
      </c>
      <c r="AB23" s="19">
        <f t="shared" si="2"/>
        <v>4909.2367529421763</v>
      </c>
    </row>
    <row r="24" spans="2:28" x14ac:dyDescent="0.2">
      <c r="B24" s="23" t="s">
        <v>14</v>
      </c>
      <c r="C24" s="4"/>
      <c r="D24" s="3">
        <v>2021</v>
      </c>
      <c r="E24" s="4"/>
      <c r="F24" s="198">
        <v>0</v>
      </c>
      <c r="G24" s="4"/>
      <c r="H24" s="197">
        <v>0</v>
      </c>
      <c r="J24" s="197">
        <v>0</v>
      </c>
      <c r="L24" s="200">
        <v>1759395.8400000008</v>
      </c>
      <c r="N24" s="198">
        <f t="shared" si="3"/>
        <v>1759395.8400000008</v>
      </c>
      <c r="P24" s="20">
        <v>5.8602364517541137E-3</v>
      </c>
      <c r="R24" s="16">
        <f t="shared" si="4"/>
        <v>10470.393048660433</v>
      </c>
      <c r="T24" s="193">
        <f t="shared" si="0"/>
        <v>0</v>
      </c>
      <c r="U24" s="17"/>
      <c r="V24" s="17">
        <v>0</v>
      </c>
      <c r="W24" s="17"/>
      <c r="X24" s="17">
        <v>0</v>
      </c>
      <c r="Y24" s="17"/>
      <c r="Z24" s="17">
        <f t="shared" si="1"/>
        <v>10470.393048660433</v>
      </c>
      <c r="AB24" s="19">
        <f t="shared" si="2"/>
        <v>5235.1965243302166</v>
      </c>
    </row>
    <row r="25" spans="2:28" x14ac:dyDescent="0.2">
      <c r="B25" s="23" t="s">
        <v>15</v>
      </c>
      <c r="C25" s="4"/>
      <c r="D25" s="3">
        <v>2021</v>
      </c>
      <c r="E25" s="4"/>
      <c r="F25" s="198">
        <v>0</v>
      </c>
      <c r="G25" s="4"/>
      <c r="H25" s="197">
        <v>0</v>
      </c>
      <c r="J25" s="197">
        <v>0</v>
      </c>
      <c r="L25" s="200">
        <v>1795613.1400000006</v>
      </c>
      <c r="N25" s="198">
        <f t="shared" si="3"/>
        <v>1795613.1400000006</v>
      </c>
      <c r="P25" s="20">
        <v>5.8602364517541137E-3</v>
      </c>
      <c r="R25" s="16">
        <f t="shared" si="4"/>
        <v>10310.475634632552</v>
      </c>
      <c r="T25" s="193">
        <f t="shared" si="0"/>
        <v>0</v>
      </c>
      <c r="U25" s="17"/>
      <c r="V25" s="17">
        <v>0</v>
      </c>
      <c r="W25" s="17"/>
      <c r="X25" s="17">
        <v>0</v>
      </c>
      <c r="Y25" s="17"/>
      <c r="Z25" s="17">
        <f t="shared" si="1"/>
        <v>10310.475634632552</v>
      </c>
      <c r="AB25" s="19">
        <f t="shared" si="2"/>
        <v>5155.2378173162761</v>
      </c>
    </row>
    <row r="26" spans="2:28" x14ac:dyDescent="0.2">
      <c r="B26" s="23" t="s">
        <v>16</v>
      </c>
      <c r="C26" s="4"/>
      <c r="D26" s="3">
        <v>2021</v>
      </c>
      <c r="E26" s="4"/>
      <c r="F26" s="198">
        <v>0</v>
      </c>
      <c r="G26" s="4"/>
      <c r="H26" s="197">
        <v>0</v>
      </c>
      <c r="J26" s="197">
        <v>0</v>
      </c>
      <c r="L26" s="200">
        <v>1856440.9600000007</v>
      </c>
      <c r="N26" s="198">
        <f t="shared" si="3"/>
        <v>1856440.9600000007</v>
      </c>
      <c r="P26" s="20">
        <v>5.8602364517541137E-3</v>
      </c>
      <c r="R26" s="16">
        <f t="shared" si="4"/>
        <v>10522.717576276666</v>
      </c>
      <c r="T26" s="193">
        <f t="shared" si="0"/>
        <v>0</v>
      </c>
      <c r="U26" s="17"/>
      <c r="V26" s="17">
        <v>0</v>
      </c>
      <c r="W26" s="17"/>
      <c r="X26" s="17">
        <v>0</v>
      </c>
      <c r="Y26" s="17"/>
      <c r="Z26" s="17">
        <f t="shared" si="1"/>
        <v>10522.717576276666</v>
      </c>
      <c r="AB26" s="19">
        <f t="shared" si="2"/>
        <v>5261.3587881383328</v>
      </c>
    </row>
    <row r="27" spans="2:28" x14ac:dyDescent="0.2">
      <c r="B27" s="23" t="s">
        <v>17</v>
      </c>
      <c r="C27" s="4"/>
      <c r="D27" s="3">
        <v>2021</v>
      </c>
      <c r="E27" s="4"/>
      <c r="F27" s="198">
        <v>0</v>
      </c>
      <c r="G27" s="4"/>
      <c r="H27" s="197">
        <v>0</v>
      </c>
      <c r="J27" s="197">
        <v>0</v>
      </c>
      <c r="L27" s="200">
        <v>1916110.7900000007</v>
      </c>
      <c r="N27" s="198">
        <f t="shared" si="3"/>
        <v>1916110.7900000007</v>
      </c>
      <c r="P27" s="20">
        <v>5.8602364517541137E-3</v>
      </c>
      <c r="R27" s="16">
        <f t="shared" si="4"/>
        <v>10879.182984321404</v>
      </c>
      <c r="T27" s="193">
        <f t="shared" si="0"/>
        <v>0</v>
      </c>
      <c r="U27" s="17"/>
      <c r="V27" s="17">
        <v>0</v>
      </c>
      <c r="W27" s="17"/>
      <c r="X27" s="17">
        <v>0</v>
      </c>
      <c r="Y27" s="17"/>
      <c r="Z27" s="17">
        <f t="shared" si="1"/>
        <v>10879.182984321404</v>
      </c>
      <c r="AB27" s="19">
        <f t="shared" si="2"/>
        <v>5439.5914921607018</v>
      </c>
    </row>
    <row r="28" spans="2:28" x14ac:dyDescent="0.2">
      <c r="B28" s="23" t="s">
        <v>18</v>
      </c>
      <c r="C28" s="4"/>
      <c r="D28" s="3">
        <v>2021</v>
      </c>
      <c r="E28" s="4"/>
      <c r="F28" s="198">
        <v>0</v>
      </c>
      <c r="G28" s="4"/>
      <c r="H28" s="197">
        <v>0</v>
      </c>
      <c r="J28" s="197">
        <v>0</v>
      </c>
      <c r="L28" s="200">
        <v>1926112.2900000003</v>
      </c>
      <c r="N28" s="198">
        <f t="shared" si="3"/>
        <v>1926112.2900000003</v>
      </c>
      <c r="P28" s="20">
        <v>5.8602364517541137E-3</v>
      </c>
      <c r="R28" s="16">
        <f t="shared" si="4"/>
        <v>11228.862297157377</v>
      </c>
      <c r="T28" s="193">
        <f t="shared" si="0"/>
        <v>0</v>
      </c>
      <c r="U28" s="17"/>
      <c r="V28" s="17">
        <v>0</v>
      </c>
      <c r="W28" s="17"/>
      <c r="X28" s="17">
        <v>0</v>
      </c>
      <c r="Y28" s="17"/>
      <c r="Z28" s="17">
        <f t="shared" si="1"/>
        <v>11228.862297157377</v>
      </c>
      <c r="AB28" s="19">
        <f t="shared" si="2"/>
        <v>5614.4311485786884</v>
      </c>
    </row>
    <row r="29" spans="2:28" x14ac:dyDescent="0.2">
      <c r="B29" s="23" t="s">
        <v>19</v>
      </c>
      <c r="C29" s="4"/>
      <c r="D29" s="3">
        <v>2021</v>
      </c>
      <c r="E29" s="4"/>
      <c r="F29" s="198">
        <v>0</v>
      </c>
      <c r="G29" s="4"/>
      <c r="H29" s="197">
        <v>0</v>
      </c>
      <c r="J29" s="197">
        <v>0</v>
      </c>
      <c r="L29" s="200">
        <v>1723060.7100000009</v>
      </c>
      <c r="N29" s="198">
        <f t="shared" si="3"/>
        <v>1723060.7100000009</v>
      </c>
      <c r="P29" s="20">
        <v>5.8602364517541137E-3</v>
      </c>
      <c r="R29" s="16">
        <f t="shared" si="4"/>
        <v>11287.473452029591</v>
      </c>
      <c r="T29" s="193">
        <f t="shared" si="0"/>
        <v>0</v>
      </c>
      <c r="U29" s="17"/>
      <c r="V29" s="17">
        <v>0</v>
      </c>
      <c r="W29" s="17"/>
      <c r="X29" s="17">
        <v>0</v>
      </c>
      <c r="Y29" s="17"/>
      <c r="Z29" s="17">
        <f t="shared" si="1"/>
        <v>11287.473452029591</v>
      </c>
      <c r="AB29" s="19">
        <f t="shared" si="2"/>
        <v>5643.7367260147957</v>
      </c>
    </row>
    <row r="30" spans="2:28" x14ac:dyDescent="0.2">
      <c r="B30" s="23" t="s">
        <v>8</v>
      </c>
      <c r="C30" s="4"/>
      <c r="D30" s="3">
        <v>2021</v>
      </c>
      <c r="E30" s="4"/>
      <c r="F30" s="198">
        <v>0</v>
      </c>
      <c r="G30" s="4"/>
      <c r="H30" s="197">
        <v>0</v>
      </c>
      <c r="J30" s="197">
        <v>0</v>
      </c>
      <c r="L30" s="200">
        <v>1734801.2200000011</v>
      </c>
      <c r="N30" s="198">
        <f t="shared" si="3"/>
        <v>1734801.2200000011</v>
      </c>
      <c r="P30" s="20">
        <v>5.8602364517541137E-3</v>
      </c>
      <c r="R30" s="16">
        <f t="shared" si="4"/>
        <v>10097.54318132733</v>
      </c>
      <c r="T30" s="193">
        <f t="shared" si="0"/>
        <v>0</v>
      </c>
      <c r="U30" s="17"/>
      <c r="V30" s="17">
        <v>0</v>
      </c>
      <c r="W30" s="17"/>
      <c r="X30" s="17">
        <v>0</v>
      </c>
      <c r="Y30" s="17"/>
      <c r="Z30" s="17">
        <f t="shared" si="1"/>
        <v>10097.54318132733</v>
      </c>
      <c r="AB30" s="19">
        <f t="shared" si="2"/>
        <v>5048.7715906636649</v>
      </c>
    </row>
    <row r="31" spans="2:28" x14ac:dyDescent="0.2">
      <c r="B31" s="23" t="s">
        <v>9</v>
      </c>
      <c r="C31" s="4"/>
      <c r="D31" s="3">
        <v>2021</v>
      </c>
      <c r="E31" s="4"/>
      <c r="F31" s="198">
        <v>0</v>
      </c>
      <c r="G31" s="4"/>
      <c r="H31" s="197">
        <v>0</v>
      </c>
      <c r="J31" s="197">
        <v>0</v>
      </c>
      <c r="L31" s="200">
        <v>3174562.7599999988</v>
      </c>
      <c r="N31" s="198">
        <f t="shared" si="3"/>
        <v>3174562.7599999988</v>
      </c>
      <c r="P31" s="20">
        <v>5.8602364517541137E-3</v>
      </c>
      <c r="R31" s="16">
        <f t="shared" si="4"/>
        <v>10166.345345991514</v>
      </c>
      <c r="T31" s="193">
        <f t="shared" si="0"/>
        <v>0</v>
      </c>
      <c r="U31" s="17"/>
      <c r="V31" s="17">
        <v>0</v>
      </c>
      <c r="W31" s="17"/>
      <c r="X31" s="17">
        <v>0</v>
      </c>
      <c r="Y31" s="17"/>
      <c r="Z31" s="17">
        <f t="shared" si="1"/>
        <v>10166.345345991514</v>
      </c>
      <c r="AB31" s="19">
        <f t="shared" si="2"/>
        <v>5083.1726729957572</v>
      </c>
    </row>
    <row r="32" spans="2:28" x14ac:dyDescent="0.2">
      <c r="B32" s="23" t="s">
        <v>10</v>
      </c>
      <c r="C32" s="16"/>
      <c r="D32" s="3">
        <v>2021</v>
      </c>
      <c r="E32" s="16"/>
      <c r="F32" s="198">
        <v>0</v>
      </c>
      <c r="G32" s="16"/>
      <c r="H32" s="197">
        <v>0</v>
      </c>
      <c r="J32" s="197">
        <v>0</v>
      </c>
      <c r="L32" s="200">
        <v>4943439.9300000006</v>
      </c>
      <c r="N32" s="198">
        <f t="shared" si="3"/>
        <v>4943439.9300000006</v>
      </c>
      <c r="P32" s="20">
        <v>5.8602364517541137E-3</v>
      </c>
      <c r="R32" s="16">
        <f t="shared" si="4"/>
        <v>18603.688404533139</v>
      </c>
      <c r="T32" s="193">
        <f t="shared" si="0"/>
        <v>0</v>
      </c>
      <c r="U32" s="17"/>
      <c r="V32" s="17">
        <v>24.197013233749999</v>
      </c>
      <c r="W32" s="17"/>
      <c r="X32" s="17">
        <v>42723.575961255432</v>
      </c>
      <c r="Y32" s="17"/>
      <c r="Z32" s="17">
        <f t="shared" si="1"/>
        <v>61351.461379022323</v>
      </c>
      <c r="AB32" s="19">
        <f t="shared" si="2"/>
        <v>30675.730689511161</v>
      </c>
    </row>
    <row r="33" spans="2:28" x14ac:dyDescent="0.2">
      <c r="B33" s="23" t="s">
        <v>11</v>
      </c>
      <c r="C33" s="4"/>
      <c r="D33" s="3">
        <v>2022</v>
      </c>
      <c r="E33" s="4"/>
      <c r="F33" s="198">
        <v>0</v>
      </c>
      <c r="G33" s="4"/>
      <c r="H33" s="197">
        <v>0</v>
      </c>
      <c r="J33" s="197">
        <v>0</v>
      </c>
      <c r="L33" s="200">
        <v>5190728.1800000016</v>
      </c>
      <c r="N33" s="198">
        <f t="shared" si="3"/>
        <v>5190728.1800000016</v>
      </c>
      <c r="P33" s="20">
        <v>5.6759366060026668E-3</v>
      </c>
      <c r="R33" s="16">
        <f t="shared" si="4"/>
        <v>28058.651658262264</v>
      </c>
      <c r="T33" s="193">
        <f t="shared" si="0"/>
        <v>0</v>
      </c>
      <c r="U33" s="17"/>
      <c r="V33" s="17">
        <v>70.207195019500006</v>
      </c>
      <c r="W33" s="17"/>
      <c r="X33" s="17">
        <v>0</v>
      </c>
      <c r="Y33" s="17"/>
      <c r="Z33" s="17">
        <f t="shared" si="1"/>
        <v>28128.858853281763</v>
      </c>
      <c r="AB33" s="19">
        <f t="shared" si="2"/>
        <v>14064.429426640882</v>
      </c>
    </row>
    <row r="34" spans="2:28" x14ac:dyDescent="0.2">
      <c r="B34" s="23" t="s">
        <v>12</v>
      </c>
      <c r="C34" s="4"/>
      <c r="D34" s="3">
        <v>2022</v>
      </c>
      <c r="E34" s="4"/>
      <c r="F34" s="198">
        <v>0</v>
      </c>
      <c r="G34" s="4"/>
      <c r="H34" s="197">
        <v>0</v>
      </c>
      <c r="J34" s="197">
        <v>0</v>
      </c>
      <c r="L34" s="200">
        <v>5855918.9200000009</v>
      </c>
      <c r="N34" s="198">
        <f t="shared" si="3"/>
        <v>5855918.9200000009</v>
      </c>
      <c r="P34" s="20">
        <v>5.6759366060026668E-3</v>
      </c>
      <c r="R34" s="16">
        <f t="shared" si="4"/>
        <v>29462.24408867161</v>
      </c>
      <c r="T34" s="193">
        <f t="shared" si="0"/>
        <v>0</v>
      </c>
      <c r="U34" s="17"/>
      <c r="V34" s="17">
        <v>88.202383795749995</v>
      </c>
      <c r="W34" s="17"/>
      <c r="X34" s="17">
        <v>0</v>
      </c>
      <c r="Y34" s="17"/>
      <c r="Z34" s="17">
        <f t="shared" si="1"/>
        <v>29550.44647246736</v>
      </c>
      <c r="AB34" s="19">
        <f t="shared" si="2"/>
        <v>14775.22323623368</v>
      </c>
    </row>
    <row r="35" spans="2:28" x14ac:dyDescent="0.2">
      <c r="B35" s="23" t="s">
        <v>13</v>
      </c>
      <c r="C35" s="4"/>
      <c r="D35" s="3">
        <v>2022</v>
      </c>
      <c r="E35" s="4"/>
      <c r="F35" s="198">
        <v>0</v>
      </c>
      <c r="G35" s="4"/>
      <c r="H35" s="197">
        <v>0</v>
      </c>
      <c r="J35" s="197">
        <v>0</v>
      </c>
      <c r="L35" s="200">
        <v>6645682.5499999998</v>
      </c>
      <c r="N35" s="198">
        <f t="shared" si="3"/>
        <v>6645682.5499999998</v>
      </c>
      <c r="P35" s="20">
        <v>5.6759366060026668E-3</v>
      </c>
      <c r="R35" s="16">
        <f t="shared" si="4"/>
        <v>33237.824559811605</v>
      </c>
      <c r="T35" s="193">
        <f t="shared" si="0"/>
        <v>0</v>
      </c>
      <c r="U35" s="17"/>
      <c r="V35" s="17">
        <v>117.05637495825</v>
      </c>
      <c r="W35" s="17"/>
      <c r="X35" s="17">
        <v>0</v>
      </c>
      <c r="Y35" s="17"/>
      <c r="Z35" s="17">
        <f t="shared" si="1"/>
        <v>33354.880934769855</v>
      </c>
      <c r="AB35" s="19">
        <f t="shared" si="2"/>
        <v>16677.440467384928</v>
      </c>
    </row>
    <row r="36" spans="2:28" x14ac:dyDescent="0.2">
      <c r="B36" s="23" t="s">
        <v>14</v>
      </c>
      <c r="C36" s="4"/>
      <c r="D36" s="3">
        <v>2022</v>
      </c>
      <c r="E36" s="4"/>
      <c r="F36" s="198">
        <v>0</v>
      </c>
      <c r="G36" s="4"/>
      <c r="H36" s="197">
        <v>0</v>
      </c>
      <c r="J36" s="197">
        <v>0</v>
      </c>
      <c r="L36" s="200">
        <v>10301722.700000001</v>
      </c>
      <c r="N36" s="198">
        <f t="shared" si="3"/>
        <v>10301722.700000001</v>
      </c>
      <c r="P36" s="20">
        <v>5.6759366060026668E-3</v>
      </c>
      <c r="R36" s="16">
        <f t="shared" si="4"/>
        <v>37720.47285741815</v>
      </c>
      <c r="T36" s="193">
        <f t="shared" si="0"/>
        <v>0</v>
      </c>
      <c r="U36" s="17"/>
      <c r="V36" s="17">
        <v>145.47527232524999</v>
      </c>
      <c r="W36" s="17"/>
      <c r="X36" s="17">
        <v>0</v>
      </c>
      <c r="Y36" s="17"/>
      <c r="Z36" s="17">
        <f t="shared" si="1"/>
        <v>37865.948129743403</v>
      </c>
      <c r="AB36" s="19">
        <f t="shared" si="2"/>
        <v>18932.974064871702</v>
      </c>
    </row>
    <row r="37" spans="2:28" x14ac:dyDescent="0.2">
      <c r="B37" s="23" t="s">
        <v>15</v>
      </c>
      <c r="C37" s="4"/>
      <c r="D37" s="3">
        <v>2022</v>
      </c>
      <c r="E37" s="4"/>
      <c r="F37" s="198">
        <v>0</v>
      </c>
      <c r="G37" s="4"/>
      <c r="H37" s="197">
        <v>0</v>
      </c>
      <c r="J37" s="197">
        <v>0</v>
      </c>
      <c r="L37" s="200">
        <v>8734847.1099999994</v>
      </c>
      <c r="N37" s="198">
        <f t="shared" si="3"/>
        <v>8734847.1099999994</v>
      </c>
      <c r="P37" s="20">
        <v>5.6759366060026668E-3</v>
      </c>
      <c r="R37" s="16">
        <f t="shared" si="4"/>
        <v>58471.924977818635</v>
      </c>
      <c r="T37" s="193">
        <f t="shared" si="0"/>
        <v>0</v>
      </c>
      <c r="U37" s="17"/>
      <c r="V37" s="17">
        <v>158.23582571474998</v>
      </c>
      <c r="W37" s="17"/>
      <c r="X37" s="17">
        <v>0</v>
      </c>
      <c r="Y37" s="17"/>
      <c r="Z37" s="17">
        <f t="shared" si="1"/>
        <v>58630.160803533385</v>
      </c>
      <c r="AB37" s="19">
        <f t="shared" si="2"/>
        <v>29315.080401766692</v>
      </c>
    </row>
    <row r="38" spans="2:28" x14ac:dyDescent="0.2">
      <c r="B38" s="23" t="s">
        <v>16</v>
      </c>
      <c r="C38" s="4"/>
      <c r="D38" s="3">
        <v>2022</v>
      </c>
      <c r="E38" s="4"/>
      <c r="F38" s="198">
        <v>0</v>
      </c>
      <c r="G38" s="4"/>
      <c r="H38" s="197">
        <v>0</v>
      </c>
      <c r="J38" s="197">
        <v>0</v>
      </c>
      <c r="L38" s="200">
        <v>16607442.669999998</v>
      </c>
      <c r="N38" s="198">
        <f t="shared" si="3"/>
        <v>16607442.669999998</v>
      </c>
      <c r="P38" s="20">
        <v>5.6759366060026668E-3</v>
      </c>
      <c r="R38" s="16">
        <f t="shared" si="4"/>
        <v>49578.438459485602</v>
      </c>
      <c r="T38" s="193">
        <f t="shared" si="0"/>
        <v>0</v>
      </c>
      <c r="U38" s="17"/>
      <c r="V38" s="17">
        <v>170.93323809099996</v>
      </c>
      <c r="W38" s="17"/>
      <c r="X38" s="17">
        <v>0</v>
      </c>
      <c r="Y38" s="17"/>
      <c r="Z38" s="17">
        <f t="shared" si="1"/>
        <v>49749.3716975766</v>
      </c>
      <c r="AB38" s="19">
        <f t="shared" si="2"/>
        <v>24874.6858487883</v>
      </c>
    </row>
    <row r="39" spans="2:28" x14ac:dyDescent="0.2">
      <c r="B39" s="23" t="s">
        <v>17</v>
      </c>
      <c r="C39" s="4"/>
      <c r="D39" s="3">
        <v>2022</v>
      </c>
      <c r="E39" s="4"/>
      <c r="F39" s="198">
        <v>0</v>
      </c>
      <c r="G39" s="4"/>
      <c r="H39" s="197">
        <v>0</v>
      </c>
      <c r="J39" s="197">
        <v>0</v>
      </c>
      <c r="L39" s="200">
        <v>19002260.48</v>
      </c>
      <c r="N39" s="198">
        <f t="shared" si="3"/>
        <v>19002260.48</v>
      </c>
      <c r="P39" s="20">
        <v>5.6759366060026668E-3</v>
      </c>
      <c r="R39" s="16">
        <f t="shared" si="4"/>
        <v>94262.791782743661</v>
      </c>
      <c r="T39" s="193">
        <f t="shared" si="0"/>
        <v>0</v>
      </c>
      <c r="U39" s="17"/>
      <c r="V39" s="17">
        <v>180.31032147887501</v>
      </c>
      <c r="W39" s="17"/>
      <c r="X39" s="17">
        <v>0</v>
      </c>
      <c r="Y39" s="17"/>
      <c r="Z39" s="17">
        <f t="shared" si="1"/>
        <v>94443.102104222533</v>
      </c>
      <c r="AB39" s="19">
        <f t="shared" si="2"/>
        <v>47221.551052111266</v>
      </c>
    </row>
    <row r="40" spans="2:28" x14ac:dyDescent="0.2">
      <c r="B40" s="23" t="s">
        <v>18</v>
      </c>
      <c r="C40" s="4"/>
      <c r="D40" s="3">
        <v>2022</v>
      </c>
      <c r="E40" s="4"/>
      <c r="F40" s="198">
        <v>0</v>
      </c>
      <c r="G40" s="4"/>
      <c r="H40" s="197">
        <v>0</v>
      </c>
      <c r="J40" s="197">
        <v>0</v>
      </c>
      <c r="L40" s="200">
        <v>20589867.099999998</v>
      </c>
      <c r="N40" s="198">
        <f t="shared" si="3"/>
        <v>20589867.099999998</v>
      </c>
      <c r="P40" s="20">
        <v>5.6759366060026668E-3</v>
      </c>
      <c r="R40" s="16">
        <f t="shared" si="4"/>
        <v>107855.62585522981</v>
      </c>
      <c r="T40" s="193">
        <f t="shared" ref="T40:T71" si="5">F39*($T$4/12)</f>
        <v>0</v>
      </c>
      <c r="U40" s="17"/>
      <c r="V40" s="17">
        <v>187.53612203812497</v>
      </c>
      <c r="W40" s="17"/>
      <c r="X40" s="17">
        <v>0</v>
      </c>
      <c r="Y40" s="17"/>
      <c r="Z40" s="17">
        <f t="shared" ref="Z40:Z71" si="6">SUM(R40:X40)</f>
        <v>108043.16197726794</v>
      </c>
      <c r="AB40" s="19">
        <f t="shared" si="2"/>
        <v>54021.58098863397</v>
      </c>
    </row>
    <row r="41" spans="2:28" x14ac:dyDescent="0.2">
      <c r="B41" s="23" t="s">
        <v>19</v>
      </c>
      <c r="C41" s="4"/>
      <c r="D41" s="3">
        <v>2022</v>
      </c>
      <c r="E41" s="4"/>
      <c r="F41" s="198">
        <v>0</v>
      </c>
      <c r="G41" s="4"/>
      <c r="H41" s="197">
        <v>0</v>
      </c>
      <c r="J41" s="197">
        <v>0</v>
      </c>
      <c r="L41" s="200">
        <v>23553374.860000003</v>
      </c>
      <c r="N41" s="198">
        <f t="shared" si="3"/>
        <v>23553374.860000003</v>
      </c>
      <c r="P41" s="20">
        <v>5.6759366060026668E-3</v>
      </c>
      <c r="R41" s="16">
        <f t="shared" si="4"/>
        <v>116866.78038561996</v>
      </c>
      <c r="T41" s="193">
        <f t="shared" si="5"/>
        <v>0</v>
      </c>
      <c r="U41" s="17"/>
      <c r="V41" s="17">
        <v>195.82605495862498</v>
      </c>
      <c r="W41" s="17"/>
      <c r="X41" s="17">
        <v>0</v>
      </c>
      <c r="Y41" s="17"/>
      <c r="Z41" s="17">
        <f t="shared" si="6"/>
        <v>117062.60644057859</v>
      </c>
      <c r="AB41" s="19">
        <f t="shared" si="2"/>
        <v>58531.303220289294</v>
      </c>
    </row>
    <row r="42" spans="2:28" x14ac:dyDescent="0.2">
      <c r="B42" s="23" t="s">
        <v>8</v>
      </c>
      <c r="C42" s="4"/>
      <c r="D42" s="3">
        <v>2022</v>
      </c>
      <c r="E42" s="4"/>
      <c r="F42" s="198">
        <v>0</v>
      </c>
      <c r="G42" s="4"/>
      <c r="H42" s="197">
        <v>0</v>
      </c>
      <c r="J42" s="197">
        <v>0</v>
      </c>
      <c r="L42" s="200">
        <v>27074692.269999996</v>
      </c>
      <c r="N42" s="198">
        <f t="shared" si="3"/>
        <v>27074692.269999996</v>
      </c>
      <c r="P42" s="20">
        <v>5.6759366060026668E-3</v>
      </c>
      <c r="R42" s="16">
        <f t="shared" si="4"/>
        <v>133687.46256277696</v>
      </c>
      <c r="T42" s="193">
        <f t="shared" si="5"/>
        <v>0</v>
      </c>
      <c r="U42" s="17"/>
      <c r="V42" s="17">
        <v>205.50790951075001</v>
      </c>
      <c r="W42" s="17"/>
      <c r="X42" s="17">
        <v>0</v>
      </c>
      <c r="Y42" s="17"/>
      <c r="Z42" s="17">
        <f t="shared" si="6"/>
        <v>133892.97047228771</v>
      </c>
      <c r="AB42" s="19">
        <f t="shared" si="2"/>
        <v>66946.485236143853</v>
      </c>
    </row>
    <row r="43" spans="2:28" x14ac:dyDescent="0.2">
      <c r="B43" s="23" t="s">
        <v>9</v>
      </c>
      <c r="C43" s="4"/>
      <c r="D43" s="3">
        <v>2022</v>
      </c>
      <c r="E43" s="4"/>
      <c r="F43" s="198">
        <v>0</v>
      </c>
      <c r="G43" s="4"/>
      <c r="H43" s="197">
        <v>0</v>
      </c>
      <c r="J43" s="197">
        <v>0</v>
      </c>
      <c r="L43" s="200">
        <v>30524671.77</v>
      </c>
      <c r="N43" s="198">
        <f t="shared" si="3"/>
        <v>30524671.77</v>
      </c>
      <c r="P43" s="20">
        <v>5.6759366060026668E-3</v>
      </c>
      <c r="R43" s="16">
        <f t="shared" si="4"/>
        <v>153674.23695155041</v>
      </c>
      <c r="T43" s="193">
        <f t="shared" si="5"/>
        <v>0</v>
      </c>
      <c r="U43" s="17"/>
      <c r="V43" s="17">
        <v>216.826912225</v>
      </c>
      <c r="W43" s="17"/>
      <c r="X43" s="17">
        <v>0</v>
      </c>
      <c r="Y43" s="17"/>
      <c r="Z43" s="17">
        <f t="shared" si="6"/>
        <v>153891.0638637754</v>
      </c>
      <c r="AB43" s="19">
        <f t="shared" si="2"/>
        <v>76945.531931887701</v>
      </c>
    </row>
    <row r="44" spans="2:28" x14ac:dyDescent="0.2">
      <c r="B44" s="23" t="s">
        <v>10</v>
      </c>
      <c r="C44" s="16"/>
      <c r="D44" s="3">
        <v>2022</v>
      </c>
      <c r="E44" s="16"/>
      <c r="F44" s="198">
        <v>0</v>
      </c>
      <c r="G44" s="16"/>
      <c r="H44" s="197">
        <v>0</v>
      </c>
      <c r="J44" s="197">
        <v>0</v>
      </c>
      <c r="L44" s="200">
        <v>34989488.350000001</v>
      </c>
      <c r="N44" s="198">
        <f t="shared" si="3"/>
        <v>34989488.350000001</v>
      </c>
      <c r="P44" s="20">
        <v>5.6759366060026668E-3</v>
      </c>
      <c r="R44" s="16">
        <f t="shared" si="4"/>
        <v>173256.10188555921</v>
      </c>
      <c r="T44" s="193">
        <f t="shared" si="5"/>
        <v>0</v>
      </c>
      <c r="U44" s="17"/>
      <c r="V44" s="17">
        <v>216.32409252912498</v>
      </c>
      <c r="W44" s="17"/>
      <c r="X44" s="17">
        <v>210556.50069832953</v>
      </c>
      <c r="Y44" s="17"/>
      <c r="Z44" s="17">
        <f t="shared" si="6"/>
        <v>384028.92667641788</v>
      </c>
      <c r="AB44" s="19">
        <f t="shared" si="2"/>
        <v>192014.46333820894</v>
      </c>
    </row>
    <row r="45" spans="2:28" x14ac:dyDescent="0.2">
      <c r="B45" s="23" t="s">
        <v>11</v>
      </c>
      <c r="C45" s="4"/>
      <c r="D45" s="3">
        <v>2023</v>
      </c>
      <c r="E45" s="4"/>
      <c r="F45" s="198">
        <v>0</v>
      </c>
      <c r="G45" s="4"/>
      <c r="H45" s="197">
        <v>0</v>
      </c>
      <c r="J45" s="197">
        <v>0</v>
      </c>
      <c r="L45" s="200">
        <v>37511609.620000005</v>
      </c>
      <c r="N45" s="198">
        <f t="shared" si="3"/>
        <v>37511609.620000005</v>
      </c>
      <c r="P45" s="20">
        <v>5.7228405971155409E-3</v>
      </c>
      <c r="R45" s="16">
        <f t="shared" si="4"/>
        <v>200239.26440168128</v>
      </c>
      <c r="T45" s="193">
        <f t="shared" si="5"/>
        <v>0</v>
      </c>
      <c r="U45" s="17"/>
      <c r="V45" s="17">
        <v>242.80644385025002</v>
      </c>
      <c r="W45" s="17"/>
      <c r="X45" s="17">
        <v>0</v>
      </c>
      <c r="Y45" s="17"/>
      <c r="Z45" s="17">
        <f t="shared" si="6"/>
        <v>200482.07084553153</v>
      </c>
      <c r="AB45" s="19">
        <f t="shared" si="2"/>
        <v>100241.03542276577</v>
      </c>
    </row>
    <row r="46" spans="2:28" x14ac:dyDescent="0.2">
      <c r="B46" s="23" t="s">
        <v>12</v>
      </c>
      <c r="C46" s="4"/>
      <c r="D46" s="3">
        <v>2023</v>
      </c>
      <c r="E46" s="4"/>
      <c r="F46" s="198">
        <v>0</v>
      </c>
      <c r="G46" s="4"/>
      <c r="H46" s="197">
        <v>0</v>
      </c>
      <c r="J46" s="197">
        <v>0</v>
      </c>
      <c r="L46" s="200">
        <v>44067358.43</v>
      </c>
      <c r="N46" s="198">
        <f t="shared" si="3"/>
        <v>44067358.43</v>
      </c>
      <c r="P46" s="20">
        <v>5.7228405971155409E-3</v>
      </c>
      <c r="R46" s="16">
        <f t="shared" si="4"/>
        <v>214672.96239648591</v>
      </c>
      <c r="T46" s="193">
        <f t="shared" si="5"/>
        <v>0</v>
      </c>
      <c r="U46" s="17"/>
      <c r="V46" s="17">
        <v>239.80392183737496</v>
      </c>
      <c r="W46" s="17"/>
      <c r="X46" s="17">
        <v>0</v>
      </c>
      <c r="Y46" s="17"/>
      <c r="Z46" s="17">
        <f t="shared" si="6"/>
        <v>214912.76631832329</v>
      </c>
      <c r="AB46" s="19">
        <f t="shared" si="2"/>
        <v>107456.38315916165</v>
      </c>
    </row>
    <row r="47" spans="2:28" x14ac:dyDescent="0.2">
      <c r="B47" s="23" t="s">
        <v>13</v>
      </c>
      <c r="C47" s="4"/>
      <c r="D47" s="3">
        <v>2023</v>
      </c>
      <c r="E47" s="4"/>
      <c r="F47" s="198">
        <v>0</v>
      </c>
      <c r="G47" s="4"/>
      <c r="H47" s="197">
        <v>0</v>
      </c>
      <c r="J47" s="197">
        <v>0</v>
      </c>
      <c r="L47" s="200">
        <v>50869680.540000007</v>
      </c>
      <c r="N47" s="198">
        <f t="shared" si="3"/>
        <v>50869680.540000007</v>
      </c>
      <c r="P47" s="20">
        <v>5.7228405971155409E-3</v>
      </c>
      <c r="R47" s="16">
        <f t="shared" si="4"/>
        <v>252190.46783084577</v>
      </c>
      <c r="T47" s="193">
        <f t="shared" si="5"/>
        <v>0</v>
      </c>
      <c r="U47" s="17"/>
      <c r="V47" s="17">
        <v>255.90917699550002</v>
      </c>
      <c r="W47" s="17"/>
      <c r="X47" s="17">
        <v>0</v>
      </c>
      <c r="Y47" s="17"/>
      <c r="Z47" s="17">
        <f t="shared" si="6"/>
        <v>252446.37700784128</v>
      </c>
      <c r="AB47" s="19">
        <f t="shared" si="2"/>
        <v>126223.18850392064</v>
      </c>
    </row>
    <row r="48" spans="2:28" x14ac:dyDescent="0.2">
      <c r="B48" s="23" t="s">
        <v>14</v>
      </c>
      <c r="C48" s="4"/>
      <c r="D48" s="3">
        <v>2023</v>
      </c>
      <c r="E48" s="4"/>
      <c r="F48" s="198">
        <v>0</v>
      </c>
      <c r="G48" s="4"/>
      <c r="H48" s="197">
        <v>0</v>
      </c>
      <c r="J48" s="197">
        <v>0</v>
      </c>
      <c r="L48" s="200">
        <v>53195649.170000002</v>
      </c>
      <c r="N48" s="198">
        <f t="shared" si="3"/>
        <v>53195649.170000002</v>
      </c>
      <c r="P48" s="20">
        <v>5.7228405971155409E-3</v>
      </c>
      <c r="R48" s="16">
        <f t="shared" si="4"/>
        <v>291119.07295661047</v>
      </c>
      <c r="T48" s="193">
        <f t="shared" si="5"/>
        <v>0</v>
      </c>
      <c r="U48" s="17"/>
      <c r="V48" s="17">
        <v>252.3234759325</v>
      </c>
      <c r="W48" s="17"/>
      <c r="X48" s="17">
        <v>0</v>
      </c>
      <c r="Y48" s="17"/>
      <c r="Z48" s="17">
        <f t="shared" si="6"/>
        <v>291371.396432543</v>
      </c>
      <c r="AB48" s="19">
        <f t="shared" si="2"/>
        <v>145685.6982162715</v>
      </c>
    </row>
    <row r="49" spans="2:28" x14ac:dyDescent="0.2">
      <c r="B49" s="23" t="s">
        <v>15</v>
      </c>
      <c r="C49" s="4"/>
      <c r="D49" s="3">
        <v>2023</v>
      </c>
      <c r="E49" s="4"/>
      <c r="F49" s="198">
        <v>0</v>
      </c>
      <c r="G49" s="4"/>
      <c r="H49" s="197">
        <v>0</v>
      </c>
      <c r="J49" s="197">
        <v>0</v>
      </c>
      <c r="L49" s="200">
        <v>61455388.480000004</v>
      </c>
      <c r="N49" s="198">
        <f t="shared" si="3"/>
        <v>61455388.480000004</v>
      </c>
      <c r="P49" s="20">
        <v>5.7228405971155409E-3</v>
      </c>
      <c r="R49" s="16">
        <f t="shared" si="4"/>
        <v>304430.22065999161</v>
      </c>
      <c r="T49" s="193">
        <f t="shared" si="5"/>
        <v>0</v>
      </c>
      <c r="U49" s="17"/>
      <c r="V49" s="17">
        <v>257.76846971574997</v>
      </c>
      <c r="W49" s="17"/>
      <c r="X49" s="17">
        <v>0</v>
      </c>
      <c r="Y49" s="17"/>
      <c r="Z49" s="17">
        <f t="shared" si="6"/>
        <v>304687.98912970733</v>
      </c>
      <c r="AB49" s="19">
        <f t="shared" si="2"/>
        <v>152343.99456485367</v>
      </c>
    </row>
    <row r="50" spans="2:28" x14ac:dyDescent="0.2">
      <c r="B50" s="23" t="s">
        <v>16</v>
      </c>
      <c r="C50" s="4"/>
      <c r="D50" s="3">
        <v>2023</v>
      </c>
      <c r="E50" s="4"/>
      <c r="F50" s="198">
        <v>0</v>
      </c>
      <c r="G50" s="4"/>
      <c r="H50" s="197">
        <v>0</v>
      </c>
      <c r="J50" s="197">
        <v>0</v>
      </c>
      <c r="L50" s="200">
        <v>68580796.219999999</v>
      </c>
      <c r="N50" s="198">
        <f t="shared" si="3"/>
        <v>68580796.219999999</v>
      </c>
      <c r="P50" s="20">
        <v>5.7228405971155409E-3</v>
      </c>
      <c r="R50" s="16">
        <f t="shared" si="4"/>
        <v>351699.39210485073</v>
      </c>
      <c r="T50" s="193">
        <f t="shared" si="5"/>
        <v>0</v>
      </c>
      <c r="U50" s="17"/>
      <c r="V50" s="17">
        <v>266.72826876674998</v>
      </c>
      <c r="W50" s="17"/>
      <c r="X50" s="17">
        <v>0</v>
      </c>
      <c r="Y50" s="17"/>
      <c r="Z50" s="17">
        <f t="shared" si="6"/>
        <v>351966.12037361751</v>
      </c>
      <c r="AB50" s="19">
        <f t="shared" si="2"/>
        <v>175983.06018680875</v>
      </c>
    </row>
    <row r="51" spans="2:28" x14ac:dyDescent="0.2">
      <c r="B51" s="23" t="s">
        <v>17</v>
      </c>
      <c r="C51" s="4"/>
      <c r="D51" s="3">
        <v>2023</v>
      </c>
      <c r="E51" s="4"/>
      <c r="F51" s="198">
        <v>0</v>
      </c>
      <c r="G51" s="4"/>
      <c r="H51" s="197">
        <v>0</v>
      </c>
      <c r="J51" s="197">
        <v>0</v>
      </c>
      <c r="L51" s="200">
        <v>76640534.25</v>
      </c>
      <c r="N51" s="198">
        <f t="shared" si="3"/>
        <v>76640534.25</v>
      </c>
      <c r="P51" s="20">
        <v>5.7228405971155409E-3</v>
      </c>
      <c r="R51" s="16">
        <f t="shared" si="4"/>
        <v>392476.96479032404</v>
      </c>
      <c r="T51" s="193">
        <f t="shared" si="5"/>
        <v>0</v>
      </c>
      <c r="U51" s="17"/>
      <c r="V51" s="17">
        <v>270.96258907812501</v>
      </c>
      <c r="W51" s="17"/>
      <c r="X51" s="17">
        <v>0</v>
      </c>
      <c r="Y51" s="17"/>
      <c r="Z51" s="17">
        <f t="shared" si="6"/>
        <v>392747.92737940216</v>
      </c>
      <c r="AB51" s="19">
        <f t="shared" si="2"/>
        <v>196373.96368970108</v>
      </c>
    </row>
    <row r="52" spans="2:28" x14ac:dyDescent="0.2">
      <c r="B52" s="23" t="s">
        <v>18</v>
      </c>
      <c r="C52" s="4"/>
      <c r="D52" s="3">
        <v>2023</v>
      </c>
      <c r="E52" s="4"/>
      <c r="F52" s="198">
        <v>0</v>
      </c>
      <c r="G52" s="4"/>
      <c r="H52" s="197">
        <v>0</v>
      </c>
      <c r="J52" s="197">
        <v>0</v>
      </c>
      <c r="L52" s="200">
        <v>79557620.459999993</v>
      </c>
      <c r="N52" s="198">
        <f t="shared" si="3"/>
        <v>79557620.459999993</v>
      </c>
      <c r="P52" s="20">
        <v>5.7228405971155409E-3</v>
      </c>
      <c r="R52" s="16">
        <f t="shared" si="4"/>
        <v>438601.56079052406</v>
      </c>
      <c r="T52" s="193">
        <f t="shared" si="5"/>
        <v>0</v>
      </c>
      <c r="U52" s="17"/>
      <c r="V52" s="17">
        <v>271.67232052187495</v>
      </c>
      <c r="W52" s="17"/>
      <c r="X52" s="17">
        <v>0</v>
      </c>
      <c r="Y52" s="17"/>
      <c r="Z52" s="17">
        <f t="shared" si="6"/>
        <v>438873.23311104596</v>
      </c>
      <c r="AB52" s="19">
        <f t="shared" si="2"/>
        <v>219436.61655552298</v>
      </c>
    </row>
    <row r="53" spans="2:28" x14ac:dyDescent="0.2">
      <c r="B53" s="23" t="s">
        <v>19</v>
      </c>
      <c r="C53" s="4"/>
      <c r="D53" s="3">
        <v>2023</v>
      </c>
      <c r="E53" s="4"/>
      <c r="F53" s="198">
        <v>0</v>
      </c>
      <c r="G53" s="4"/>
      <c r="H53" s="197">
        <v>0</v>
      </c>
      <c r="J53" s="197">
        <v>0</v>
      </c>
      <c r="L53" s="200">
        <v>97270608.200000003</v>
      </c>
      <c r="N53" s="198">
        <f t="shared" si="3"/>
        <v>97270608.200000003</v>
      </c>
      <c r="P53" s="20">
        <v>5.7228405971155409E-3</v>
      </c>
      <c r="R53" s="16">
        <f t="shared" si="4"/>
        <v>455295.58017839794</v>
      </c>
      <c r="T53" s="193">
        <f t="shared" si="5"/>
        <v>0</v>
      </c>
      <c r="U53" s="17"/>
      <c r="V53" s="17">
        <v>229.27797899212499</v>
      </c>
      <c r="W53" s="17"/>
      <c r="X53" s="17">
        <v>0</v>
      </c>
      <c r="Y53" s="17"/>
      <c r="Z53" s="17">
        <f t="shared" si="6"/>
        <v>455524.85815739009</v>
      </c>
      <c r="AB53" s="19">
        <f t="shared" si="2"/>
        <v>227762.42907869504</v>
      </c>
    </row>
    <row r="54" spans="2:28" x14ac:dyDescent="0.2">
      <c r="B54" s="23" t="s">
        <v>8</v>
      </c>
      <c r="C54" s="4"/>
      <c r="D54" s="3">
        <v>2023</v>
      </c>
      <c r="E54" s="4"/>
      <c r="F54" s="198">
        <v>0</v>
      </c>
      <c r="G54" s="4"/>
      <c r="H54" s="197">
        <v>0</v>
      </c>
      <c r="J54" s="197">
        <v>0</v>
      </c>
      <c r="L54" s="200">
        <v>101916152.28999999</v>
      </c>
      <c r="N54" s="198">
        <f t="shared" si="3"/>
        <v>101916152.28999999</v>
      </c>
      <c r="P54" s="20">
        <v>5.7228405971155409E-3</v>
      </c>
      <c r="R54" s="16">
        <f t="shared" si="4"/>
        <v>556664.18551307986</v>
      </c>
      <c r="T54" s="193">
        <f t="shared" si="5"/>
        <v>0</v>
      </c>
      <c r="U54" s="17"/>
      <c r="V54" s="17">
        <v>230.11111493300001</v>
      </c>
      <c r="W54" s="17"/>
      <c r="X54" s="17">
        <v>0</v>
      </c>
      <c r="Y54" s="17"/>
      <c r="Z54" s="17">
        <f t="shared" si="6"/>
        <v>556894.2966280129</v>
      </c>
      <c r="AB54" s="19">
        <f t="shared" si="2"/>
        <v>278447.14831400645</v>
      </c>
    </row>
    <row r="55" spans="2:28" x14ac:dyDescent="0.2">
      <c r="B55" s="23" t="s">
        <v>9</v>
      </c>
      <c r="C55" s="4"/>
      <c r="D55" s="3">
        <v>2023</v>
      </c>
      <c r="E55" s="4"/>
      <c r="F55" s="198">
        <v>0</v>
      </c>
      <c r="G55" s="4"/>
      <c r="H55" s="197">
        <v>0</v>
      </c>
      <c r="J55" s="197">
        <v>0</v>
      </c>
      <c r="L55" s="200">
        <v>113654015.69999999</v>
      </c>
      <c r="N55" s="198">
        <f t="shared" si="3"/>
        <v>113654015.69999999</v>
      </c>
      <c r="P55" s="20">
        <v>5.7228405971155409E-3</v>
      </c>
      <c r="R55" s="16">
        <f t="shared" si="4"/>
        <v>583249.89382702194</v>
      </c>
      <c r="T55" s="193">
        <f t="shared" si="5"/>
        <v>0</v>
      </c>
      <c r="U55" s="17"/>
      <c r="V55" s="17">
        <v>332.28019321524994</v>
      </c>
      <c r="W55" s="17"/>
      <c r="X55" s="17">
        <v>0</v>
      </c>
      <c r="Y55" s="17"/>
      <c r="Z55" s="17">
        <f t="shared" si="6"/>
        <v>583582.17402023717</v>
      </c>
      <c r="AB55" s="19">
        <f t="shared" si="2"/>
        <v>291791.08701011859</v>
      </c>
    </row>
    <row r="56" spans="2:28" x14ac:dyDescent="0.2">
      <c r="B56" s="23" t="s">
        <v>10</v>
      </c>
      <c r="C56" s="16"/>
      <c r="D56" s="3">
        <v>2023</v>
      </c>
      <c r="E56" s="16"/>
      <c r="F56" s="198">
        <v>76983168.870000005</v>
      </c>
      <c r="G56" s="16"/>
      <c r="H56" s="14">
        <v>0</v>
      </c>
      <c r="J56" s="14">
        <v>-627922.32865247026</v>
      </c>
      <c r="L56" s="200">
        <v>42777283.420000002</v>
      </c>
      <c r="N56" s="198">
        <f t="shared" si="3"/>
        <v>119132529.96134754</v>
      </c>
      <c r="P56" s="20">
        <v>5.7228405971155409E-3</v>
      </c>
      <c r="R56" s="16">
        <f t="shared" si="4"/>
        <v>650423.81507316697</v>
      </c>
      <c r="T56" s="193">
        <f t="shared" si="5"/>
        <v>0</v>
      </c>
      <c r="U56" s="17"/>
      <c r="V56" s="17">
        <v>457.80413939137509</v>
      </c>
      <c r="W56" s="17"/>
      <c r="X56" s="17">
        <v>837418.27322662517</v>
      </c>
      <c r="Y56" s="17"/>
      <c r="Z56" s="17">
        <f t="shared" si="6"/>
        <v>1488299.8924391835</v>
      </c>
      <c r="AB56" s="19">
        <f t="shared" si="2"/>
        <v>744149.94621959177</v>
      </c>
    </row>
    <row r="57" spans="2:28" x14ac:dyDescent="0.2">
      <c r="B57" s="23" t="s">
        <v>11</v>
      </c>
      <c r="C57" s="4"/>
      <c r="D57" s="3">
        <v>2024</v>
      </c>
      <c r="E57" s="4"/>
      <c r="F57" s="198">
        <v>79041139.890000001</v>
      </c>
      <c r="G57" s="4"/>
      <c r="H57" s="14">
        <v>-366311.57853975001</v>
      </c>
      <c r="J57" s="14">
        <v>-646736.517582751</v>
      </c>
      <c r="L57" s="200">
        <v>42759496.549999997</v>
      </c>
      <c r="N57" s="198">
        <f t="shared" si="3"/>
        <v>120787588.34387751</v>
      </c>
      <c r="P57" s="20">
        <v>5.8436882554702974E-3</v>
      </c>
      <c r="R57" s="16">
        <f t="shared" si="4"/>
        <v>696173.36617958988</v>
      </c>
      <c r="T57" s="193">
        <f t="shared" si="5"/>
        <v>366311.57853975001</v>
      </c>
      <c r="U57" s="17"/>
      <c r="V57" s="17">
        <v>475.35233183200006</v>
      </c>
      <c r="W57" s="17"/>
      <c r="X57" s="17">
        <v>0</v>
      </c>
      <c r="Y57" s="17"/>
      <c r="Z57" s="17">
        <f t="shared" si="6"/>
        <v>1062960.297051172</v>
      </c>
      <c r="AB57" s="19">
        <f t="shared" si="2"/>
        <v>531480.148525586</v>
      </c>
    </row>
    <row r="58" spans="2:28" x14ac:dyDescent="0.2">
      <c r="B58" s="23" t="s">
        <v>12</v>
      </c>
      <c r="C58" s="4"/>
      <c r="D58" s="3">
        <v>2024</v>
      </c>
      <c r="E58" s="4"/>
      <c r="F58" s="198">
        <v>77910748.700000003</v>
      </c>
      <c r="G58" s="4"/>
      <c r="H58" s="14">
        <v>-742415.66918299999</v>
      </c>
      <c r="J58" s="14">
        <v>-668374.58309213922</v>
      </c>
      <c r="L58" s="200">
        <v>42101154.63000001</v>
      </c>
      <c r="N58" s="198">
        <f t="shared" si="3"/>
        <v>118601113.07772487</v>
      </c>
      <c r="P58" s="20">
        <v>5.8436882554702974E-3</v>
      </c>
      <c r="R58" s="16">
        <f t="shared" si="4"/>
        <v>705845.01141169795</v>
      </c>
      <c r="T58" s="193">
        <f t="shared" si="5"/>
        <v>376104.09064324998</v>
      </c>
      <c r="U58" s="17"/>
      <c r="V58" s="17">
        <v>522.55592971925</v>
      </c>
      <c r="W58" s="17"/>
      <c r="X58" s="17">
        <v>0</v>
      </c>
      <c r="Y58" s="17"/>
      <c r="Z58" s="17">
        <f t="shared" si="6"/>
        <v>1082471.6579846672</v>
      </c>
      <c r="AB58" s="19">
        <f t="shared" si="2"/>
        <v>541235.82899233361</v>
      </c>
    </row>
    <row r="59" spans="2:28" x14ac:dyDescent="0.2">
      <c r="B59" s="23" t="s">
        <v>13</v>
      </c>
      <c r="C59" s="4"/>
      <c r="D59" s="3">
        <v>2024</v>
      </c>
      <c r="E59" s="4"/>
      <c r="F59" s="198">
        <v>80062282.900000006</v>
      </c>
      <c r="G59" s="4"/>
      <c r="H59" s="14">
        <v>-1113140.9817471667</v>
      </c>
      <c r="J59" s="14">
        <v>-688068.87022967741</v>
      </c>
      <c r="L59" s="200">
        <v>42665126.790000007</v>
      </c>
      <c r="N59" s="198">
        <f t="shared" si="3"/>
        <v>120926199.83802317</v>
      </c>
      <c r="P59" s="20">
        <v>5.8436882554702974E-3</v>
      </c>
      <c r="R59" s="16">
        <f t="shared" si="4"/>
        <v>693067.93157800555</v>
      </c>
      <c r="T59" s="193">
        <f t="shared" si="5"/>
        <v>370725.31256416667</v>
      </c>
      <c r="U59" s="17"/>
      <c r="V59" s="17">
        <v>578.59953131312488</v>
      </c>
      <c r="W59" s="17"/>
      <c r="X59" s="17">
        <v>0</v>
      </c>
      <c r="Y59" s="17"/>
      <c r="Z59" s="17">
        <f t="shared" si="6"/>
        <v>1064371.8436734853</v>
      </c>
      <c r="AB59" s="19">
        <f t="shared" si="2"/>
        <v>532185.92183674267</v>
      </c>
    </row>
    <row r="60" spans="2:28" x14ac:dyDescent="0.2">
      <c r="B60" s="23" t="s">
        <v>14</v>
      </c>
      <c r="C60" s="4"/>
      <c r="D60" s="3">
        <v>2024</v>
      </c>
      <c r="E60" s="4"/>
      <c r="F60" s="198">
        <v>80297873.960000008</v>
      </c>
      <c r="G60" s="4"/>
      <c r="H60" s="14">
        <v>-1494104.0112129999</v>
      </c>
      <c r="J60" s="14">
        <v>-707818.96677097934</v>
      </c>
      <c r="L60" s="200">
        <v>42353055.840000004</v>
      </c>
      <c r="N60" s="198">
        <f t="shared" si="3"/>
        <v>120449006.82201603</v>
      </c>
      <c r="P60" s="20">
        <v>5.8436882554702974E-3</v>
      </c>
      <c r="R60" s="16">
        <f t="shared" si="4"/>
        <v>706655.01377211022</v>
      </c>
      <c r="T60" s="193">
        <f t="shared" si="5"/>
        <v>380963.02946583333</v>
      </c>
      <c r="U60" s="17"/>
      <c r="V60" s="17">
        <v>838.04128045749997</v>
      </c>
      <c r="W60" s="17"/>
      <c r="X60" s="17">
        <v>0</v>
      </c>
      <c r="Y60" s="17"/>
      <c r="Z60" s="17">
        <f t="shared" si="6"/>
        <v>1088456.0845184012</v>
      </c>
      <c r="AB60" s="19">
        <f t="shared" si="2"/>
        <v>544228.04225920059</v>
      </c>
    </row>
    <row r="61" spans="2:28" x14ac:dyDescent="0.2">
      <c r="B61" s="23" t="s">
        <v>15</v>
      </c>
      <c r="C61" s="4"/>
      <c r="D61" s="3">
        <v>2024</v>
      </c>
      <c r="E61" s="4"/>
      <c r="F61" s="198">
        <v>80593720.329999998</v>
      </c>
      <c r="G61" s="4"/>
      <c r="H61" s="14">
        <v>-1876188.0614726667</v>
      </c>
      <c r="J61" s="14">
        <v>-727364.6194133088</v>
      </c>
      <c r="L61" s="200">
        <v>42928885.450000003</v>
      </c>
      <c r="N61" s="198">
        <f t="shared" si="3"/>
        <v>120919053.09911402</v>
      </c>
      <c r="P61" s="20">
        <v>5.8436882554702974E-3</v>
      </c>
      <c r="R61" s="16">
        <f t="shared" si="4"/>
        <v>703866.44654887682</v>
      </c>
      <c r="T61" s="193">
        <f t="shared" si="5"/>
        <v>382084.05025966669</v>
      </c>
      <c r="U61" s="17"/>
      <c r="V61" s="17">
        <v>619.84658804337494</v>
      </c>
      <c r="W61" s="17"/>
      <c r="X61" s="17">
        <v>0</v>
      </c>
      <c r="Y61" s="17"/>
      <c r="Z61" s="17">
        <f t="shared" si="6"/>
        <v>1086570.3433965868</v>
      </c>
      <c r="AB61" s="19">
        <f t="shared" si="2"/>
        <v>543285.17169829342</v>
      </c>
    </row>
    <row r="62" spans="2:28" x14ac:dyDescent="0.2">
      <c r="B62" s="23" t="s">
        <v>16</v>
      </c>
      <c r="C62" s="4"/>
      <c r="D62" s="3">
        <v>2024</v>
      </c>
      <c r="E62" s="4"/>
      <c r="F62" s="198">
        <v>80674769.74000001</v>
      </c>
      <c r="G62" s="4"/>
      <c r="H62" s="14">
        <v>-2259679.8473762502</v>
      </c>
      <c r="J62" s="14">
        <v>-747144.37054332078</v>
      </c>
      <c r="L62" s="200">
        <v>43470332.320000008</v>
      </c>
      <c r="N62" s="198">
        <f t="shared" si="3"/>
        <v>121138277.84208044</v>
      </c>
      <c r="P62" s="20">
        <v>5.8436882554702974E-3</v>
      </c>
      <c r="R62" s="16">
        <f t="shared" si="4"/>
        <v>706613.25045788183</v>
      </c>
      <c r="T62" s="193">
        <f t="shared" si="5"/>
        <v>383491.78590358334</v>
      </c>
      <c r="U62" s="17"/>
      <c r="V62" s="17">
        <v>1178.5056504698748</v>
      </c>
      <c r="W62" s="17"/>
      <c r="X62" s="17">
        <v>0</v>
      </c>
      <c r="Y62" s="17"/>
      <c r="Z62" s="17">
        <f t="shared" si="6"/>
        <v>1091283.542011935</v>
      </c>
      <c r="AB62" s="19">
        <f t="shared" si="2"/>
        <v>545641.77100596752</v>
      </c>
    </row>
    <row r="63" spans="2:28" x14ac:dyDescent="0.2">
      <c r="B63" s="23" t="s">
        <v>17</v>
      </c>
      <c r="C63" s="4"/>
      <c r="D63" s="3">
        <v>2024</v>
      </c>
      <c r="E63" s="4"/>
      <c r="F63" s="198">
        <v>80914836.109999999</v>
      </c>
      <c r="G63" s="4"/>
      <c r="H63" s="14">
        <v>-2643557.2933890838</v>
      </c>
      <c r="J63" s="14">
        <v>-837241.04974236025</v>
      </c>
      <c r="L63" s="200">
        <v>44226679.939999998</v>
      </c>
      <c r="N63" s="198">
        <f t="shared" si="3"/>
        <v>121660717.70686856</v>
      </c>
      <c r="P63" s="20">
        <v>5.8436882554702974E-3</v>
      </c>
      <c r="R63" s="16">
        <f t="shared" si="4"/>
        <v>707894.33151366329</v>
      </c>
      <c r="T63" s="193">
        <f t="shared" si="5"/>
        <v>383877.44601283339</v>
      </c>
      <c r="U63" s="17"/>
      <c r="V63" s="17">
        <v>1348.4479093119999</v>
      </c>
      <c r="W63" s="17"/>
      <c r="X63" s="17">
        <v>0</v>
      </c>
      <c r="Y63" s="17"/>
      <c r="Z63" s="17">
        <f t="shared" si="6"/>
        <v>1093120.2254358088</v>
      </c>
      <c r="AB63" s="19">
        <f t="shared" si="2"/>
        <v>546560.11271790438</v>
      </c>
    </row>
    <row r="64" spans="2:28" x14ac:dyDescent="0.2">
      <c r="B64" s="23" t="s">
        <v>18</v>
      </c>
      <c r="C64" s="4"/>
      <c r="D64" s="3">
        <v>2024</v>
      </c>
      <c r="E64" s="4"/>
      <c r="F64" s="198">
        <v>125712813.50000001</v>
      </c>
      <c r="G64" s="4"/>
      <c r="H64" s="14">
        <v>-3028577.0552125005</v>
      </c>
      <c r="J64" s="14">
        <v>-886773.39952225471</v>
      </c>
      <c r="L64" s="200">
        <v>0</v>
      </c>
      <c r="N64" s="198">
        <f t="shared" si="3"/>
        <v>121797463.04526526</v>
      </c>
      <c r="P64" s="20">
        <v>5.8436882554702974E-3</v>
      </c>
      <c r="R64" s="16">
        <f t="shared" si="4"/>
        <v>710947.30721571506</v>
      </c>
      <c r="T64" s="193">
        <f t="shared" si="5"/>
        <v>385019.76182341663</v>
      </c>
      <c r="U64" s="17"/>
      <c r="V64" s="17">
        <v>1461.1084440837499</v>
      </c>
      <c r="W64" s="17"/>
      <c r="X64" s="17">
        <v>0</v>
      </c>
      <c r="Y64" s="17"/>
      <c r="Z64" s="17">
        <f t="shared" si="6"/>
        <v>1097428.1774832155</v>
      </c>
      <c r="AB64" s="19">
        <f t="shared" si="2"/>
        <v>548714.08874160773</v>
      </c>
    </row>
    <row r="65" spans="2:32" x14ac:dyDescent="0.2">
      <c r="B65" s="23" t="s">
        <v>19</v>
      </c>
      <c r="C65" s="4"/>
      <c r="D65" s="3">
        <v>2024</v>
      </c>
      <c r="E65" s="4"/>
      <c r="F65" s="198">
        <v>127846171.97</v>
      </c>
      <c r="G65" s="4"/>
      <c r="H65" s="14">
        <v>-3626760.5261166673</v>
      </c>
      <c r="J65" s="14">
        <v>-935197.20435350167</v>
      </c>
      <c r="L65" s="200">
        <v>0</v>
      </c>
      <c r="N65" s="198">
        <f t="shared" si="3"/>
        <v>123284214.23952983</v>
      </c>
      <c r="P65" s="20">
        <v>5.8436882554702974E-3</v>
      </c>
      <c r="R65" s="16">
        <f t="shared" si="4"/>
        <v>711746.4043436941</v>
      </c>
      <c r="T65" s="193">
        <f t="shared" si="5"/>
        <v>598183.47090416669</v>
      </c>
      <c r="U65" s="17"/>
      <c r="V65" s="17">
        <v>1671.4063635027501</v>
      </c>
      <c r="W65" s="17"/>
      <c r="X65" s="17">
        <v>0</v>
      </c>
      <c r="Y65" s="17"/>
      <c r="Z65" s="17">
        <f t="shared" si="6"/>
        <v>1311601.2816113636</v>
      </c>
      <c r="AB65" s="19">
        <f t="shared" si="2"/>
        <v>655800.64080568182</v>
      </c>
    </row>
    <row r="66" spans="2:32" x14ac:dyDescent="0.2">
      <c r="B66" s="23" t="s">
        <v>8</v>
      </c>
      <c r="C66" s="4"/>
      <c r="D66" s="3">
        <v>2024</v>
      </c>
      <c r="E66" s="4"/>
      <c r="F66" s="198">
        <v>128235967.59</v>
      </c>
      <c r="G66" s="4"/>
      <c r="H66" s="14">
        <v>-4235095.2277405839</v>
      </c>
      <c r="J66" s="14">
        <v>-983171.53762896371</v>
      </c>
      <c r="L66" s="200">
        <v>0</v>
      </c>
      <c r="N66" s="198">
        <f t="shared" si="3"/>
        <v>123017700.82463045</v>
      </c>
      <c r="P66" s="20">
        <v>5.8436882554702974E-3</v>
      </c>
      <c r="R66" s="16">
        <f t="shared" si="4"/>
        <v>720434.5148364245</v>
      </c>
      <c r="T66" s="193">
        <f t="shared" si="5"/>
        <v>608334.70162391663</v>
      </c>
      <c r="U66" s="17"/>
      <c r="V66" s="17">
        <v>1921.2878502098747</v>
      </c>
      <c r="W66" s="17"/>
      <c r="X66" s="17">
        <v>0</v>
      </c>
      <c r="Y66" s="17"/>
      <c r="Z66" s="17">
        <f t="shared" si="6"/>
        <v>1330690.5043105511</v>
      </c>
      <c r="AB66" s="19">
        <f t="shared" si="2"/>
        <v>665345.25215527555</v>
      </c>
    </row>
    <row r="67" spans="2:32" x14ac:dyDescent="0.2">
      <c r="B67" s="23" t="s">
        <v>9</v>
      </c>
      <c r="C67" s="4"/>
      <c r="D67" s="3">
        <v>2024</v>
      </c>
      <c r="E67" s="4"/>
      <c r="F67" s="198">
        <v>128220737.55000001</v>
      </c>
      <c r="G67" s="4"/>
      <c r="H67" s="14">
        <v>-4845284.7068563337</v>
      </c>
      <c r="J67" s="14">
        <v>-1041810.9582268955</v>
      </c>
      <c r="L67" s="200">
        <v>0</v>
      </c>
      <c r="N67" s="198">
        <f t="shared" si="3"/>
        <v>122333641.88491678</v>
      </c>
      <c r="P67" s="20">
        <v>5.8436882554702974E-3</v>
      </c>
      <c r="R67" s="16">
        <f t="shared" si="4"/>
        <v>718877.09352385171</v>
      </c>
      <c r="T67" s="193">
        <f t="shared" si="5"/>
        <v>610189.47911574994</v>
      </c>
      <c r="U67" s="17"/>
      <c r="V67" s="17">
        <v>2166.1070204786247</v>
      </c>
      <c r="W67" s="17"/>
      <c r="X67" s="17">
        <v>0</v>
      </c>
      <c r="Y67" s="17"/>
      <c r="Z67" s="17">
        <f t="shared" si="6"/>
        <v>1331232.6796600805</v>
      </c>
      <c r="AB67" s="19">
        <f t="shared" si="2"/>
        <v>665616.33983004023</v>
      </c>
    </row>
    <row r="68" spans="2:32" x14ac:dyDescent="0.2">
      <c r="B68" s="23" t="s">
        <v>10</v>
      </c>
      <c r="C68" s="16"/>
      <c r="D68" s="3">
        <v>2024</v>
      </c>
      <c r="E68" s="16"/>
      <c r="F68" s="198">
        <v>129573101.83</v>
      </c>
      <c r="G68" s="16"/>
      <c r="H68" s="14">
        <v>-5455401.7163650841</v>
      </c>
      <c r="J68" s="14">
        <v>-1068688.9798490833</v>
      </c>
      <c r="L68" s="200">
        <v>0</v>
      </c>
      <c r="N68" s="198">
        <f t="shared" si="3"/>
        <v>123049011.13378583</v>
      </c>
      <c r="P68" s="20">
        <v>5.8436882554702974E-3</v>
      </c>
      <c r="R68" s="16">
        <f t="shared" si="4"/>
        <v>714879.66633179749</v>
      </c>
      <c r="T68" s="193">
        <f t="shared" si="5"/>
        <v>610117.00950875005</v>
      </c>
      <c r="U68" s="17"/>
      <c r="V68" s="17">
        <v>2482.9415670368749</v>
      </c>
      <c r="W68" s="17"/>
      <c r="X68" s="17">
        <v>1554632.9180761243</v>
      </c>
      <c r="Y68" s="17"/>
      <c r="Z68" s="17">
        <f t="shared" si="6"/>
        <v>2882112.5354837086</v>
      </c>
      <c r="AB68" s="19">
        <f t="shared" si="2"/>
        <v>1441056.2677418543</v>
      </c>
    </row>
    <row r="69" spans="2:32" x14ac:dyDescent="0.2">
      <c r="B69" s="23" t="s">
        <v>11</v>
      </c>
      <c r="C69" s="4"/>
      <c r="D69" s="3">
        <v>2025</v>
      </c>
      <c r="E69" s="4"/>
      <c r="F69" s="198">
        <v>129516504.98999999</v>
      </c>
      <c r="G69" s="4"/>
      <c r="H69" s="14">
        <v>-6071953.7259061672</v>
      </c>
      <c r="J69" s="14">
        <v>-1095719.3905258002</v>
      </c>
      <c r="L69" s="200">
        <v>0</v>
      </c>
      <c r="N69" s="198">
        <f t="shared" si="3"/>
        <v>122348831.87356803</v>
      </c>
      <c r="P69" s="20">
        <v>5.9037341997771617E-3</v>
      </c>
      <c r="R69" s="16">
        <f t="shared" si="4"/>
        <v>726448.65527929214</v>
      </c>
      <c r="T69" s="193">
        <f t="shared" si="5"/>
        <v>616552.00954108336</v>
      </c>
      <c r="U69" s="17"/>
      <c r="V69" s="17">
        <v>2661.9175976592501</v>
      </c>
      <c r="W69" s="17"/>
      <c r="X69" s="17">
        <v>0</v>
      </c>
      <c r="Y69" s="17"/>
      <c r="Z69" s="17">
        <f t="shared" si="6"/>
        <v>1345662.5824180346</v>
      </c>
      <c r="AB69" s="19">
        <f t="shared" si="2"/>
        <v>672831.29120901728</v>
      </c>
    </row>
    <row r="70" spans="2:32" x14ac:dyDescent="0.2">
      <c r="B70" s="23" t="s">
        <v>12</v>
      </c>
      <c r="C70" s="16"/>
      <c r="D70" s="3">
        <v>2025</v>
      </c>
      <c r="E70" s="16"/>
      <c r="F70" s="198">
        <v>129650369.28</v>
      </c>
      <c r="G70" s="16"/>
      <c r="H70" s="14">
        <v>-6688236.4288169174</v>
      </c>
      <c r="J70" s="14">
        <v>-1122678.3262769845</v>
      </c>
      <c r="L70" s="200">
        <v>0</v>
      </c>
      <c r="N70" s="198">
        <f t="shared" si="3"/>
        <v>121839454.5249061</v>
      </c>
      <c r="P70" s="20">
        <v>5.9037341997771617E-3</v>
      </c>
      <c r="R70" s="16">
        <f t="shared" si="4"/>
        <v>722314.98303476966</v>
      </c>
      <c r="T70" s="193">
        <f t="shared" si="5"/>
        <v>616282.70291074994</v>
      </c>
      <c r="U70" s="17"/>
      <c r="V70" s="17">
        <v>3127.1299225888747</v>
      </c>
      <c r="W70" s="17"/>
      <c r="X70" s="17">
        <v>0</v>
      </c>
      <c r="Y70" s="17"/>
      <c r="Z70" s="17">
        <f t="shared" si="6"/>
        <v>1341724.8158681085</v>
      </c>
      <c r="AB70" s="19">
        <f t="shared" si="2"/>
        <v>670862.40793405427</v>
      </c>
    </row>
    <row r="71" spans="2:32" x14ac:dyDescent="0.2">
      <c r="B71" s="23" t="s">
        <v>13</v>
      </c>
      <c r="C71" s="16"/>
      <c r="D71" s="3">
        <v>2025</v>
      </c>
      <c r="E71" s="16"/>
      <c r="F71" s="198">
        <v>129729466.38</v>
      </c>
      <c r="G71" s="16"/>
      <c r="H71" s="14">
        <v>-7305156.1026409175</v>
      </c>
      <c r="J71" s="14">
        <v>-1149565.6327272439</v>
      </c>
      <c r="L71" s="200">
        <v>0</v>
      </c>
      <c r="N71" s="198">
        <f t="shared" si="3"/>
        <v>121274744.64463183</v>
      </c>
      <c r="P71" s="20">
        <v>5.9037341997771617E-3</v>
      </c>
      <c r="R71" s="16">
        <f t="shared" si="4"/>
        <v>719307.75456088234</v>
      </c>
      <c r="T71" s="193">
        <f t="shared" si="5"/>
        <v>616919.67382399994</v>
      </c>
      <c r="U71" s="17"/>
      <c r="V71" s="17">
        <v>3609.8397053197505</v>
      </c>
      <c r="W71" s="17"/>
      <c r="X71" s="17">
        <v>0</v>
      </c>
      <c r="Y71" s="17"/>
      <c r="Z71" s="17">
        <f t="shared" si="6"/>
        <v>1339837.2680902022</v>
      </c>
      <c r="AB71" s="19">
        <f t="shared" si="2"/>
        <v>669918.63404510112</v>
      </c>
    </row>
    <row r="72" spans="2:32" x14ac:dyDescent="0.2">
      <c r="B72" s="23" t="s">
        <v>14</v>
      </c>
      <c r="C72" s="16"/>
      <c r="D72" s="3">
        <v>2025</v>
      </c>
      <c r="E72" s="16"/>
      <c r="F72" s="198">
        <v>129737933.20999999</v>
      </c>
      <c r="G72" s="16"/>
      <c r="H72" s="14">
        <v>-7922452.1468324177</v>
      </c>
      <c r="J72" s="14">
        <v>-1176455.1427601257</v>
      </c>
      <c r="L72" s="200">
        <v>0</v>
      </c>
      <c r="N72" s="198">
        <f t="shared" si="3"/>
        <v>120639025.92040744</v>
      </c>
      <c r="P72" s="20">
        <v>5.9037341997771617E-3</v>
      </c>
      <c r="R72" s="16">
        <f t="shared" si="4"/>
        <v>715973.85752775508</v>
      </c>
      <c r="T72" s="193">
        <f t="shared" ref="T72:T80" si="7">F71*($T$4/12)</f>
        <v>617296.04419149994</v>
      </c>
      <c r="U72" s="17"/>
      <c r="V72" s="17">
        <v>3774.8962542261252</v>
      </c>
      <c r="W72" s="17"/>
      <c r="X72" s="17">
        <v>0</v>
      </c>
      <c r="Y72" s="17"/>
      <c r="Z72" s="17">
        <f t="shared" ref="Z72:Z80" si="8">SUM(R72:X72)</f>
        <v>1337044.797973481</v>
      </c>
      <c r="AB72" s="19">
        <f t="shared" si="2"/>
        <v>668522.3989867405</v>
      </c>
    </row>
    <row r="73" spans="2:32" x14ac:dyDescent="0.2">
      <c r="B73" s="23" t="s">
        <v>15</v>
      </c>
      <c r="C73" s="18"/>
      <c r="D73" s="3">
        <v>2025</v>
      </c>
      <c r="E73" s="18"/>
      <c r="F73" s="198">
        <v>129748766.54333332</v>
      </c>
      <c r="G73" s="18"/>
      <c r="H73" s="14">
        <v>-8539788.4790233336</v>
      </c>
      <c r="J73" s="14">
        <v>-1203346.0150846741</v>
      </c>
      <c r="L73" s="200">
        <v>0</v>
      </c>
      <c r="N73" s="198">
        <f t="shared" si="3"/>
        <v>120005632.04922532</v>
      </c>
      <c r="P73" s="20">
        <v>5.9037341997771617E-3</v>
      </c>
      <c r="R73" s="16">
        <f t="shared" si="4"/>
        <v>712220.74315411295</v>
      </c>
      <c r="T73" s="193">
        <f t="shared" si="7"/>
        <v>617336.33219091664</v>
      </c>
      <c r="U73" s="17"/>
      <c r="V73" s="17">
        <v>4361.028005012</v>
      </c>
      <c r="W73" s="17"/>
      <c r="X73" s="17">
        <v>0</v>
      </c>
      <c r="Y73" s="17"/>
      <c r="Z73" s="17">
        <f t="shared" si="8"/>
        <v>1333918.1033500417</v>
      </c>
      <c r="AB73" s="19">
        <f t="shared" ref="AB73:AB80" si="9">Z73/2</f>
        <v>666959.05167502083</v>
      </c>
    </row>
    <row r="74" spans="2:32" x14ac:dyDescent="0.2">
      <c r="B74" s="23" t="s">
        <v>16</v>
      </c>
      <c r="C74" s="16"/>
      <c r="D74" s="3">
        <v>2025</v>
      </c>
      <c r="E74" s="16"/>
      <c r="F74" s="198">
        <v>129759599.87666665</v>
      </c>
      <c r="G74" s="16"/>
      <c r="H74" s="14">
        <v>-9157176.3598253615</v>
      </c>
      <c r="J74" s="14">
        <v>-1230240.2809508892</v>
      </c>
      <c r="L74" s="200">
        <v>0</v>
      </c>
      <c r="N74" s="198">
        <f t="shared" ref="N74:N80" si="10">SUM(F74:L74)</f>
        <v>119372183.2358904</v>
      </c>
      <c r="P74" s="20">
        <v>5.9037341997771617E-3</v>
      </c>
      <c r="R74" s="16">
        <f t="shared" ref="R74:R80" si="11">N73*P74</f>
        <v>708481.35409488576</v>
      </c>
      <c r="T74" s="193">
        <f t="shared" si="7"/>
        <v>617387.88080202765</v>
      </c>
      <c r="U74" s="17"/>
      <c r="V74" s="17">
        <v>4866.6647517617494</v>
      </c>
      <c r="W74" s="17"/>
      <c r="X74" s="17">
        <v>0</v>
      </c>
      <c r="Y74" s="17"/>
      <c r="Z74" s="17">
        <f t="shared" si="8"/>
        <v>1330735.8996486752</v>
      </c>
      <c r="AB74" s="19">
        <f t="shared" si="9"/>
        <v>665367.94982433761</v>
      </c>
    </row>
    <row r="75" spans="2:32" x14ac:dyDescent="0.2">
      <c r="B75" s="23" t="s">
        <v>17</v>
      </c>
      <c r="C75" s="16"/>
      <c r="D75" s="3">
        <v>2025</v>
      </c>
      <c r="E75" s="16"/>
      <c r="F75" s="198">
        <v>129770433.20999998</v>
      </c>
      <c r="G75" s="16"/>
      <c r="H75" s="14">
        <v>-9774615.7892384995</v>
      </c>
      <c r="J75" s="14">
        <v>-1257140.784108771</v>
      </c>
      <c r="L75" s="200">
        <v>0</v>
      </c>
      <c r="N75" s="198">
        <f t="shared" si="10"/>
        <v>118738676.63665271</v>
      </c>
      <c r="P75" s="20">
        <v>5.9037341997771617E-3</v>
      </c>
      <c r="R75" s="16">
        <f t="shared" si="11"/>
        <v>704741.64067179221</v>
      </c>
      <c r="T75" s="193">
        <f t="shared" si="7"/>
        <v>617439.42941313877</v>
      </c>
      <c r="U75" s="17"/>
      <c r="V75" s="17">
        <v>5438.6039117156251</v>
      </c>
      <c r="W75" s="17"/>
      <c r="X75" s="17">
        <v>0</v>
      </c>
      <c r="Y75" s="17"/>
      <c r="Z75" s="17">
        <f t="shared" si="8"/>
        <v>1327619.6739966464</v>
      </c>
      <c r="AB75" s="19">
        <f t="shared" si="9"/>
        <v>663809.83699832321</v>
      </c>
    </row>
    <row r="76" spans="2:32" x14ac:dyDescent="0.2">
      <c r="B76" s="23" t="s">
        <v>18</v>
      </c>
      <c r="C76" s="16"/>
      <c r="D76" s="3">
        <v>2025</v>
      </c>
      <c r="E76" s="16"/>
      <c r="F76" s="198">
        <v>129781266.54333331</v>
      </c>
      <c r="G76" s="16"/>
      <c r="H76" s="14">
        <v>-10392106.767262749</v>
      </c>
      <c r="J76" s="14">
        <v>-1284051.7901833195</v>
      </c>
      <c r="L76" s="200">
        <v>0</v>
      </c>
      <c r="N76" s="198">
        <f t="shared" si="10"/>
        <v>118105107.98588724</v>
      </c>
      <c r="P76" s="20">
        <v>5.9037341997771617E-3</v>
      </c>
      <c r="R76" s="16">
        <f t="shared" si="11"/>
        <v>701001.58609608805</v>
      </c>
      <c r="T76" s="193">
        <f t="shared" si="7"/>
        <v>617490.9780242499</v>
      </c>
      <c r="U76" s="17"/>
      <c r="V76" s="17">
        <v>5645.6076418927496</v>
      </c>
      <c r="W76" s="17"/>
      <c r="X76" s="17">
        <v>0</v>
      </c>
      <c r="Y76" s="17"/>
      <c r="Z76" s="17">
        <f t="shared" si="8"/>
        <v>1324138.1717622306</v>
      </c>
      <c r="AB76" s="19">
        <f t="shared" si="9"/>
        <v>662069.08588111529</v>
      </c>
      <c r="AD76" s="22"/>
    </row>
    <row r="77" spans="2:32" x14ac:dyDescent="0.2">
      <c r="B77" s="23" t="s">
        <v>19</v>
      </c>
      <c r="C77" s="16"/>
      <c r="D77" s="3">
        <v>2025</v>
      </c>
      <c r="E77" s="16"/>
      <c r="F77" s="198">
        <v>129792099.87666664</v>
      </c>
      <c r="G77" s="16"/>
      <c r="H77" s="14">
        <v>-11009649.293898111</v>
      </c>
      <c r="J77" s="14">
        <v>-1310980.4085495346</v>
      </c>
      <c r="L77" s="200">
        <v>0</v>
      </c>
      <c r="N77" s="198">
        <f t="shared" si="10"/>
        <v>117471470.174219</v>
      </c>
      <c r="P77" s="20">
        <v>5.9037341997771617E-3</v>
      </c>
      <c r="R77" s="16">
        <f t="shared" si="11"/>
        <v>697261.16518465732</v>
      </c>
      <c r="T77" s="193">
        <f t="shared" si="7"/>
        <v>617542.52663536102</v>
      </c>
      <c r="U77" s="17"/>
      <c r="V77" s="17">
        <v>6902.5655343925</v>
      </c>
      <c r="W77" s="17"/>
      <c r="X77" s="17">
        <v>0</v>
      </c>
      <c r="Y77" s="17"/>
      <c r="Z77" s="17">
        <f t="shared" si="8"/>
        <v>1321706.2573544111</v>
      </c>
      <c r="AB77" s="19">
        <f t="shared" si="9"/>
        <v>660853.12867720553</v>
      </c>
      <c r="AD77" s="19"/>
      <c r="AE77" s="19"/>
      <c r="AF77" s="19"/>
    </row>
    <row r="78" spans="2:32" x14ac:dyDescent="0.2">
      <c r="B78" s="23" t="s">
        <v>8</v>
      </c>
      <c r="C78" s="16"/>
      <c r="D78" s="3">
        <v>2025</v>
      </c>
      <c r="E78" s="16"/>
      <c r="F78" s="198">
        <v>129802933.20999996</v>
      </c>
      <c r="G78" s="16"/>
      <c r="H78" s="14">
        <v>-11627243.369144583</v>
      </c>
      <c r="J78" s="14">
        <v>-1337940.8579574164</v>
      </c>
      <c r="L78" s="200">
        <v>0</v>
      </c>
      <c r="N78" s="198">
        <f t="shared" si="10"/>
        <v>116837748.98289795</v>
      </c>
      <c r="P78" s="20">
        <v>5.9037341997771617E-3</v>
      </c>
      <c r="R78" s="16">
        <f t="shared" si="11"/>
        <v>693520.33596563956</v>
      </c>
      <c r="T78" s="193">
        <f t="shared" si="7"/>
        <v>617594.07524647203</v>
      </c>
      <c r="U78" s="17"/>
      <c r="V78" s="17">
        <v>7232.224956879124</v>
      </c>
      <c r="W78" s="17"/>
      <c r="X78" s="17">
        <v>0</v>
      </c>
      <c r="Y78" s="17"/>
      <c r="Z78" s="17">
        <f t="shared" si="8"/>
        <v>1318346.6361689907</v>
      </c>
      <c r="AB78" s="19">
        <f t="shared" si="9"/>
        <v>659173.31808449537</v>
      </c>
    </row>
    <row r="79" spans="2:32" x14ac:dyDescent="0.2">
      <c r="B79" s="23" t="s">
        <v>9</v>
      </c>
      <c r="C79" s="16"/>
      <c r="D79" s="3">
        <v>2025</v>
      </c>
      <c r="E79" s="16"/>
      <c r="F79" s="198">
        <v>129813766.54333329</v>
      </c>
      <c r="G79" s="16"/>
      <c r="H79" s="14">
        <v>-12244888.993002167</v>
      </c>
      <c r="J79" s="14">
        <v>-1364975.794656965</v>
      </c>
      <c r="L79" s="200">
        <v>0</v>
      </c>
      <c r="N79" s="198">
        <f t="shared" si="10"/>
        <v>116203901.75567417</v>
      </c>
      <c r="P79" s="20">
        <v>5.9037341997771617E-3</v>
      </c>
      <c r="R79" s="16">
        <f t="shared" si="11"/>
        <v>689779.01449531398</v>
      </c>
      <c r="T79" s="193">
        <f t="shared" si="7"/>
        <v>617645.62385758315</v>
      </c>
      <c r="U79" s="17"/>
      <c r="V79" s="17">
        <v>8065.1730891112484</v>
      </c>
      <c r="W79" s="17"/>
      <c r="X79" s="17">
        <v>0</v>
      </c>
      <c r="Y79" s="17"/>
      <c r="Z79" s="17">
        <f t="shared" si="8"/>
        <v>1315489.8114420082</v>
      </c>
      <c r="AB79" s="19">
        <f t="shared" si="9"/>
        <v>657744.90572100412</v>
      </c>
    </row>
    <row r="80" spans="2:32" ht="13.5" thickBot="1" x14ac:dyDescent="0.25">
      <c r="B80" s="23" t="s">
        <v>10</v>
      </c>
      <c r="C80" s="16"/>
      <c r="D80" s="3">
        <v>2025</v>
      </c>
      <c r="E80" s="16"/>
      <c r="F80" s="198">
        <v>129824599.87666662</v>
      </c>
      <c r="G80" s="16"/>
      <c r="H80" s="14">
        <v>-12862586.165470861</v>
      </c>
      <c r="J80" s="14">
        <v>-1364975.794656965</v>
      </c>
      <c r="L80" s="200">
        <v>0</v>
      </c>
      <c r="N80" s="198">
        <f t="shared" si="10"/>
        <v>115597037.9165388</v>
      </c>
      <c r="P80" s="20">
        <v>5.9037341997771617E-3</v>
      </c>
      <c r="R80" s="16">
        <f t="shared" si="11"/>
        <v>686036.94894251891</v>
      </c>
      <c r="T80" s="193">
        <f t="shared" si="7"/>
        <v>617697.17246869428</v>
      </c>
      <c r="U80" s="17"/>
      <c r="V80" s="17">
        <v>106416.97204434901</v>
      </c>
      <c r="W80" s="17"/>
      <c r="X80" s="17">
        <v>1541855.4511287371</v>
      </c>
      <c r="Y80" s="17"/>
      <c r="Z80" s="17">
        <f t="shared" si="8"/>
        <v>2952006.5445842994</v>
      </c>
      <c r="AB80" s="19">
        <f t="shared" si="9"/>
        <v>1476003.2722921497</v>
      </c>
      <c r="AD80" s="196"/>
    </row>
    <row r="81" spans="2:32" ht="13.5" thickBot="1" x14ac:dyDescent="0.25">
      <c r="B81" s="180"/>
      <c r="C81" s="182"/>
      <c r="D81" s="181"/>
      <c r="E81" s="182"/>
      <c r="F81" s="199"/>
      <c r="G81" s="182"/>
      <c r="H81" s="199"/>
      <c r="I81" s="181"/>
      <c r="J81" s="199"/>
      <c r="K81" s="181"/>
      <c r="L81" s="183"/>
      <c r="M81" s="181"/>
      <c r="N81" s="203">
        <f>N80/2</f>
        <v>57798518.958269402</v>
      </c>
      <c r="O81" s="181"/>
      <c r="P81" s="183"/>
      <c r="Q81" s="181"/>
      <c r="R81" s="202">
        <f>SUM(R9:R80)</f>
        <v>22885906.931536589</v>
      </c>
      <c r="S81" s="181"/>
      <c r="T81" s="202">
        <f>SUM(T9:T80)</f>
        <v>12862586.165470861</v>
      </c>
      <c r="U81" s="181"/>
      <c r="V81" s="202">
        <f>SUM(V9:V80)</f>
        <v>182650.91069047566</v>
      </c>
      <c r="W81" s="181"/>
      <c r="X81" s="202">
        <f>SUM(X9:X80)</f>
        <v>4187186.7190910717</v>
      </c>
      <c r="Y81" s="181"/>
      <c r="Z81" s="202">
        <f>SUM(Z8:Z80)</f>
        <v>40118330.712513998</v>
      </c>
      <c r="AA81" s="181"/>
      <c r="AB81" s="203">
        <f>SUM(AB8:AB80)</f>
        <v>20059165.356256999</v>
      </c>
      <c r="AD81" s="204">
        <f>N81+AB81</f>
        <v>77857684.314526409</v>
      </c>
      <c r="AE81" s="184"/>
      <c r="AF81" s="19"/>
    </row>
    <row r="82" spans="2:32" x14ac:dyDescent="0.2">
      <c r="Z82" s="200">
        <f>(R81+T81+V81+X81)-Z81</f>
        <v>1.4275006949901581E-2</v>
      </c>
      <c r="AB82" s="19">
        <f>(Z81/2)-AB81</f>
        <v>0</v>
      </c>
    </row>
  </sheetData>
  <mergeCells count="14">
    <mergeCell ref="X5:X6"/>
    <mergeCell ref="B1:AB2"/>
    <mergeCell ref="Z4:Z6"/>
    <mergeCell ref="AB4:AB6"/>
    <mergeCell ref="B5:B6"/>
    <mergeCell ref="F5:F6"/>
    <mergeCell ref="H5:H6"/>
    <mergeCell ref="J5:J6"/>
    <mergeCell ref="L5:L6"/>
    <mergeCell ref="N5:N6"/>
    <mergeCell ref="P5:P6"/>
    <mergeCell ref="R5:R6"/>
    <mergeCell ref="T5:T6"/>
    <mergeCell ref="V5:V6"/>
  </mergeCells>
  <pageMargins left="0.7" right="0.7" top="0.75" bottom="0.75" header="0.3" footer="0.3"/>
  <pageSetup scale="44" orientation="landscape" r:id="rId1"/>
  <ignoredErrors>
    <ignoredError sqref="V81:X8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F80B3-88E1-49DA-9562-BDFA73DA2560}">
  <dimension ref="A1:P219"/>
  <sheetViews>
    <sheetView zoomScale="90" zoomScaleNormal="90" workbookViewId="0">
      <pane xSplit="3" ySplit="6" topLeftCell="D7" activePane="bottomRight" state="frozen"/>
      <selection pane="topRight" activeCell="D1" sqref="D1"/>
      <selection pane="bottomLeft" activeCell="A5" sqref="A5"/>
      <selection pane="bottomRight" activeCell="N4" sqref="N4"/>
    </sheetView>
  </sheetViews>
  <sheetFormatPr defaultColWidth="9.140625" defaultRowHeight="12.75" x14ac:dyDescent="0.2"/>
  <cols>
    <col min="1" max="2" width="9.140625" style="9"/>
    <col min="3" max="3" width="12.85546875" style="9" bestFit="1" customWidth="1"/>
    <col min="4" max="4" width="14.5703125" style="9" customWidth="1"/>
    <col min="5" max="5" width="14.5703125" style="36" customWidth="1"/>
    <col min="6" max="7" width="14.5703125" style="9" customWidth="1"/>
    <col min="8" max="8" width="12.85546875" style="36" bestFit="1" customWidth="1"/>
    <col min="9" max="9" width="12.140625" style="9" customWidth="1"/>
    <col min="10" max="10" width="12.85546875" style="9" customWidth="1"/>
    <col min="11" max="13" width="9.140625" style="9"/>
    <col min="14" max="14" width="12.85546875" style="9" bestFit="1" customWidth="1"/>
    <col min="15" max="15" width="14.5703125" style="9" customWidth="1"/>
    <col min="16" max="16" width="14.7109375" style="9" customWidth="1"/>
    <col min="17" max="16384" width="9.140625" style="9"/>
  </cols>
  <sheetData>
    <row r="1" spans="1:16" x14ac:dyDescent="0.2">
      <c r="A1" s="15" t="s">
        <v>54</v>
      </c>
      <c r="C1" s="255">
        <f>Repayment!N81</f>
        <v>57798518.958269402</v>
      </c>
      <c r="L1" s="15" t="s">
        <v>230</v>
      </c>
      <c r="N1" s="255">
        <f>Repayment!AB81</f>
        <v>20059165.356256999</v>
      </c>
    </row>
    <row r="2" spans="1:16" x14ac:dyDescent="0.2">
      <c r="A2" s="15" t="s">
        <v>60</v>
      </c>
      <c r="C2" s="221">
        <v>2026</v>
      </c>
      <c r="L2" s="15"/>
      <c r="N2" s="221"/>
    </row>
    <row r="3" spans="1:16" x14ac:dyDescent="0.2">
      <c r="A3" s="15" t="s">
        <v>64</v>
      </c>
      <c r="C3" s="190">
        <v>0.21</v>
      </c>
      <c r="L3" s="15" t="s">
        <v>64</v>
      </c>
      <c r="N3" s="190">
        <v>0.21</v>
      </c>
    </row>
    <row r="4" spans="1:16" x14ac:dyDescent="0.2">
      <c r="A4" s="15" t="s">
        <v>55</v>
      </c>
      <c r="C4" s="253">
        <f>ROUND(1/15,6)</f>
        <v>6.6667000000000004E-2</v>
      </c>
      <c r="D4" s="254" t="s">
        <v>264</v>
      </c>
      <c r="L4" s="15" t="s">
        <v>227</v>
      </c>
      <c r="N4" s="258">
        <v>180</v>
      </c>
      <c r="O4" s="254"/>
    </row>
    <row r="6" spans="1:16" s="24" customFormat="1" ht="50.25" customHeight="1" thickBot="1" x14ac:dyDescent="0.3">
      <c r="A6" s="41" t="s">
        <v>7</v>
      </c>
      <c r="B6" s="41" t="s">
        <v>6</v>
      </c>
      <c r="C6" s="41" t="s">
        <v>58</v>
      </c>
      <c r="D6" s="41" t="s">
        <v>56</v>
      </c>
      <c r="E6" s="41" t="s">
        <v>57</v>
      </c>
      <c r="F6" s="41" t="s">
        <v>61</v>
      </c>
      <c r="G6" s="41" t="s">
        <v>59</v>
      </c>
      <c r="H6" s="41" t="s">
        <v>62</v>
      </c>
      <c r="I6" s="41" t="s">
        <v>63</v>
      </c>
      <c r="J6" s="41" t="s">
        <v>21</v>
      </c>
      <c r="L6" s="41" t="s">
        <v>7</v>
      </c>
      <c r="M6" s="41" t="s">
        <v>6</v>
      </c>
      <c r="N6" s="41" t="s">
        <v>228</v>
      </c>
      <c r="O6" s="41" t="s">
        <v>229</v>
      </c>
      <c r="P6" s="41" t="s">
        <v>21</v>
      </c>
    </row>
    <row r="7" spans="1:16" x14ac:dyDescent="0.2">
      <c r="A7" s="9">
        <v>2026</v>
      </c>
      <c r="B7" s="9">
        <v>1</v>
      </c>
      <c r="C7" s="14">
        <f>-(ROUND($C$1*$C$4/12,0))</f>
        <v>-321104</v>
      </c>
      <c r="D7" s="14">
        <f>$C$1+C7</f>
        <v>57477414.958269402</v>
      </c>
      <c r="E7" s="117">
        <f t="shared" ref="E7:E38" si="0">VLOOKUP(A7-($C$2-1),$D$198:$G$219,4)</f>
        <v>3.7499999999999999E-2</v>
      </c>
      <c r="F7" s="14">
        <f>-$C$1*E7/12*B7</f>
        <v>-180620.37174459186</v>
      </c>
      <c r="G7" s="14">
        <f>$C$1+F7</f>
        <v>57617898.586524807</v>
      </c>
      <c r="H7" s="118">
        <f>-(G7-$C$1)/$C$1</f>
        <v>3.1250000000000622E-3</v>
      </c>
      <c r="I7" s="14">
        <f>G7-D7</f>
        <v>140483.62825540453</v>
      </c>
      <c r="J7" s="14">
        <f>ROUND(I7*$C$3,0)</f>
        <v>29502</v>
      </c>
      <c r="L7" s="9">
        <v>2026</v>
      </c>
      <c r="M7" s="9">
        <v>1</v>
      </c>
      <c r="N7" s="14">
        <f>-(ROUND($N$1/$N$4,0))</f>
        <v>-111440</v>
      </c>
      <c r="O7" s="200">
        <f>$N$1+N7</f>
        <v>19947725.356256999</v>
      </c>
      <c r="P7" s="14">
        <f>-ROUND(O7*$N$3,0)</f>
        <v>-4189022</v>
      </c>
    </row>
    <row r="8" spans="1:16" x14ac:dyDescent="0.2">
      <c r="A8" s="9">
        <v>2026</v>
      </c>
      <c r="B8" s="9">
        <v>2</v>
      </c>
      <c r="C8" s="14">
        <f t="shared" ref="C8:C39" si="1">-(ROUND($C$1*$C$4/12,0)-C7)</f>
        <v>-642208</v>
      </c>
      <c r="D8" s="14">
        <f t="shared" ref="D8:D71" si="2">$C$1+C8</f>
        <v>57156310.958269402</v>
      </c>
      <c r="E8" s="117">
        <f t="shared" si="0"/>
        <v>3.7499999999999999E-2</v>
      </c>
      <c r="F8" s="14">
        <f t="shared" ref="F8:F18" si="3">-$C$1*E8/12*B8</f>
        <v>-361240.74348918372</v>
      </c>
      <c r="G8" s="14">
        <f t="shared" ref="G8:G71" si="4">$C$1+F8</f>
        <v>57437278.214780219</v>
      </c>
      <c r="H8" s="118">
        <f t="shared" ref="H8:H71" si="5">-(G8-$C$1)/$C$1</f>
        <v>6.2499999999999951E-3</v>
      </c>
      <c r="I8" s="14">
        <f t="shared" ref="I8:I71" si="6">G8-D8</f>
        <v>280967.25651081651</v>
      </c>
      <c r="J8" s="14">
        <f t="shared" ref="J8:J71" si="7">ROUND(I8*$C$3,0)</f>
        <v>59003</v>
      </c>
      <c r="L8" s="9">
        <v>2026</v>
      </c>
      <c r="M8" s="9">
        <v>2</v>
      </c>
      <c r="N8" s="14">
        <f>-(ROUND($N$1/$N$4,0)-N7)</f>
        <v>-222880</v>
      </c>
      <c r="O8" s="200">
        <f>$N$1+N8</f>
        <v>19836285.356256999</v>
      </c>
      <c r="P8" s="14">
        <f t="shared" ref="P8:P71" si="8">-ROUND(O8*$N$3,0)</f>
        <v>-4165620</v>
      </c>
    </row>
    <row r="9" spans="1:16" x14ac:dyDescent="0.2">
      <c r="A9" s="9">
        <v>2026</v>
      </c>
      <c r="B9" s="9">
        <v>3</v>
      </c>
      <c r="C9" s="14">
        <f t="shared" si="1"/>
        <v>-963312</v>
      </c>
      <c r="D9" s="14">
        <f t="shared" si="2"/>
        <v>56835206.958269402</v>
      </c>
      <c r="E9" s="117">
        <f t="shared" si="0"/>
        <v>3.7499999999999999E-2</v>
      </c>
      <c r="F9" s="14">
        <f t="shared" si="3"/>
        <v>-541861.11523377558</v>
      </c>
      <c r="G9" s="14">
        <f t="shared" si="4"/>
        <v>57256657.843035623</v>
      </c>
      <c r="H9" s="118">
        <f t="shared" si="5"/>
        <v>9.3750000000000569E-3</v>
      </c>
      <c r="I9" s="14">
        <f t="shared" si="6"/>
        <v>421450.88476622105</v>
      </c>
      <c r="J9" s="14">
        <f t="shared" si="7"/>
        <v>88505</v>
      </c>
      <c r="L9" s="9">
        <v>2026</v>
      </c>
      <c r="M9" s="9">
        <v>3</v>
      </c>
      <c r="N9" s="14">
        <f t="shared" ref="N9:N72" si="9">-(ROUND($N$1/$N$4,0)-N8)</f>
        <v>-334320</v>
      </c>
      <c r="O9" s="200">
        <f t="shared" ref="O9:O72" si="10">$N$1+N9</f>
        <v>19724845.356256999</v>
      </c>
      <c r="P9" s="14">
        <f t="shared" si="8"/>
        <v>-4142218</v>
      </c>
    </row>
    <row r="10" spans="1:16" x14ac:dyDescent="0.2">
      <c r="A10" s="9">
        <v>2026</v>
      </c>
      <c r="B10" s="9">
        <v>4</v>
      </c>
      <c r="C10" s="14">
        <f t="shared" si="1"/>
        <v>-1284416</v>
      </c>
      <c r="D10" s="14">
        <f t="shared" si="2"/>
        <v>56514102.958269402</v>
      </c>
      <c r="E10" s="117">
        <f t="shared" si="0"/>
        <v>3.7499999999999999E-2</v>
      </c>
      <c r="F10" s="14">
        <f t="shared" si="3"/>
        <v>-722481.48697836744</v>
      </c>
      <c r="G10" s="14">
        <f t="shared" si="4"/>
        <v>57076037.471291035</v>
      </c>
      <c r="H10" s="118">
        <f t="shared" si="5"/>
        <v>1.249999999999999E-2</v>
      </c>
      <c r="I10" s="14">
        <f t="shared" si="6"/>
        <v>561934.51302163303</v>
      </c>
      <c r="J10" s="14">
        <f t="shared" si="7"/>
        <v>118006</v>
      </c>
      <c r="L10" s="9">
        <v>2026</v>
      </c>
      <c r="M10" s="9">
        <v>4</v>
      </c>
      <c r="N10" s="14">
        <f t="shared" si="9"/>
        <v>-445760</v>
      </c>
      <c r="O10" s="200">
        <f t="shared" si="10"/>
        <v>19613405.356256999</v>
      </c>
      <c r="P10" s="14">
        <f t="shared" si="8"/>
        <v>-4118815</v>
      </c>
    </row>
    <row r="11" spans="1:16" x14ac:dyDescent="0.2">
      <c r="A11" s="9">
        <v>2026</v>
      </c>
      <c r="B11" s="9">
        <v>5</v>
      </c>
      <c r="C11" s="14">
        <f t="shared" si="1"/>
        <v>-1605520</v>
      </c>
      <c r="D11" s="14">
        <f t="shared" si="2"/>
        <v>56192998.958269402</v>
      </c>
      <c r="E11" s="117">
        <f t="shared" si="0"/>
        <v>3.7499999999999999E-2</v>
      </c>
      <c r="F11" s="14">
        <f t="shared" si="3"/>
        <v>-903101.8587229593</v>
      </c>
      <c r="G11" s="14">
        <f t="shared" si="4"/>
        <v>56895417.09954644</v>
      </c>
      <c r="H11" s="118">
        <f t="shared" si="5"/>
        <v>1.5625000000000052E-2</v>
      </c>
      <c r="I11" s="14">
        <f t="shared" si="6"/>
        <v>702418.14127703756</v>
      </c>
      <c r="J11" s="14">
        <f t="shared" si="7"/>
        <v>147508</v>
      </c>
      <c r="L11" s="9">
        <v>2026</v>
      </c>
      <c r="M11" s="9">
        <v>5</v>
      </c>
      <c r="N11" s="14">
        <f t="shared" si="9"/>
        <v>-557200</v>
      </c>
      <c r="O11" s="200">
        <f t="shared" si="10"/>
        <v>19501965.356256999</v>
      </c>
      <c r="P11" s="14">
        <f t="shared" si="8"/>
        <v>-4095413</v>
      </c>
    </row>
    <row r="12" spans="1:16" x14ac:dyDescent="0.2">
      <c r="A12" s="9">
        <v>2026</v>
      </c>
      <c r="B12" s="9">
        <v>6</v>
      </c>
      <c r="C12" s="14">
        <f t="shared" si="1"/>
        <v>-1926624</v>
      </c>
      <c r="D12" s="14">
        <f t="shared" si="2"/>
        <v>55871894.958269402</v>
      </c>
      <c r="E12" s="117">
        <f t="shared" si="0"/>
        <v>3.7499999999999999E-2</v>
      </c>
      <c r="F12" s="14">
        <f t="shared" si="3"/>
        <v>-1083722.2304675512</v>
      </c>
      <c r="G12" s="14">
        <f t="shared" si="4"/>
        <v>56714796.727801852</v>
      </c>
      <c r="H12" s="118">
        <f t="shared" si="5"/>
        <v>1.8749999999999985E-2</v>
      </c>
      <c r="I12" s="14">
        <f t="shared" si="6"/>
        <v>842901.76953244954</v>
      </c>
      <c r="J12" s="14">
        <f t="shared" si="7"/>
        <v>177009</v>
      </c>
      <c r="L12" s="9">
        <v>2026</v>
      </c>
      <c r="M12" s="9">
        <v>6</v>
      </c>
      <c r="N12" s="14">
        <f t="shared" si="9"/>
        <v>-668640</v>
      </c>
      <c r="O12" s="200">
        <f t="shared" si="10"/>
        <v>19390525.356256999</v>
      </c>
      <c r="P12" s="14">
        <f t="shared" si="8"/>
        <v>-4072010</v>
      </c>
    </row>
    <row r="13" spans="1:16" x14ac:dyDescent="0.2">
      <c r="A13" s="9">
        <v>2026</v>
      </c>
      <c r="B13" s="9">
        <v>7</v>
      </c>
      <c r="C13" s="14">
        <f t="shared" si="1"/>
        <v>-2247728</v>
      </c>
      <c r="D13" s="14">
        <f t="shared" si="2"/>
        <v>55550790.958269402</v>
      </c>
      <c r="E13" s="117">
        <f t="shared" si="0"/>
        <v>3.7499999999999999E-2</v>
      </c>
      <c r="F13" s="14">
        <f t="shared" si="3"/>
        <v>-1264342.6022121431</v>
      </c>
      <c r="G13" s="14">
        <f t="shared" si="4"/>
        <v>56534176.356057256</v>
      </c>
      <c r="H13" s="118">
        <f t="shared" si="5"/>
        <v>2.1875000000000047E-2</v>
      </c>
      <c r="I13" s="14">
        <f t="shared" si="6"/>
        <v>983385.39778785408</v>
      </c>
      <c r="J13" s="14">
        <f t="shared" si="7"/>
        <v>206511</v>
      </c>
      <c r="L13" s="9">
        <v>2026</v>
      </c>
      <c r="M13" s="9">
        <v>7</v>
      </c>
      <c r="N13" s="14">
        <f t="shared" si="9"/>
        <v>-780080</v>
      </c>
      <c r="O13" s="200">
        <f t="shared" si="10"/>
        <v>19279085.356256999</v>
      </c>
      <c r="P13" s="14">
        <f t="shared" si="8"/>
        <v>-4048608</v>
      </c>
    </row>
    <row r="14" spans="1:16" x14ac:dyDescent="0.2">
      <c r="A14" s="9">
        <v>2026</v>
      </c>
      <c r="B14" s="9">
        <v>8</v>
      </c>
      <c r="C14" s="14">
        <f t="shared" si="1"/>
        <v>-2568832</v>
      </c>
      <c r="D14" s="14">
        <f t="shared" si="2"/>
        <v>55229686.958269402</v>
      </c>
      <c r="E14" s="117">
        <f t="shared" si="0"/>
        <v>3.7499999999999999E-2</v>
      </c>
      <c r="F14" s="14">
        <f t="shared" si="3"/>
        <v>-1444962.9739567349</v>
      </c>
      <c r="G14" s="14">
        <f t="shared" si="4"/>
        <v>56353555.984312668</v>
      </c>
      <c r="H14" s="118">
        <f t="shared" si="5"/>
        <v>2.4999999999999981E-2</v>
      </c>
      <c r="I14" s="14">
        <f t="shared" si="6"/>
        <v>1123869.0260432661</v>
      </c>
      <c r="J14" s="14">
        <f t="shared" si="7"/>
        <v>236012</v>
      </c>
      <c r="L14" s="9">
        <v>2026</v>
      </c>
      <c r="M14" s="9">
        <v>8</v>
      </c>
      <c r="N14" s="14">
        <f t="shared" si="9"/>
        <v>-891520</v>
      </c>
      <c r="O14" s="200">
        <f t="shared" si="10"/>
        <v>19167645.356256999</v>
      </c>
      <c r="P14" s="14">
        <f t="shared" si="8"/>
        <v>-4025206</v>
      </c>
    </row>
    <row r="15" spans="1:16" x14ac:dyDescent="0.2">
      <c r="A15" s="9">
        <v>2026</v>
      </c>
      <c r="B15" s="9">
        <v>9</v>
      </c>
      <c r="C15" s="14">
        <f t="shared" si="1"/>
        <v>-2889936</v>
      </c>
      <c r="D15" s="14">
        <f t="shared" si="2"/>
        <v>54908582.958269402</v>
      </c>
      <c r="E15" s="117">
        <f t="shared" si="0"/>
        <v>3.7499999999999999E-2</v>
      </c>
      <c r="F15" s="14">
        <f t="shared" si="3"/>
        <v>-1625583.3457013266</v>
      </c>
      <c r="G15" s="14">
        <f t="shared" si="4"/>
        <v>56172935.612568073</v>
      </c>
      <c r="H15" s="118">
        <f t="shared" si="5"/>
        <v>2.8125000000000042E-2</v>
      </c>
      <c r="I15" s="14">
        <f t="shared" si="6"/>
        <v>1264352.6542986706</v>
      </c>
      <c r="J15" s="14">
        <f t="shared" si="7"/>
        <v>265514</v>
      </c>
      <c r="L15" s="9">
        <v>2026</v>
      </c>
      <c r="M15" s="9">
        <v>9</v>
      </c>
      <c r="N15" s="14">
        <f t="shared" si="9"/>
        <v>-1002960</v>
      </c>
      <c r="O15" s="200">
        <f t="shared" si="10"/>
        <v>19056205.356256999</v>
      </c>
      <c r="P15" s="14">
        <f t="shared" si="8"/>
        <v>-4001803</v>
      </c>
    </row>
    <row r="16" spans="1:16" x14ac:dyDescent="0.2">
      <c r="A16" s="9">
        <v>2026</v>
      </c>
      <c r="B16" s="9">
        <v>10</v>
      </c>
      <c r="C16" s="14">
        <f t="shared" si="1"/>
        <v>-3211040</v>
      </c>
      <c r="D16" s="14">
        <f t="shared" si="2"/>
        <v>54587478.958269402</v>
      </c>
      <c r="E16" s="117">
        <f t="shared" si="0"/>
        <v>3.7499999999999999E-2</v>
      </c>
      <c r="F16" s="14">
        <f t="shared" si="3"/>
        <v>-1806203.7174459186</v>
      </c>
      <c r="G16" s="14">
        <f t="shared" si="4"/>
        <v>55992315.240823485</v>
      </c>
      <c r="H16" s="118">
        <f t="shared" si="5"/>
        <v>3.1249999999999976E-2</v>
      </c>
      <c r="I16" s="14">
        <f t="shared" si="6"/>
        <v>1404836.2825540826</v>
      </c>
      <c r="J16" s="14">
        <f t="shared" si="7"/>
        <v>295016</v>
      </c>
      <c r="L16" s="9">
        <v>2026</v>
      </c>
      <c r="M16" s="9">
        <v>10</v>
      </c>
      <c r="N16" s="14">
        <f t="shared" si="9"/>
        <v>-1114400</v>
      </c>
      <c r="O16" s="200">
        <f t="shared" si="10"/>
        <v>18944765.356256999</v>
      </c>
      <c r="P16" s="14">
        <f t="shared" si="8"/>
        <v>-3978401</v>
      </c>
    </row>
    <row r="17" spans="1:16" x14ac:dyDescent="0.2">
      <c r="A17" s="9">
        <v>2026</v>
      </c>
      <c r="B17" s="9">
        <v>11</v>
      </c>
      <c r="C17" s="14">
        <f t="shared" si="1"/>
        <v>-3532144</v>
      </c>
      <c r="D17" s="14">
        <f t="shared" si="2"/>
        <v>54266374.958269402</v>
      </c>
      <c r="E17" s="117">
        <f t="shared" si="0"/>
        <v>3.7499999999999999E-2</v>
      </c>
      <c r="F17" s="14">
        <f t="shared" si="3"/>
        <v>-1986824.0891905106</v>
      </c>
      <c r="G17" s="14">
        <f t="shared" si="4"/>
        <v>55811694.869078889</v>
      </c>
      <c r="H17" s="118">
        <f t="shared" si="5"/>
        <v>3.4375000000000037E-2</v>
      </c>
      <c r="I17" s="14">
        <f t="shared" si="6"/>
        <v>1545319.9108094871</v>
      </c>
      <c r="J17" s="14">
        <f t="shared" si="7"/>
        <v>324517</v>
      </c>
      <c r="L17" s="9">
        <v>2026</v>
      </c>
      <c r="M17" s="9">
        <v>11</v>
      </c>
      <c r="N17" s="14">
        <f t="shared" si="9"/>
        <v>-1225840</v>
      </c>
      <c r="O17" s="200">
        <f t="shared" si="10"/>
        <v>18833325.356256999</v>
      </c>
      <c r="P17" s="14">
        <f t="shared" si="8"/>
        <v>-3954998</v>
      </c>
    </row>
    <row r="18" spans="1:16" x14ac:dyDescent="0.2">
      <c r="A18" s="9">
        <v>2026</v>
      </c>
      <c r="B18" s="9">
        <v>12</v>
      </c>
      <c r="C18" s="14">
        <f t="shared" si="1"/>
        <v>-3853248</v>
      </c>
      <c r="D18" s="14">
        <f t="shared" si="2"/>
        <v>53945270.958269402</v>
      </c>
      <c r="E18" s="117">
        <f t="shared" si="0"/>
        <v>3.7499999999999999E-2</v>
      </c>
      <c r="F18" s="14">
        <f t="shared" si="3"/>
        <v>-2167444.4609351023</v>
      </c>
      <c r="G18" s="14">
        <f t="shared" si="4"/>
        <v>55631074.497334301</v>
      </c>
      <c r="H18" s="118">
        <f t="shared" si="5"/>
        <v>3.7499999999999971E-2</v>
      </c>
      <c r="I18" s="14">
        <f t="shared" si="6"/>
        <v>1685803.5390648991</v>
      </c>
      <c r="J18" s="14">
        <f t="shared" si="7"/>
        <v>354019</v>
      </c>
      <c r="L18" s="9">
        <v>2026</v>
      </c>
      <c r="M18" s="9">
        <v>12</v>
      </c>
      <c r="N18" s="14">
        <f t="shared" si="9"/>
        <v>-1337280</v>
      </c>
      <c r="O18" s="200">
        <f t="shared" si="10"/>
        <v>18721885.356256999</v>
      </c>
      <c r="P18" s="14">
        <f t="shared" si="8"/>
        <v>-3931596</v>
      </c>
    </row>
    <row r="19" spans="1:16" x14ac:dyDescent="0.2">
      <c r="A19" s="9">
        <v>2027</v>
      </c>
      <c r="B19" s="9">
        <v>1</v>
      </c>
      <c r="C19" s="14">
        <f t="shared" si="1"/>
        <v>-4174352</v>
      </c>
      <c r="D19" s="14">
        <f t="shared" si="2"/>
        <v>53624166.958269402</v>
      </c>
      <c r="E19" s="117">
        <f t="shared" si="0"/>
        <v>7.2190000000000004E-2</v>
      </c>
      <c r="F19" s="14">
        <f>-$C$1*E19/12+F18</f>
        <v>-2515150.7179015581</v>
      </c>
      <c r="G19" s="14">
        <f t="shared" si="4"/>
        <v>55283368.240367845</v>
      </c>
      <c r="H19" s="118">
        <f t="shared" si="5"/>
        <v>4.3515833333333323E-2</v>
      </c>
      <c r="I19" s="14">
        <f t="shared" si="6"/>
        <v>1659201.2820984423</v>
      </c>
      <c r="J19" s="14">
        <f t="shared" si="7"/>
        <v>348432</v>
      </c>
      <c r="L19" s="9">
        <v>2027</v>
      </c>
      <c r="M19" s="9">
        <v>1</v>
      </c>
      <c r="N19" s="14">
        <f t="shared" si="9"/>
        <v>-1448720</v>
      </c>
      <c r="O19" s="200">
        <f t="shared" si="10"/>
        <v>18610445.356256999</v>
      </c>
      <c r="P19" s="14">
        <f t="shared" si="8"/>
        <v>-3908194</v>
      </c>
    </row>
    <row r="20" spans="1:16" x14ac:dyDescent="0.2">
      <c r="A20" s="9">
        <v>2027</v>
      </c>
      <c r="B20" s="9">
        <v>2</v>
      </c>
      <c r="C20" s="14">
        <f t="shared" si="1"/>
        <v>-4495456</v>
      </c>
      <c r="D20" s="14">
        <f t="shared" si="2"/>
        <v>53303062.958269402</v>
      </c>
      <c r="E20" s="117">
        <f t="shared" si="0"/>
        <v>7.2190000000000004E-2</v>
      </c>
      <c r="F20" s="14">
        <f t="shared" ref="F20:F83" si="11">-$C$1*E20/12+F19</f>
        <v>-2862856.974868014</v>
      </c>
      <c r="G20" s="14">
        <f t="shared" si="4"/>
        <v>54935661.983401388</v>
      </c>
      <c r="H20" s="118">
        <f t="shared" si="5"/>
        <v>4.9531666666666675E-2</v>
      </c>
      <c r="I20" s="14">
        <f t="shared" si="6"/>
        <v>1632599.0251319855</v>
      </c>
      <c r="J20" s="14">
        <f t="shared" si="7"/>
        <v>342846</v>
      </c>
      <c r="L20" s="9">
        <v>2027</v>
      </c>
      <c r="M20" s="9">
        <v>2</v>
      </c>
      <c r="N20" s="14">
        <f t="shared" si="9"/>
        <v>-1560160</v>
      </c>
      <c r="O20" s="200">
        <f t="shared" si="10"/>
        <v>18499005.356256999</v>
      </c>
      <c r="P20" s="14">
        <f t="shared" si="8"/>
        <v>-3884791</v>
      </c>
    </row>
    <row r="21" spans="1:16" x14ac:dyDescent="0.2">
      <c r="A21" s="9">
        <v>2027</v>
      </c>
      <c r="B21" s="9">
        <v>3</v>
      </c>
      <c r="C21" s="14">
        <f t="shared" si="1"/>
        <v>-4816560</v>
      </c>
      <c r="D21" s="14">
        <f t="shared" si="2"/>
        <v>52981958.958269402</v>
      </c>
      <c r="E21" s="117">
        <f t="shared" si="0"/>
        <v>7.2190000000000004E-2</v>
      </c>
      <c r="F21" s="14">
        <f t="shared" si="11"/>
        <v>-3210563.2318344698</v>
      </c>
      <c r="G21" s="14">
        <f t="shared" si="4"/>
        <v>54587955.726434931</v>
      </c>
      <c r="H21" s="118">
        <f t="shared" si="5"/>
        <v>5.5547500000000027E-2</v>
      </c>
      <c r="I21" s="14">
        <f t="shared" si="6"/>
        <v>1605996.7681655288</v>
      </c>
      <c r="J21" s="14">
        <f t="shared" si="7"/>
        <v>337259</v>
      </c>
      <c r="L21" s="9">
        <v>2027</v>
      </c>
      <c r="M21" s="9">
        <v>3</v>
      </c>
      <c r="N21" s="14">
        <f t="shared" si="9"/>
        <v>-1671600</v>
      </c>
      <c r="O21" s="200">
        <f t="shared" si="10"/>
        <v>18387565.356256999</v>
      </c>
      <c r="P21" s="14">
        <f t="shared" si="8"/>
        <v>-3861389</v>
      </c>
    </row>
    <row r="22" spans="1:16" x14ac:dyDescent="0.2">
      <c r="A22" s="9">
        <v>2027</v>
      </c>
      <c r="B22" s="9">
        <v>4</v>
      </c>
      <c r="C22" s="14">
        <f t="shared" si="1"/>
        <v>-5137664</v>
      </c>
      <c r="D22" s="14">
        <f t="shared" si="2"/>
        <v>52660854.958269402</v>
      </c>
      <c r="E22" s="117">
        <f t="shared" si="0"/>
        <v>7.2190000000000004E-2</v>
      </c>
      <c r="F22" s="14">
        <f t="shared" si="11"/>
        <v>-3558269.4888009257</v>
      </c>
      <c r="G22" s="14">
        <f t="shared" si="4"/>
        <v>54240249.469468474</v>
      </c>
      <c r="H22" s="118">
        <f t="shared" si="5"/>
        <v>6.156333333333338E-2</v>
      </c>
      <c r="I22" s="14">
        <f t="shared" si="6"/>
        <v>1579394.511199072</v>
      </c>
      <c r="J22" s="14">
        <f t="shared" si="7"/>
        <v>331673</v>
      </c>
      <c r="L22" s="9">
        <v>2027</v>
      </c>
      <c r="M22" s="9">
        <v>4</v>
      </c>
      <c r="N22" s="14">
        <f t="shared" si="9"/>
        <v>-1783040</v>
      </c>
      <c r="O22" s="200">
        <f t="shared" si="10"/>
        <v>18276125.356256999</v>
      </c>
      <c r="P22" s="14">
        <f t="shared" si="8"/>
        <v>-3837986</v>
      </c>
    </row>
    <row r="23" spans="1:16" x14ac:dyDescent="0.2">
      <c r="A23" s="9">
        <v>2027</v>
      </c>
      <c r="B23" s="9">
        <v>5</v>
      </c>
      <c r="C23" s="14">
        <f t="shared" si="1"/>
        <v>-5458768</v>
      </c>
      <c r="D23" s="14">
        <f t="shared" si="2"/>
        <v>52339750.958269402</v>
      </c>
      <c r="E23" s="117">
        <f t="shared" si="0"/>
        <v>7.2190000000000004E-2</v>
      </c>
      <c r="F23" s="14">
        <f t="shared" si="11"/>
        <v>-3905975.7457673815</v>
      </c>
      <c r="G23" s="14">
        <f t="shared" si="4"/>
        <v>53892543.212502018</v>
      </c>
      <c r="H23" s="118">
        <f t="shared" si="5"/>
        <v>6.7579166666666732E-2</v>
      </c>
      <c r="I23" s="14">
        <f t="shared" si="6"/>
        <v>1552792.2542326152</v>
      </c>
      <c r="J23" s="14">
        <f t="shared" si="7"/>
        <v>326086</v>
      </c>
      <c r="L23" s="9">
        <v>2027</v>
      </c>
      <c r="M23" s="9">
        <v>5</v>
      </c>
      <c r="N23" s="14">
        <f t="shared" si="9"/>
        <v>-1894480</v>
      </c>
      <c r="O23" s="200">
        <f t="shared" si="10"/>
        <v>18164685.356256999</v>
      </c>
      <c r="P23" s="14">
        <f t="shared" si="8"/>
        <v>-3814584</v>
      </c>
    </row>
    <row r="24" spans="1:16" x14ac:dyDescent="0.2">
      <c r="A24" s="9">
        <v>2027</v>
      </c>
      <c r="B24" s="9">
        <v>6</v>
      </c>
      <c r="C24" s="14">
        <f t="shared" si="1"/>
        <v>-5779872</v>
      </c>
      <c r="D24" s="14">
        <f t="shared" si="2"/>
        <v>52018646.958269402</v>
      </c>
      <c r="E24" s="117">
        <f t="shared" si="0"/>
        <v>7.2190000000000004E-2</v>
      </c>
      <c r="F24" s="14">
        <f t="shared" si="11"/>
        <v>-4253682.0027338369</v>
      </c>
      <c r="G24" s="14">
        <f t="shared" si="4"/>
        <v>53544836.955535568</v>
      </c>
      <c r="H24" s="118">
        <f t="shared" si="5"/>
        <v>7.3594999999999952E-2</v>
      </c>
      <c r="I24" s="14">
        <f t="shared" si="6"/>
        <v>1526189.9972661659</v>
      </c>
      <c r="J24" s="14">
        <f t="shared" si="7"/>
        <v>320500</v>
      </c>
      <c r="L24" s="9">
        <v>2027</v>
      </c>
      <c r="M24" s="9">
        <v>6</v>
      </c>
      <c r="N24" s="14">
        <f t="shared" si="9"/>
        <v>-2005920</v>
      </c>
      <c r="O24" s="200">
        <f t="shared" si="10"/>
        <v>18053245.356256999</v>
      </c>
      <c r="P24" s="14">
        <f t="shared" si="8"/>
        <v>-3791182</v>
      </c>
    </row>
    <row r="25" spans="1:16" x14ac:dyDescent="0.2">
      <c r="A25" s="9">
        <v>2027</v>
      </c>
      <c r="B25" s="9">
        <v>7</v>
      </c>
      <c r="C25" s="14">
        <f t="shared" si="1"/>
        <v>-6100976</v>
      </c>
      <c r="D25" s="14">
        <f t="shared" si="2"/>
        <v>51697542.958269402</v>
      </c>
      <c r="E25" s="117">
        <f t="shared" si="0"/>
        <v>7.2190000000000004E-2</v>
      </c>
      <c r="F25" s="14">
        <f t="shared" si="11"/>
        <v>-4601388.2597002927</v>
      </c>
      <c r="G25" s="14">
        <f t="shared" si="4"/>
        <v>53197130.698569112</v>
      </c>
      <c r="H25" s="118">
        <f t="shared" si="5"/>
        <v>7.9610833333333311E-2</v>
      </c>
      <c r="I25" s="14">
        <f t="shared" si="6"/>
        <v>1499587.7402997091</v>
      </c>
      <c r="J25" s="14">
        <f t="shared" si="7"/>
        <v>314913</v>
      </c>
      <c r="L25" s="9">
        <v>2027</v>
      </c>
      <c r="M25" s="9">
        <v>7</v>
      </c>
      <c r="N25" s="14">
        <f t="shared" si="9"/>
        <v>-2117360</v>
      </c>
      <c r="O25" s="200">
        <f t="shared" si="10"/>
        <v>17941805.356256999</v>
      </c>
      <c r="P25" s="14">
        <f t="shared" si="8"/>
        <v>-3767779</v>
      </c>
    </row>
    <row r="26" spans="1:16" x14ac:dyDescent="0.2">
      <c r="A26" s="9">
        <v>2027</v>
      </c>
      <c r="B26" s="9">
        <v>8</v>
      </c>
      <c r="C26" s="14">
        <f t="shared" si="1"/>
        <v>-6422080</v>
      </c>
      <c r="D26" s="14">
        <f t="shared" si="2"/>
        <v>51376438.958269402</v>
      </c>
      <c r="E26" s="117">
        <f t="shared" si="0"/>
        <v>7.2190000000000004E-2</v>
      </c>
      <c r="F26" s="14">
        <f t="shared" si="11"/>
        <v>-4949094.5166667486</v>
      </c>
      <c r="G26" s="14">
        <f t="shared" si="4"/>
        <v>52849424.441602655</v>
      </c>
      <c r="H26" s="118">
        <f t="shared" si="5"/>
        <v>8.5626666666666656E-2</v>
      </c>
      <c r="I26" s="14">
        <f t="shared" si="6"/>
        <v>1472985.4833332524</v>
      </c>
      <c r="J26" s="14">
        <f t="shared" si="7"/>
        <v>309327</v>
      </c>
      <c r="L26" s="9">
        <v>2027</v>
      </c>
      <c r="M26" s="9">
        <v>8</v>
      </c>
      <c r="N26" s="14">
        <f t="shared" si="9"/>
        <v>-2228800</v>
      </c>
      <c r="O26" s="200">
        <f t="shared" si="10"/>
        <v>17830365.356256999</v>
      </c>
      <c r="P26" s="14">
        <f t="shared" si="8"/>
        <v>-3744377</v>
      </c>
    </row>
    <row r="27" spans="1:16" x14ac:dyDescent="0.2">
      <c r="A27" s="9">
        <v>2027</v>
      </c>
      <c r="B27" s="9">
        <v>9</v>
      </c>
      <c r="C27" s="14">
        <f t="shared" si="1"/>
        <v>-6743184</v>
      </c>
      <c r="D27" s="14">
        <f t="shared" si="2"/>
        <v>51055334.958269402</v>
      </c>
      <c r="E27" s="117">
        <f t="shared" si="0"/>
        <v>7.2190000000000004E-2</v>
      </c>
      <c r="F27" s="14">
        <f t="shared" si="11"/>
        <v>-5296800.7736332044</v>
      </c>
      <c r="G27" s="14">
        <f t="shared" si="4"/>
        <v>52501718.184636198</v>
      </c>
      <c r="H27" s="118">
        <f t="shared" si="5"/>
        <v>9.1642500000000016E-2</v>
      </c>
      <c r="I27" s="14">
        <f t="shared" si="6"/>
        <v>1446383.2263667956</v>
      </c>
      <c r="J27" s="14">
        <f t="shared" si="7"/>
        <v>303740</v>
      </c>
      <c r="L27" s="9">
        <v>2027</v>
      </c>
      <c r="M27" s="9">
        <v>9</v>
      </c>
      <c r="N27" s="14">
        <f t="shared" si="9"/>
        <v>-2340240</v>
      </c>
      <c r="O27" s="200">
        <f t="shared" si="10"/>
        <v>17718925.356256999</v>
      </c>
      <c r="P27" s="14">
        <f t="shared" si="8"/>
        <v>-3720974</v>
      </c>
    </row>
    <row r="28" spans="1:16" x14ac:dyDescent="0.2">
      <c r="A28" s="9">
        <v>2027</v>
      </c>
      <c r="B28" s="9">
        <v>10</v>
      </c>
      <c r="C28" s="14">
        <f t="shared" si="1"/>
        <v>-7064288</v>
      </c>
      <c r="D28" s="14">
        <f t="shared" si="2"/>
        <v>50734230.958269402</v>
      </c>
      <c r="E28" s="117">
        <f t="shared" si="0"/>
        <v>7.2190000000000004E-2</v>
      </c>
      <c r="F28" s="14">
        <f t="shared" si="11"/>
        <v>-5644507.0305996602</v>
      </c>
      <c r="G28" s="14">
        <f t="shared" si="4"/>
        <v>52154011.927669741</v>
      </c>
      <c r="H28" s="118">
        <f t="shared" si="5"/>
        <v>9.7658333333333361E-2</v>
      </c>
      <c r="I28" s="14">
        <f t="shared" si="6"/>
        <v>1419780.9694003388</v>
      </c>
      <c r="J28" s="14">
        <f t="shared" si="7"/>
        <v>298154</v>
      </c>
      <c r="L28" s="9">
        <v>2027</v>
      </c>
      <c r="M28" s="9">
        <v>10</v>
      </c>
      <c r="N28" s="14">
        <f t="shared" si="9"/>
        <v>-2451680</v>
      </c>
      <c r="O28" s="200">
        <f t="shared" si="10"/>
        <v>17607485.356256999</v>
      </c>
      <c r="P28" s="14">
        <f t="shared" si="8"/>
        <v>-3697572</v>
      </c>
    </row>
    <row r="29" spans="1:16" x14ac:dyDescent="0.2">
      <c r="A29" s="9">
        <v>2027</v>
      </c>
      <c r="B29" s="9">
        <v>11</v>
      </c>
      <c r="C29" s="14">
        <f t="shared" si="1"/>
        <v>-7385392</v>
      </c>
      <c r="D29" s="14">
        <f t="shared" si="2"/>
        <v>50413126.958269402</v>
      </c>
      <c r="E29" s="117">
        <f t="shared" si="0"/>
        <v>7.2190000000000004E-2</v>
      </c>
      <c r="F29" s="14">
        <f t="shared" si="11"/>
        <v>-5992213.2875661161</v>
      </c>
      <c r="G29" s="14">
        <f t="shared" si="4"/>
        <v>51806305.670703284</v>
      </c>
      <c r="H29" s="118">
        <f t="shared" si="5"/>
        <v>0.10367416666666672</v>
      </c>
      <c r="I29" s="14">
        <f t="shared" si="6"/>
        <v>1393178.7124338821</v>
      </c>
      <c r="J29" s="14">
        <f t="shared" si="7"/>
        <v>292568</v>
      </c>
      <c r="L29" s="9">
        <v>2027</v>
      </c>
      <c r="M29" s="9">
        <v>11</v>
      </c>
      <c r="N29" s="14">
        <f t="shared" si="9"/>
        <v>-2563120</v>
      </c>
      <c r="O29" s="200">
        <f t="shared" si="10"/>
        <v>17496045.356256999</v>
      </c>
      <c r="P29" s="14">
        <f t="shared" si="8"/>
        <v>-3674170</v>
      </c>
    </row>
    <row r="30" spans="1:16" x14ac:dyDescent="0.2">
      <c r="A30" s="9">
        <v>2027</v>
      </c>
      <c r="B30" s="9">
        <v>12</v>
      </c>
      <c r="C30" s="14">
        <f t="shared" si="1"/>
        <v>-7706496</v>
      </c>
      <c r="D30" s="14">
        <f t="shared" si="2"/>
        <v>50092022.958269402</v>
      </c>
      <c r="E30" s="117">
        <f t="shared" si="0"/>
        <v>7.2190000000000004E-2</v>
      </c>
      <c r="F30" s="14">
        <f t="shared" si="11"/>
        <v>-6339919.5445325719</v>
      </c>
      <c r="G30" s="14">
        <f t="shared" si="4"/>
        <v>51458599.413736828</v>
      </c>
      <c r="H30" s="118">
        <f t="shared" si="5"/>
        <v>0.10969000000000007</v>
      </c>
      <c r="I30" s="14">
        <f t="shared" si="6"/>
        <v>1366576.4554674253</v>
      </c>
      <c r="J30" s="14">
        <f t="shared" si="7"/>
        <v>286981</v>
      </c>
      <c r="L30" s="9">
        <v>2027</v>
      </c>
      <c r="M30" s="9">
        <v>12</v>
      </c>
      <c r="N30" s="14">
        <f t="shared" si="9"/>
        <v>-2674560</v>
      </c>
      <c r="O30" s="200">
        <f t="shared" si="10"/>
        <v>17384605.356256999</v>
      </c>
      <c r="P30" s="14">
        <f t="shared" si="8"/>
        <v>-3650767</v>
      </c>
    </row>
    <row r="31" spans="1:16" x14ac:dyDescent="0.2">
      <c r="A31" s="9">
        <v>2028</v>
      </c>
      <c r="B31" s="9">
        <v>1</v>
      </c>
      <c r="C31" s="14">
        <f t="shared" si="1"/>
        <v>-8027600</v>
      </c>
      <c r="D31" s="14">
        <f t="shared" si="2"/>
        <v>49770918.958269402</v>
      </c>
      <c r="E31" s="117">
        <f t="shared" si="0"/>
        <v>6.6769999999999996E-2</v>
      </c>
      <c r="F31" s="14">
        <f t="shared" si="11"/>
        <v>-6661520.1371028759</v>
      </c>
      <c r="G31" s="14">
        <f t="shared" si="4"/>
        <v>51136998.82116653</v>
      </c>
      <c r="H31" s="118">
        <f t="shared" si="5"/>
        <v>0.11525416666666662</v>
      </c>
      <c r="I31" s="14">
        <f t="shared" si="6"/>
        <v>1366079.8628971279</v>
      </c>
      <c r="J31" s="14">
        <f t="shared" si="7"/>
        <v>286877</v>
      </c>
      <c r="L31" s="9">
        <v>2028</v>
      </c>
      <c r="M31" s="9">
        <v>1</v>
      </c>
      <c r="N31" s="14">
        <f t="shared" si="9"/>
        <v>-2786000</v>
      </c>
      <c r="O31" s="200">
        <f t="shared" si="10"/>
        <v>17273165.356256999</v>
      </c>
      <c r="P31" s="14">
        <f t="shared" si="8"/>
        <v>-3627365</v>
      </c>
    </row>
    <row r="32" spans="1:16" x14ac:dyDescent="0.2">
      <c r="A32" s="9">
        <v>2028</v>
      </c>
      <c r="B32" s="9">
        <v>2</v>
      </c>
      <c r="C32" s="14">
        <f t="shared" si="1"/>
        <v>-8348704</v>
      </c>
      <c r="D32" s="14">
        <f t="shared" si="2"/>
        <v>49449814.958269402</v>
      </c>
      <c r="E32" s="117">
        <f t="shared" si="0"/>
        <v>6.6769999999999996E-2</v>
      </c>
      <c r="F32" s="14">
        <f t="shared" si="11"/>
        <v>-6983120.7296731798</v>
      </c>
      <c r="G32" s="14">
        <f t="shared" si="4"/>
        <v>50815398.228596225</v>
      </c>
      <c r="H32" s="118">
        <f t="shared" si="5"/>
        <v>0.12081833333333331</v>
      </c>
      <c r="I32" s="14">
        <f t="shared" si="6"/>
        <v>1365583.270326823</v>
      </c>
      <c r="J32" s="14">
        <f t="shared" si="7"/>
        <v>286772</v>
      </c>
      <c r="L32" s="9">
        <v>2028</v>
      </c>
      <c r="M32" s="9">
        <v>2</v>
      </c>
      <c r="N32" s="14">
        <f t="shared" si="9"/>
        <v>-2897440</v>
      </c>
      <c r="O32" s="200">
        <f t="shared" si="10"/>
        <v>17161725.356256999</v>
      </c>
      <c r="P32" s="14">
        <f t="shared" si="8"/>
        <v>-3603962</v>
      </c>
    </row>
    <row r="33" spans="1:16" x14ac:dyDescent="0.2">
      <c r="A33" s="9">
        <v>2028</v>
      </c>
      <c r="B33" s="9">
        <v>3</v>
      </c>
      <c r="C33" s="14">
        <f t="shared" si="1"/>
        <v>-8669808</v>
      </c>
      <c r="D33" s="14">
        <f t="shared" si="2"/>
        <v>49128710.958269402</v>
      </c>
      <c r="E33" s="117">
        <f t="shared" si="0"/>
        <v>6.6769999999999996E-2</v>
      </c>
      <c r="F33" s="14">
        <f t="shared" si="11"/>
        <v>-7304721.3222434837</v>
      </c>
      <c r="G33" s="14">
        <f t="shared" si="4"/>
        <v>50493797.636025921</v>
      </c>
      <c r="H33" s="118">
        <f t="shared" si="5"/>
        <v>0.12638249999999998</v>
      </c>
      <c r="I33" s="14">
        <f t="shared" si="6"/>
        <v>1365086.6777565181</v>
      </c>
      <c r="J33" s="14">
        <f t="shared" si="7"/>
        <v>286668</v>
      </c>
      <c r="L33" s="9">
        <v>2028</v>
      </c>
      <c r="M33" s="9">
        <v>3</v>
      </c>
      <c r="N33" s="14">
        <f t="shared" si="9"/>
        <v>-3008880</v>
      </c>
      <c r="O33" s="200">
        <f t="shared" si="10"/>
        <v>17050285.356256999</v>
      </c>
      <c r="P33" s="14">
        <f t="shared" si="8"/>
        <v>-3580560</v>
      </c>
    </row>
    <row r="34" spans="1:16" x14ac:dyDescent="0.2">
      <c r="A34" s="9">
        <v>2028</v>
      </c>
      <c r="B34" s="9">
        <v>4</v>
      </c>
      <c r="C34" s="14">
        <f t="shared" si="1"/>
        <v>-8990912</v>
      </c>
      <c r="D34" s="14">
        <f t="shared" si="2"/>
        <v>48807606.958269402</v>
      </c>
      <c r="E34" s="117">
        <f t="shared" si="0"/>
        <v>6.6769999999999996E-2</v>
      </c>
      <c r="F34" s="14">
        <f t="shared" si="11"/>
        <v>-7626321.9148137877</v>
      </c>
      <c r="G34" s="14">
        <f t="shared" si="4"/>
        <v>50172197.043455616</v>
      </c>
      <c r="H34" s="118">
        <f t="shared" si="5"/>
        <v>0.13194666666666666</v>
      </c>
      <c r="I34" s="14">
        <f t="shared" si="6"/>
        <v>1364590.0851862133</v>
      </c>
      <c r="J34" s="14">
        <f t="shared" si="7"/>
        <v>286564</v>
      </c>
      <c r="L34" s="9">
        <v>2028</v>
      </c>
      <c r="M34" s="9">
        <v>4</v>
      </c>
      <c r="N34" s="14">
        <f t="shared" si="9"/>
        <v>-3120320</v>
      </c>
      <c r="O34" s="200">
        <f t="shared" si="10"/>
        <v>16938845.356256999</v>
      </c>
      <c r="P34" s="14">
        <f t="shared" si="8"/>
        <v>-3557158</v>
      </c>
    </row>
    <row r="35" spans="1:16" x14ac:dyDescent="0.2">
      <c r="A35" s="9">
        <v>2028</v>
      </c>
      <c r="B35" s="9">
        <v>5</v>
      </c>
      <c r="C35" s="14">
        <f t="shared" si="1"/>
        <v>-9312016</v>
      </c>
      <c r="D35" s="14">
        <f t="shared" si="2"/>
        <v>48486502.958269402</v>
      </c>
      <c r="E35" s="117">
        <f t="shared" si="0"/>
        <v>6.6769999999999996E-2</v>
      </c>
      <c r="F35" s="14">
        <f t="shared" si="11"/>
        <v>-7947922.5073840916</v>
      </c>
      <c r="G35" s="14">
        <f t="shared" si="4"/>
        <v>49850596.450885311</v>
      </c>
      <c r="H35" s="118">
        <f t="shared" si="5"/>
        <v>0.13751083333333336</v>
      </c>
      <c r="I35" s="14">
        <f t="shared" si="6"/>
        <v>1364093.4926159084</v>
      </c>
      <c r="J35" s="14">
        <f t="shared" si="7"/>
        <v>286460</v>
      </c>
      <c r="L35" s="9">
        <v>2028</v>
      </c>
      <c r="M35" s="9">
        <v>5</v>
      </c>
      <c r="N35" s="14">
        <f t="shared" si="9"/>
        <v>-3231760</v>
      </c>
      <c r="O35" s="200">
        <f t="shared" si="10"/>
        <v>16827405.356256999</v>
      </c>
      <c r="P35" s="14">
        <f t="shared" si="8"/>
        <v>-3533755</v>
      </c>
    </row>
    <row r="36" spans="1:16" x14ac:dyDescent="0.2">
      <c r="A36" s="9">
        <v>2028</v>
      </c>
      <c r="B36" s="9">
        <v>6</v>
      </c>
      <c r="C36" s="14">
        <f t="shared" si="1"/>
        <v>-9633120</v>
      </c>
      <c r="D36" s="14">
        <f t="shared" si="2"/>
        <v>48165398.958269402</v>
      </c>
      <c r="E36" s="117">
        <f t="shared" si="0"/>
        <v>6.6769999999999996E-2</v>
      </c>
      <c r="F36" s="14">
        <f t="shared" si="11"/>
        <v>-8269523.0999543956</v>
      </c>
      <c r="G36" s="14">
        <f t="shared" si="4"/>
        <v>49528995.858315006</v>
      </c>
      <c r="H36" s="118">
        <f t="shared" si="5"/>
        <v>0.14307500000000004</v>
      </c>
      <c r="I36" s="14">
        <f t="shared" si="6"/>
        <v>1363596.9000456035</v>
      </c>
      <c r="J36" s="14">
        <f t="shared" si="7"/>
        <v>286355</v>
      </c>
      <c r="L36" s="9">
        <v>2028</v>
      </c>
      <c r="M36" s="9">
        <v>6</v>
      </c>
      <c r="N36" s="14">
        <f t="shared" si="9"/>
        <v>-3343200</v>
      </c>
      <c r="O36" s="200">
        <f t="shared" si="10"/>
        <v>16715965.356256999</v>
      </c>
      <c r="P36" s="14">
        <f t="shared" si="8"/>
        <v>-3510353</v>
      </c>
    </row>
    <row r="37" spans="1:16" x14ac:dyDescent="0.2">
      <c r="A37" s="9">
        <v>2028</v>
      </c>
      <c r="B37" s="9">
        <v>7</v>
      </c>
      <c r="C37" s="14">
        <f t="shared" si="1"/>
        <v>-9954224</v>
      </c>
      <c r="D37" s="14">
        <f t="shared" si="2"/>
        <v>47844294.958269402</v>
      </c>
      <c r="E37" s="117">
        <f t="shared" si="0"/>
        <v>6.6769999999999996E-2</v>
      </c>
      <c r="F37" s="14">
        <f t="shared" si="11"/>
        <v>-8591123.6925246995</v>
      </c>
      <c r="G37" s="14">
        <f t="shared" si="4"/>
        <v>49207395.265744701</v>
      </c>
      <c r="H37" s="118">
        <f t="shared" si="5"/>
        <v>0.14863916666666671</v>
      </c>
      <c r="I37" s="14">
        <f t="shared" si="6"/>
        <v>1363100.3074752986</v>
      </c>
      <c r="J37" s="14">
        <f t="shared" si="7"/>
        <v>286251</v>
      </c>
      <c r="L37" s="9">
        <v>2028</v>
      </c>
      <c r="M37" s="9">
        <v>7</v>
      </c>
      <c r="N37" s="14">
        <f t="shared" si="9"/>
        <v>-3454640</v>
      </c>
      <c r="O37" s="200">
        <f t="shared" si="10"/>
        <v>16604525.356256999</v>
      </c>
      <c r="P37" s="14">
        <f t="shared" si="8"/>
        <v>-3486950</v>
      </c>
    </row>
    <row r="38" spans="1:16" x14ac:dyDescent="0.2">
      <c r="A38" s="9">
        <v>2028</v>
      </c>
      <c r="B38" s="9">
        <v>8</v>
      </c>
      <c r="C38" s="14">
        <f t="shared" si="1"/>
        <v>-10275328</v>
      </c>
      <c r="D38" s="14">
        <f t="shared" si="2"/>
        <v>47523190.958269402</v>
      </c>
      <c r="E38" s="117">
        <f t="shared" si="0"/>
        <v>6.6769999999999996E-2</v>
      </c>
      <c r="F38" s="14">
        <f t="shared" si="11"/>
        <v>-8912724.2850950044</v>
      </c>
      <c r="G38" s="14">
        <f t="shared" si="4"/>
        <v>48885794.673174396</v>
      </c>
      <c r="H38" s="118">
        <f t="shared" si="5"/>
        <v>0.15420333333333339</v>
      </c>
      <c r="I38" s="14">
        <f t="shared" si="6"/>
        <v>1362603.7149049938</v>
      </c>
      <c r="J38" s="14">
        <f t="shared" si="7"/>
        <v>286147</v>
      </c>
      <c r="L38" s="9">
        <v>2028</v>
      </c>
      <c r="M38" s="9">
        <v>8</v>
      </c>
      <c r="N38" s="14">
        <f t="shared" si="9"/>
        <v>-3566080</v>
      </c>
      <c r="O38" s="200">
        <f t="shared" si="10"/>
        <v>16493085.356256999</v>
      </c>
      <c r="P38" s="14">
        <f t="shared" si="8"/>
        <v>-3463548</v>
      </c>
    </row>
    <row r="39" spans="1:16" x14ac:dyDescent="0.2">
      <c r="A39" s="9">
        <v>2028</v>
      </c>
      <c r="B39" s="9">
        <v>9</v>
      </c>
      <c r="C39" s="14">
        <f t="shared" si="1"/>
        <v>-10596432</v>
      </c>
      <c r="D39" s="14">
        <f t="shared" si="2"/>
        <v>47202086.958269402</v>
      </c>
      <c r="E39" s="117">
        <f t="shared" ref="E39:E70" si="12">VLOOKUP(A39-($C$2-1),$D$198:$G$219,4)</f>
        <v>6.6769999999999996E-2</v>
      </c>
      <c r="F39" s="14">
        <f t="shared" si="11"/>
        <v>-9234324.8776653092</v>
      </c>
      <c r="G39" s="14">
        <f t="shared" si="4"/>
        <v>48564194.080604091</v>
      </c>
      <c r="H39" s="118">
        <f t="shared" si="5"/>
        <v>0.15976750000000006</v>
      </c>
      <c r="I39" s="14">
        <f t="shared" si="6"/>
        <v>1362107.1223346889</v>
      </c>
      <c r="J39" s="14">
        <f t="shared" si="7"/>
        <v>286042</v>
      </c>
      <c r="L39" s="9">
        <v>2028</v>
      </c>
      <c r="M39" s="9">
        <v>9</v>
      </c>
      <c r="N39" s="14">
        <f t="shared" si="9"/>
        <v>-3677520</v>
      </c>
      <c r="O39" s="200">
        <f t="shared" si="10"/>
        <v>16381645.356256999</v>
      </c>
      <c r="P39" s="14">
        <f t="shared" si="8"/>
        <v>-3440146</v>
      </c>
    </row>
    <row r="40" spans="1:16" x14ac:dyDescent="0.2">
      <c r="A40" s="9">
        <v>2028</v>
      </c>
      <c r="B40" s="9">
        <v>10</v>
      </c>
      <c r="C40" s="14">
        <f t="shared" ref="C40:C71" si="13">-(ROUND($C$1*$C$4/12,0)-C39)</f>
        <v>-10917536</v>
      </c>
      <c r="D40" s="14">
        <f t="shared" si="2"/>
        <v>46880982.958269402</v>
      </c>
      <c r="E40" s="117">
        <f t="shared" si="12"/>
        <v>6.6769999999999996E-2</v>
      </c>
      <c r="F40" s="14">
        <f t="shared" si="11"/>
        <v>-9555925.4702356141</v>
      </c>
      <c r="G40" s="14">
        <f t="shared" si="4"/>
        <v>48242593.488033786</v>
      </c>
      <c r="H40" s="118">
        <f t="shared" si="5"/>
        <v>0.16533166666666677</v>
      </c>
      <c r="I40" s="14">
        <f t="shared" si="6"/>
        <v>1361610.529764384</v>
      </c>
      <c r="J40" s="14">
        <f t="shared" si="7"/>
        <v>285938</v>
      </c>
      <c r="L40" s="9">
        <v>2028</v>
      </c>
      <c r="M40" s="9">
        <v>10</v>
      </c>
      <c r="N40" s="14">
        <f t="shared" si="9"/>
        <v>-3788960</v>
      </c>
      <c r="O40" s="200">
        <f t="shared" si="10"/>
        <v>16270205.356256999</v>
      </c>
      <c r="P40" s="14">
        <f t="shared" si="8"/>
        <v>-3416743</v>
      </c>
    </row>
    <row r="41" spans="1:16" x14ac:dyDescent="0.2">
      <c r="A41" s="9">
        <v>2028</v>
      </c>
      <c r="B41" s="9">
        <v>11</v>
      </c>
      <c r="C41" s="14">
        <f t="shared" si="13"/>
        <v>-11238640</v>
      </c>
      <c r="D41" s="14">
        <f t="shared" si="2"/>
        <v>46559878.958269402</v>
      </c>
      <c r="E41" s="117">
        <f t="shared" si="12"/>
        <v>6.6769999999999996E-2</v>
      </c>
      <c r="F41" s="14">
        <f t="shared" si="11"/>
        <v>-9877526.062805919</v>
      </c>
      <c r="G41" s="14">
        <f t="shared" si="4"/>
        <v>47920992.895463482</v>
      </c>
      <c r="H41" s="118">
        <f t="shared" si="5"/>
        <v>0.17089583333333344</v>
      </c>
      <c r="I41" s="14">
        <f t="shared" si="6"/>
        <v>1361113.9371940792</v>
      </c>
      <c r="J41" s="14">
        <f t="shared" si="7"/>
        <v>285834</v>
      </c>
      <c r="L41" s="9">
        <v>2028</v>
      </c>
      <c r="M41" s="9">
        <v>11</v>
      </c>
      <c r="N41" s="14">
        <f t="shared" si="9"/>
        <v>-3900400</v>
      </c>
      <c r="O41" s="200">
        <f t="shared" si="10"/>
        <v>16158765.356256999</v>
      </c>
      <c r="P41" s="14">
        <f t="shared" si="8"/>
        <v>-3393341</v>
      </c>
    </row>
    <row r="42" spans="1:16" x14ac:dyDescent="0.2">
      <c r="A42" s="9">
        <v>2028</v>
      </c>
      <c r="B42" s="9">
        <v>12</v>
      </c>
      <c r="C42" s="14">
        <f t="shared" si="13"/>
        <v>-11559744</v>
      </c>
      <c r="D42" s="14">
        <f t="shared" si="2"/>
        <v>46238774.958269402</v>
      </c>
      <c r="E42" s="117">
        <f t="shared" si="12"/>
        <v>6.6769999999999996E-2</v>
      </c>
      <c r="F42" s="14">
        <f t="shared" si="11"/>
        <v>-10199126.655376224</v>
      </c>
      <c r="G42" s="14">
        <f t="shared" si="4"/>
        <v>47599392.302893177</v>
      </c>
      <c r="H42" s="118">
        <f t="shared" si="5"/>
        <v>0.17646000000000012</v>
      </c>
      <c r="I42" s="14">
        <f t="shared" si="6"/>
        <v>1360617.3446237743</v>
      </c>
      <c r="J42" s="14">
        <f t="shared" si="7"/>
        <v>285730</v>
      </c>
      <c r="L42" s="9">
        <v>2028</v>
      </c>
      <c r="M42" s="9">
        <v>12</v>
      </c>
      <c r="N42" s="14">
        <f t="shared" si="9"/>
        <v>-4011840</v>
      </c>
      <c r="O42" s="200">
        <f t="shared" si="10"/>
        <v>16047325.356256999</v>
      </c>
      <c r="P42" s="14">
        <f t="shared" si="8"/>
        <v>-3369938</v>
      </c>
    </row>
    <row r="43" spans="1:16" x14ac:dyDescent="0.2">
      <c r="A43" s="9">
        <v>2029</v>
      </c>
      <c r="B43" s="9">
        <v>1</v>
      </c>
      <c r="C43" s="14">
        <f t="shared" si="13"/>
        <v>-11880848</v>
      </c>
      <c r="D43" s="14">
        <f t="shared" si="2"/>
        <v>45917670.958269402</v>
      </c>
      <c r="E43" s="117">
        <f t="shared" si="12"/>
        <v>6.1769999999999999E-2</v>
      </c>
      <c r="F43" s="14">
        <f t="shared" si="11"/>
        <v>-10496644.531713916</v>
      </c>
      <c r="G43" s="14">
        <f t="shared" si="4"/>
        <v>47301874.426555485</v>
      </c>
      <c r="H43" s="118">
        <f t="shared" si="5"/>
        <v>0.18160750000000012</v>
      </c>
      <c r="I43" s="14">
        <f t="shared" si="6"/>
        <v>1384203.4682860821</v>
      </c>
      <c r="J43" s="14">
        <f t="shared" si="7"/>
        <v>290683</v>
      </c>
      <c r="L43" s="9">
        <v>2029</v>
      </c>
      <c r="M43" s="9">
        <v>1</v>
      </c>
      <c r="N43" s="14">
        <f t="shared" si="9"/>
        <v>-4123280</v>
      </c>
      <c r="O43" s="200">
        <f t="shared" si="10"/>
        <v>15935885.356256999</v>
      </c>
      <c r="P43" s="14">
        <f t="shared" si="8"/>
        <v>-3346536</v>
      </c>
    </row>
    <row r="44" spans="1:16" x14ac:dyDescent="0.2">
      <c r="A44" s="9">
        <v>2029</v>
      </c>
      <c r="B44" s="9">
        <v>2</v>
      </c>
      <c r="C44" s="14">
        <f t="shared" si="13"/>
        <v>-12201952</v>
      </c>
      <c r="D44" s="14">
        <f t="shared" si="2"/>
        <v>45596566.958269402</v>
      </c>
      <c r="E44" s="117">
        <f t="shared" si="12"/>
        <v>6.1769999999999999E-2</v>
      </c>
      <c r="F44" s="14">
        <f t="shared" si="11"/>
        <v>-10794162.408051608</v>
      </c>
      <c r="G44" s="14">
        <f t="shared" si="4"/>
        <v>47004356.550217792</v>
      </c>
      <c r="H44" s="118">
        <f t="shared" si="5"/>
        <v>0.18675500000000014</v>
      </c>
      <c r="I44" s="14">
        <f t="shared" si="6"/>
        <v>1407789.59194839</v>
      </c>
      <c r="J44" s="14">
        <f t="shared" si="7"/>
        <v>295636</v>
      </c>
      <c r="L44" s="9">
        <v>2029</v>
      </c>
      <c r="M44" s="9">
        <v>2</v>
      </c>
      <c r="N44" s="14">
        <f t="shared" si="9"/>
        <v>-4234720</v>
      </c>
      <c r="O44" s="200">
        <f t="shared" si="10"/>
        <v>15824445.356256999</v>
      </c>
      <c r="P44" s="14">
        <f t="shared" si="8"/>
        <v>-3323134</v>
      </c>
    </row>
    <row r="45" spans="1:16" x14ac:dyDescent="0.2">
      <c r="A45" s="9">
        <v>2029</v>
      </c>
      <c r="B45" s="9">
        <v>3</v>
      </c>
      <c r="C45" s="14">
        <f t="shared" si="13"/>
        <v>-12523056</v>
      </c>
      <c r="D45" s="14">
        <f t="shared" si="2"/>
        <v>45275462.958269402</v>
      </c>
      <c r="E45" s="117">
        <f t="shared" si="12"/>
        <v>6.1769999999999999E-2</v>
      </c>
      <c r="F45" s="14">
        <f t="shared" si="11"/>
        <v>-11091680.2843893</v>
      </c>
      <c r="G45" s="14">
        <f t="shared" si="4"/>
        <v>46706838.6738801</v>
      </c>
      <c r="H45" s="118">
        <f t="shared" si="5"/>
        <v>0.19190250000000014</v>
      </c>
      <c r="I45" s="14">
        <f t="shared" si="6"/>
        <v>1431375.7156106979</v>
      </c>
      <c r="J45" s="14">
        <f t="shared" si="7"/>
        <v>300589</v>
      </c>
      <c r="L45" s="9">
        <v>2029</v>
      </c>
      <c r="M45" s="9">
        <v>3</v>
      </c>
      <c r="N45" s="14">
        <f t="shared" si="9"/>
        <v>-4346160</v>
      </c>
      <c r="O45" s="200">
        <f t="shared" si="10"/>
        <v>15713005.356256999</v>
      </c>
      <c r="P45" s="14">
        <f t="shared" si="8"/>
        <v>-3299731</v>
      </c>
    </row>
    <row r="46" spans="1:16" x14ac:dyDescent="0.2">
      <c r="A46" s="9">
        <v>2029</v>
      </c>
      <c r="B46" s="9">
        <v>4</v>
      </c>
      <c r="C46" s="14">
        <f t="shared" si="13"/>
        <v>-12844160</v>
      </c>
      <c r="D46" s="14">
        <f t="shared" si="2"/>
        <v>44954358.958269402</v>
      </c>
      <c r="E46" s="117">
        <f t="shared" si="12"/>
        <v>6.1769999999999999E-2</v>
      </c>
      <c r="F46" s="14">
        <f t="shared" si="11"/>
        <v>-11389198.160726992</v>
      </c>
      <c r="G46" s="14">
        <f t="shared" si="4"/>
        <v>46409320.797542408</v>
      </c>
      <c r="H46" s="118">
        <f t="shared" si="5"/>
        <v>0.19705000000000014</v>
      </c>
      <c r="I46" s="14">
        <f t="shared" si="6"/>
        <v>1454961.8392730057</v>
      </c>
      <c r="J46" s="14">
        <f t="shared" si="7"/>
        <v>305542</v>
      </c>
      <c r="L46" s="9">
        <v>2029</v>
      </c>
      <c r="M46" s="9">
        <v>4</v>
      </c>
      <c r="N46" s="14">
        <f t="shared" si="9"/>
        <v>-4457600</v>
      </c>
      <c r="O46" s="200">
        <f t="shared" si="10"/>
        <v>15601565.356256999</v>
      </c>
      <c r="P46" s="14">
        <f t="shared" si="8"/>
        <v>-3276329</v>
      </c>
    </row>
    <row r="47" spans="1:16" x14ac:dyDescent="0.2">
      <c r="A47" s="9">
        <v>2029</v>
      </c>
      <c r="B47" s="9">
        <v>5</v>
      </c>
      <c r="C47" s="14">
        <f t="shared" si="13"/>
        <v>-13165264</v>
      </c>
      <c r="D47" s="14">
        <f t="shared" si="2"/>
        <v>44633254.958269402</v>
      </c>
      <c r="E47" s="117">
        <f t="shared" si="12"/>
        <v>6.1769999999999999E-2</v>
      </c>
      <c r="F47" s="14">
        <f t="shared" si="11"/>
        <v>-11686716.037064685</v>
      </c>
      <c r="G47" s="14">
        <f t="shared" si="4"/>
        <v>46111802.921204716</v>
      </c>
      <c r="H47" s="118">
        <f t="shared" si="5"/>
        <v>0.20219750000000014</v>
      </c>
      <c r="I47" s="14">
        <f t="shared" si="6"/>
        <v>1478547.9629353136</v>
      </c>
      <c r="J47" s="14">
        <f t="shared" si="7"/>
        <v>310495</v>
      </c>
      <c r="L47" s="9">
        <v>2029</v>
      </c>
      <c r="M47" s="9">
        <v>5</v>
      </c>
      <c r="N47" s="14">
        <f t="shared" si="9"/>
        <v>-4569040</v>
      </c>
      <c r="O47" s="200">
        <f t="shared" si="10"/>
        <v>15490125.356256999</v>
      </c>
      <c r="P47" s="14">
        <f t="shared" si="8"/>
        <v>-3252926</v>
      </c>
    </row>
    <row r="48" spans="1:16" x14ac:dyDescent="0.2">
      <c r="A48" s="9">
        <v>2029</v>
      </c>
      <c r="B48" s="9">
        <v>6</v>
      </c>
      <c r="C48" s="14">
        <f t="shared" si="13"/>
        <v>-13486368</v>
      </c>
      <c r="D48" s="14">
        <f t="shared" si="2"/>
        <v>44312150.958269402</v>
      </c>
      <c r="E48" s="117">
        <f t="shared" si="12"/>
        <v>6.1769999999999999E-2</v>
      </c>
      <c r="F48" s="14">
        <f t="shared" si="11"/>
        <v>-11984233.913402377</v>
      </c>
      <c r="G48" s="14">
        <f t="shared" si="4"/>
        <v>45814285.044867024</v>
      </c>
      <c r="H48" s="118">
        <f t="shared" si="5"/>
        <v>0.20734500000000017</v>
      </c>
      <c r="I48" s="14">
        <f t="shared" si="6"/>
        <v>1502134.0865976214</v>
      </c>
      <c r="J48" s="14">
        <f t="shared" si="7"/>
        <v>315448</v>
      </c>
      <c r="L48" s="9">
        <v>2029</v>
      </c>
      <c r="M48" s="9">
        <v>6</v>
      </c>
      <c r="N48" s="14">
        <f t="shared" si="9"/>
        <v>-4680480</v>
      </c>
      <c r="O48" s="200">
        <f t="shared" si="10"/>
        <v>15378685.356256999</v>
      </c>
      <c r="P48" s="14">
        <f t="shared" si="8"/>
        <v>-3229524</v>
      </c>
    </row>
    <row r="49" spans="1:16" x14ac:dyDescent="0.2">
      <c r="A49" s="9">
        <v>2029</v>
      </c>
      <c r="B49" s="9">
        <v>7</v>
      </c>
      <c r="C49" s="14">
        <f t="shared" si="13"/>
        <v>-13807472</v>
      </c>
      <c r="D49" s="14">
        <f t="shared" si="2"/>
        <v>43991046.958269402</v>
      </c>
      <c r="E49" s="117">
        <f t="shared" si="12"/>
        <v>6.1769999999999999E-2</v>
      </c>
      <c r="F49" s="14">
        <f t="shared" si="11"/>
        <v>-12281751.789740069</v>
      </c>
      <c r="G49" s="14">
        <f t="shared" si="4"/>
        <v>45516767.168529332</v>
      </c>
      <c r="H49" s="118">
        <f t="shared" si="5"/>
        <v>0.21249250000000017</v>
      </c>
      <c r="I49" s="14">
        <f t="shared" si="6"/>
        <v>1525720.2102599293</v>
      </c>
      <c r="J49" s="14">
        <f t="shared" si="7"/>
        <v>320401</v>
      </c>
      <c r="L49" s="9">
        <v>2029</v>
      </c>
      <c r="M49" s="9">
        <v>7</v>
      </c>
      <c r="N49" s="14">
        <f t="shared" si="9"/>
        <v>-4791920</v>
      </c>
      <c r="O49" s="200">
        <f t="shared" si="10"/>
        <v>15267245.356256999</v>
      </c>
      <c r="P49" s="14">
        <f t="shared" si="8"/>
        <v>-3206122</v>
      </c>
    </row>
    <row r="50" spans="1:16" x14ac:dyDescent="0.2">
      <c r="A50" s="9">
        <v>2029</v>
      </c>
      <c r="B50" s="9">
        <v>8</v>
      </c>
      <c r="C50" s="14">
        <f t="shared" si="13"/>
        <v>-14128576</v>
      </c>
      <c r="D50" s="14">
        <f t="shared" si="2"/>
        <v>43669942.958269402</v>
      </c>
      <c r="E50" s="117">
        <f t="shared" si="12"/>
        <v>6.1769999999999999E-2</v>
      </c>
      <c r="F50" s="14">
        <f t="shared" si="11"/>
        <v>-12579269.666077761</v>
      </c>
      <c r="G50" s="14">
        <f t="shared" si="4"/>
        <v>45219249.29219164</v>
      </c>
      <c r="H50" s="118">
        <f t="shared" si="5"/>
        <v>0.21764000000000017</v>
      </c>
      <c r="I50" s="14">
        <f t="shared" si="6"/>
        <v>1549306.3339222372</v>
      </c>
      <c r="J50" s="14">
        <f t="shared" si="7"/>
        <v>325354</v>
      </c>
      <c r="L50" s="9">
        <v>2029</v>
      </c>
      <c r="M50" s="9">
        <v>8</v>
      </c>
      <c r="N50" s="14">
        <f t="shared" si="9"/>
        <v>-4903360</v>
      </c>
      <c r="O50" s="200">
        <f t="shared" si="10"/>
        <v>15155805.356256999</v>
      </c>
      <c r="P50" s="14">
        <f t="shared" si="8"/>
        <v>-3182719</v>
      </c>
    </row>
    <row r="51" spans="1:16" x14ac:dyDescent="0.2">
      <c r="A51" s="9">
        <v>2029</v>
      </c>
      <c r="B51" s="9">
        <v>9</v>
      </c>
      <c r="C51" s="14">
        <f t="shared" si="13"/>
        <v>-14449680</v>
      </c>
      <c r="D51" s="14">
        <f t="shared" si="2"/>
        <v>43348838.958269402</v>
      </c>
      <c r="E51" s="117">
        <f t="shared" si="12"/>
        <v>6.1769999999999999E-2</v>
      </c>
      <c r="F51" s="14">
        <f t="shared" si="11"/>
        <v>-12876787.542415453</v>
      </c>
      <c r="G51" s="14">
        <f t="shared" si="4"/>
        <v>44921731.415853947</v>
      </c>
      <c r="H51" s="118">
        <f t="shared" si="5"/>
        <v>0.22278750000000019</v>
      </c>
      <c r="I51" s="14">
        <f t="shared" si="6"/>
        <v>1572892.457584545</v>
      </c>
      <c r="J51" s="14">
        <f t="shared" si="7"/>
        <v>330307</v>
      </c>
      <c r="L51" s="9">
        <v>2029</v>
      </c>
      <c r="M51" s="9">
        <v>9</v>
      </c>
      <c r="N51" s="14">
        <f t="shared" si="9"/>
        <v>-5014800</v>
      </c>
      <c r="O51" s="200">
        <f t="shared" si="10"/>
        <v>15044365.356256999</v>
      </c>
      <c r="P51" s="14">
        <f t="shared" si="8"/>
        <v>-3159317</v>
      </c>
    </row>
    <row r="52" spans="1:16" x14ac:dyDescent="0.2">
      <c r="A52" s="9">
        <v>2029</v>
      </c>
      <c r="B52" s="9">
        <v>10</v>
      </c>
      <c r="C52" s="14">
        <f t="shared" si="13"/>
        <v>-14770784</v>
      </c>
      <c r="D52" s="14">
        <f t="shared" si="2"/>
        <v>43027734.958269402</v>
      </c>
      <c r="E52" s="117">
        <f t="shared" si="12"/>
        <v>6.1769999999999999E-2</v>
      </c>
      <c r="F52" s="14">
        <f t="shared" si="11"/>
        <v>-13174305.418753145</v>
      </c>
      <c r="G52" s="14">
        <f t="shared" si="4"/>
        <v>44624213.539516255</v>
      </c>
      <c r="H52" s="118">
        <f t="shared" si="5"/>
        <v>0.22793500000000019</v>
      </c>
      <c r="I52" s="14">
        <f t="shared" si="6"/>
        <v>1596478.5812468529</v>
      </c>
      <c r="J52" s="14">
        <f t="shared" si="7"/>
        <v>335261</v>
      </c>
      <c r="L52" s="9">
        <v>2029</v>
      </c>
      <c r="M52" s="9">
        <v>10</v>
      </c>
      <c r="N52" s="14">
        <f t="shared" si="9"/>
        <v>-5126240</v>
      </c>
      <c r="O52" s="200">
        <f t="shared" si="10"/>
        <v>14932925.356256999</v>
      </c>
      <c r="P52" s="14">
        <f t="shared" si="8"/>
        <v>-3135914</v>
      </c>
    </row>
    <row r="53" spans="1:16" x14ac:dyDescent="0.2">
      <c r="A53" s="9">
        <v>2029</v>
      </c>
      <c r="B53" s="9">
        <v>11</v>
      </c>
      <c r="C53" s="14">
        <f t="shared" si="13"/>
        <v>-15091888</v>
      </c>
      <c r="D53" s="14">
        <f t="shared" si="2"/>
        <v>42706630.958269402</v>
      </c>
      <c r="E53" s="117">
        <f t="shared" si="12"/>
        <v>6.1769999999999999E-2</v>
      </c>
      <c r="F53" s="14">
        <f t="shared" si="11"/>
        <v>-13471823.295090837</v>
      </c>
      <c r="G53" s="14">
        <f t="shared" si="4"/>
        <v>44326695.663178563</v>
      </c>
      <c r="H53" s="118">
        <f t="shared" si="5"/>
        <v>0.23308250000000019</v>
      </c>
      <c r="I53" s="14">
        <f t="shared" si="6"/>
        <v>1620064.7049091607</v>
      </c>
      <c r="J53" s="14">
        <f t="shared" si="7"/>
        <v>340214</v>
      </c>
      <c r="L53" s="9">
        <v>2029</v>
      </c>
      <c r="M53" s="9">
        <v>11</v>
      </c>
      <c r="N53" s="14">
        <f t="shared" si="9"/>
        <v>-5237680</v>
      </c>
      <c r="O53" s="200">
        <f t="shared" si="10"/>
        <v>14821485.356256999</v>
      </c>
      <c r="P53" s="14">
        <f t="shared" si="8"/>
        <v>-3112512</v>
      </c>
    </row>
    <row r="54" spans="1:16" x14ac:dyDescent="0.2">
      <c r="A54" s="9">
        <v>2029</v>
      </c>
      <c r="B54" s="9">
        <v>12</v>
      </c>
      <c r="C54" s="14">
        <f t="shared" si="13"/>
        <v>-15412992</v>
      </c>
      <c r="D54" s="14">
        <f t="shared" si="2"/>
        <v>42385526.958269402</v>
      </c>
      <c r="E54" s="117">
        <f t="shared" si="12"/>
        <v>6.1769999999999999E-2</v>
      </c>
      <c r="F54" s="14">
        <f t="shared" si="11"/>
        <v>-13769341.17142853</v>
      </c>
      <c r="G54" s="14">
        <f t="shared" si="4"/>
        <v>44029177.786840871</v>
      </c>
      <c r="H54" s="118">
        <f t="shared" si="5"/>
        <v>0.23823000000000019</v>
      </c>
      <c r="I54" s="14">
        <f t="shared" si="6"/>
        <v>1643650.8285714686</v>
      </c>
      <c r="J54" s="14">
        <f t="shared" si="7"/>
        <v>345167</v>
      </c>
      <c r="L54" s="9">
        <v>2029</v>
      </c>
      <c r="M54" s="9">
        <v>12</v>
      </c>
      <c r="N54" s="14">
        <f t="shared" si="9"/>
        <v>-5349120</v>
      </c>
      <c r="O54" s="200">
        <f t="shared" si="10"/>
        <v>14710045.356256999</v>
      </c>
      <c r="P54" s="14">
        <f t="shared" si="8"/>
        <v>-3089110</v>
      </c>
    </row>
    <row r="55" spans="1:16" x14ac:dyDescent="0.2">
      <c r="A55" s="9">
        <v>2030</v>
      </c>
      <c r="B55" s="9">
        <v>1</v>
      </c>
      <c r="C55" s="14">
        <f t="shared" si="13"/>
        <v>-15734096</v>
      </c>
      <c r="D55" s="14">
        <f t="shared" si="2"/>
        <v>42064422.958269402</v>
      </c>
      <c r="E55" s="117">
        <f t="shared" si="12"/>
        <v>5.713E-2</v>
      </c>
      <c r="F55" s="14">
        <f t="shared" si="11"/>
        <v>-14044510.287102357</v>
      </c>
      <c r="G55" s="14">
        <f t="shared" si="4"/>
        <v>43754008.671167046</v>
      </c>
      <c r="H55" s="118">
        <f t="shared" si="5"/>
        <v>0.24299083333333349</v>
      </c>
      <c r="I55" s="14">
        <f t="shared" si="6"/>
        <v>1689585.7128976434</v>
      </c>
      <c r="J55" s="14">
        <f t="shared" si="7"/>
        <v>354813</v>
      </c>
      <c r="L55" s="9">
        <v>2030</v>
      </c>
      <c r="M55" s="9">
        <v>1</v>
      </c>
      <c r="N55" s="14">
        <f t="shared" si="9"/>
        <v>-5460560</v>
      </c>
      <c r="O55" s="200">
        <f t="shared" si="10"/>
        <v>14598605.356256999</v>
      </c>
      <c r="P55" s="14">
        <f t="shared" si="8"/>
        <v>-3065707</v>
      </c>
    </row>
    <row r="56" spans="1:16" x14ac:dyDescent="0.2">
      <c r="A56" s="9">
        <v>2030</v>
      </c>
      <c r="B56" s="9">
        <v>2</v>
      </c>
      <c r="C56" s="14">
        <f t="shared" si="13"/>
        <v>-16055200</v>
      </c>
      <c r="D56" s="14">
        <f t="shared" si="2"/>
        <v>41743318.958269402</v>
      </c>
      <c r="E56" s="117">
        <f t="shared" si="12"/>
        <v>5.713E-2</v>
      </c>
      <c r="F56" s="14">
        <f t="shared" si="11"/>
        <v>-14319679.402776184</v>
      </c>
      <c r="G56" s="14">
        <f t="shared" si="4"/>
        <v>43478839.555493221</v>
      </c>
      <c r="H56" s="118">
        <f t="shared" si="5"/>
        <v>0.24775166666666679</v>
      </c>
      <c r="I56" s="14">
        <f t="shared" si="6"/>
        <v>1735520.5972238183</v>
      </c>
      <c r="J56" s="14">
        <f t="shared" si="7"/>
        <v>364459</v>
      </c>
      <c r="L56" s="9">
        <v>2030</v>
      </c>
      <c r="M56" s="9">
        <v>2</v>
      </c>
      <c r="N56" s="14">
        <f t="shared" si="9"/>
        <v>-5572000</v>
      </c>
      <c r="O56" s="200">
        <f t="shared" si="10"/>
        <v>14487165.356256999</v>
      </c>
      <c r="P56" s="14">
        <f t="shared" si="8"/>
        <v>-3042305</v>
      </c>
    </row>
    <row r="57" spans="1:16" x14ac:dyDescent="0.2">
      <c r="A57" s="9">
        <v>2030</v>
      </c>
      <c r="B57" s="9">
        <v>3</v>
      </c>
      <c r="C57" s="14">
        <f t="shared" si="13"/>
        <v>-16376304</v>
      </c>
      <c r="D57" s="14">
        <f t="shared" si="2"/>
        <v>41422214.958269402</v>
      </c>
      <c r="E57" s="117">
        <f t="shared" si="12"/>
        <v>5.713E-2</v>
      </c>
      <c r="F57" s="14">
        <f t="shared" si="11"/>
        <v>-14594848.518450011</v>
      </c>
      <c r="G57" s="14">
        <f t="shared" si="4"/>
        <v>43203670.439819396</v>
      </c>
      <c r="H57" s="118">
        <f t="shared" si="5"/>
        <v>0.25251250000000008</v>
      </c>
      <c r="I57" s="14">
        <f t="shared" si="6"/>
        <v>1781455.4815499932</v>
      </c>
      <c r="J57" s="14">
        <f t="shared" si="7"/>
        <v>374106</v>
      </c>
      <c r="L57" s="9">
        <v>2030</v>
      </c>
      <c r="M57" s="9">
        <v>3</v>
      </c>
      <c r="N57" s="14">
        <f t="shared" si="9"/>
        <v>-5683440</v>
      </c>
      <c r="O57" s="200">
        <f t="shared" si="10"/>
        <v>14375725.356256999</v>
      </c>
      <c r="P57" s="14">
        <f t="shared" si="8"/>
        <v>-3018902</v>
      </c>
    </row>
    <row r="58" spans="1:16" x14ac:dyDescent="0.2">
      <c r="A58" s="9">
        <v>2030</v>
      </c>
      <c r="B58" s="9">
        <v>4</v>
      </c>
      <c r="C58" s="14">
        <f t="shared" si="13"/>
        <v>-16697408</v>
      </c>
      <c r="D58" s="14">
        <f t="shared" si="2"/>
        <v>41101110.958269402</v>
      </c>
      <c r="E58" s="117">
        <f t="shared" si="12"/>
        <v>5.713E-2</v>
      </c>
      <c r="F58" s="14">
        <f t="shared" si="11"/>
        <v>-14870017.634123838</v>
      </c>
      <c r="G58" s="14">
        <f t="shared" si="4"/>
        <v>42928501.324145563</v>
      </c>
      <c r="H58" s="118">
        <f t="shared" si="5"/>
        <v>0.25727333333333352</v>
      </c>
      <c r="I58" s="14">
        <f t="shared" si="6"/>
        <v>1827390.3658761606</v>
      </c>
      <c r="J58" s="14">
        <f t="shared" si="7"/>
        <v>383752</v>
      </c>
      <c r="L58" s="9">
        <v>2030</v>
      </c>
      <c r="M58" s="9">
        <v>4</v>
      </c>
      <c r="N58" s="14">
        <f t="shared" si="9"/>
        <v>-5794880</v>
      </c>
      <c r="O58" s="200">
        <f t="shared" si="10"/>
        <v>14264285.356256999</v>
      </c>
      <c r="P58" s="14">
        <f t="shared" si="8"/>
        <v>-2995500</v>
      </c>
    </row>
    <row r="59" spans="1:16" x14ac:dyDescent="0.2">
      <c r="A59" s="9">
        <v>2030</v>
      </c>
      <c r="B59" s="9">
        <v>5</v>
      </c>
      <c r="C59" s="14">
        <f t="shared" si="13"/>
        <v>-17018512</v>
      </c>
      <c r="D59" s="14">
        <f t="shared" si="2"/>
        <v>40780006.958269402</v>
      </c>
      <c r="E59" s="117">
        <f t="shared" si="12"/>
        <v>5.713E-2</v>
      </c>
      <c r="F59" s="14">
        <f t="shared" si="11"/>
        <v>-15145186.749797665</v>
      </c>
      <c r="G59" s="14">
        <f t="shared" si="4"/>
        <v>42653332.208471738</v>
      </c>
      <c r="H59" s="118">
        <f t="shared" si="5"/>
        <v>0.26203416666666679</v>
      </c>
      <c r="I59" s="14">
        <f t="shared" si="6"/>
        <v>1873325.2502023354</v>
      </c>
      <c r="J59" s="14">
        <f t="shared" si="7"/>
        <v>393398</v>
      </c>
      <c r="L59" s="9">
        <v>2030</v>
      </c>
      <c r="M59" s="9">
        <v>5</v>
      </c>
      <c r="N59" s="14">
        <f t="shared" si="9"/>
        <v>-5906320</v>
      </c>
      <c r="O59" s="200">
        <f t="shared" si="10"/>
        <v>14152845.356256999</v>
      </c>
      <c r="P59" s="14">
        <f t="shared" si="8"/>
        <v>-2972098</v>
      </c>
    </row>
    <row r="60" spans="1:16" x14ac:dyDescent="0.2">
      <c r="A60" s="9">
        <v>2030</v>
      </c>
      <c r="B60" s="9">
        <v>6</v>
      </c>
      <c r="C60" s="14">
        <f t="shared" si="13"/>
        <v>-17339616</v>
      </c>
      <c r="D60" s="14">
        <f t="shared" si="2"/>
        <v>40458902.958269402</v>
      </c>
      <c r="E60" s="117">
        <f t="shared" si="12"/>
        <v>5.713E-2</v>
      </c>
      <c r="F60" s="14">
        <f t="shared" si="11"/>
        <v>-15420355.865471492</v>
      </c>
      <c r="G60" s="14">
        <f t="shared" si="4"/>
        <v>42378163.092797913</v>
      </c>
      <c r="H60" s="118">
        <f t="shared" si="5"/>
        <v>0.26679500000000006</v>
      </c>
      <c r="I60" s="14">
        <f t="shared" si="6"/>
        <v>1919260.1345285103</v>
      </c>
      <c r="J60" s="14">
        <f t="shared" si="7"/>
        <v>403045</v>
      </c>
      <c r="L60" s="9">
        <v>2030</v>
      </c>
      <c r="M60" s="9">
        <v>6</v>
      </c>
      <c r="N60" s="14">
        <f t="shared" si="9"/>
        <v>-6017760</v>
      </c>
      <c r="O60" s="200">
        <f t="shared" si="10"/>
        <v>14041405.356256999</v>
      </c>
      <c r="P60" s="14">
        <f t="shared" si="8"/>
        <v>-2948695</v>
      </c>
    </row>
    <row r="61" spans="1:16" x14ac:dyDescent="0.2">
      <c r="A61" s="9">
        <v>2030</v>
      </c>
      <c r="B61" s="9">
        <v>7</v>
      </c>
      <c r="C61" s="14">
        <f t="shared" si="13"/>
        <v>-17660720</v>
      </c>
      <c r="D61" s="14">
        <f t="shared" si="2"/>
        <v>40137798.958269402</v>
      </c>
      <c r="E61" s="117">
        <f t="shared" si="12"/>
        <v>5.713E-2</v>
      </c>
      <c r="F61" s="14">
        <f t="shared" si="11"/>
        <v>-15695524.981145319</v>
      </c>
      <c r="G61" s="14">
        <f t="shared" si="4"/>
        <v>42102993.97712408</v>
      </c>
      <c r="H61" s="118">
        <f t="shared" si="5"/>
        <v>0.2715558333333335</v>
      </c>
      <c r="I61" s="14">
        <f t="shared" si="6"/>
        <v>1965195.0188546777</v>
      </c>
      <c r="J61" s="14">
        <f t="shared" si="7"/>
        <v>412691</v>
      </c>
      <c r="L61" s="9">
        <v>2030</v>
      </c>
      <c r="M61" s="9">
        <v>7</v>
      </c>
      <c r="N61" s="14">
        <f t="shared" si="9"/>
        <v>-6129200</v>
      </c>
      <c r="O61" s="200">
        <f t="shared" si="10"/>
        <v>13929965.356256999</v>
      </c>
      <c r="P61" s="14">
        <f t="shared" si="8"/>
        <v>-2925293</v>
      </c>
    </row>
    <row r="62" spans="1:16" x14ac:dyDescent="0.2">
      <c r="A62" s="9">
        <v>2030</v>
      </c>
      <c r="B62" s="9">
        <v>8</v>
      </c>
      <c r="C62" s="14">
        <f t="shared" si="13"/>
        <v>-17981824</v>
      </c>
      <c r="D62" s="14">
        <f t="shared" si="2"/>
        <v>39816694.958269402</v>
      </c>
      <c r="E62" s="117">
        <f t="shared" si="12"/>
        <v>5.713E-2</v>
      </c>
      <c r="F62" s="14">
        <f t="shared" si="11"/>
        <v>-15970694.096819146</v>
      </c>
      <c r="G62" s="14">
        <f t="shared" si="4"/>
        <v>41827824.861450255</v>
      </c>
      <c r="H62" s="118">
        <f t="shared" si="5"/>
        <v>0.27631666666666677</v>
      </c>
      <c r="I62" s="14">
        <f t="shared" si="6"/>
        <v>2011129.9031808525</v>
      </c>
      <c r="J62" s="14">
        <f t="shared" si="7"/>
        <v>422337</v>
      </c>
      <c r="L62" s="9">
        <v>2030</v>
      </c>
      <c r="M62" s="9">
        <v>8</v>
      </c>
      <c r="N62" s="14">
        <f t="shared" si="9"/>
        <v>-6240640</v>
      </c>
      <c r="O62" s="200">
        <f t="shared" si="10"/>
        <v>13818525.356256999</v>
      </c>
      <c r="P62" s="14">
        <f t="shared" si="8"/>
        <v>-2901890</v>
      </c>
    </row>
    <row r="63" spans="1:16" x14ac:dyDescent="0.2">
      <c r="A63" s="9">
        <v>2030</v>
      </c>
      <c r="B63" s="9">
        <v>9</v>
      </c>
      <c r="C63" s="14">
        <f t="shared" si="13"/>
        <v>-18302928</v>
      </c>
      <c r="D63" s="14">
        <f t="shared" si="2"/>
        <v>39495590.958269402</v>
      </c>
      <c r="E63" s="117">
        <f t="shared" si="12"/>
        <v>5.713E-2</v>
      </c>
      <c r="F63" s="14">
        <f t="shared" si="11"/>
        <v>-16245863.212492973</v>
      </c>
      <c r="G63" s="14">
        <f t="shared" si="4"/>
        <v>41552655.74577643</v>
      </c>
      <c r="H63" s="118">
        <f t="shared" si="5"/>
        <v>0.28107750000000009</v>
      </c>
      <c r="I63" s="14">
        <f t="shared" si="6"/>
        <v>2057064.7875070274</v>
      </c>
      <c r="J63" s="14">
        <f t="shared" si="7"/>
        <v>431984</v>
      </c>
      <c r="L63" s="9">
        <v>2030</v>
      </c>
      <c r="M63" s="9">
        <v>9</v>
      </c>
      <c r="N63" s="14">
        <f t="shared" si="9"/>
        <v>-6352080</v>
      </c>
      <c r="O63" s="200">
        <f t="shared" si="10"/>
        <v>13707085.356256999</v>
      </c>
      <c r="P63" s="14">
        <f t="shared" si="8"/>
        <v>-2878488</v>
      </c>
    </row>
    <row r="64" spans="1:16" x14ac:dyDescent="0.2">
      <c r="A64" s="9">
        <v>2030</v>
      </c>
      <c r="B64" s="9">
        <v>10</v>
      </c>
      <c r="C64" s="14">
        <f t="shared" si="13"/>
        <v>-18624032</v>
      </c>
      <c r="D64" s="14">
        <f t="shared" si="2"/>
        <v>39174486.958269402</v>
      </c>
      <c r="E64" s="117">
        <f t="shared" si="12"/>
        <v>5.713E-2</v>
      </c>
      <c r="F64" s="14">
        <f t="shared" si="11"/>
        <v>-16521032.3281668</v>
      </c>
      <c r="G64" s="14">
        <f t="shared" si="4"/>
        <v>41277486.630102605</v>
      </c>
      <c r="H64" s="118">
        <f t="shared" si="5"/>
        <v>0.28583833333333336</v>
      </c>
      <c r="I64" s="14">
        <f t="shared" si="6"/>
        <v>2102999.6718332022</v>
      </c>
      <c r="J64" s="14">
        <f t="shared" si="7"/>
        <v>441630</v>
      </c>
      <c r="L64" s="9">
        <v>2030</v>
      </c>
      <c r="M64" s="9">
        <v>10</v>
      </c>
      <c r="N64" s="14">
        <f t="shared" si="9"/>
        <v>-6463520</v>
      </c>
      <c r="O64" s="200">
        <f t="shared" si="10"/>
        <v>13595645.356256999</v>
      </c>
      <c r="P64" s="14">
        <f t="shared" si="8"/>
        <v>-2855086</v>
      </c>
    </row>
    <row r="65" spans="1:16" x14ac:dyDescent="0.2">
      <c r="A65" s="9">
        <v>2030</v>
      </c>
      <c r="B65" s="9">
        <v>11</v>
      </c>
      <c r="C65" s="14">
        <f t="shared" si="13"/>
        <v>-18945136</v>
      </c>
      <c r="D65" s="14">
        <f t="shared" si="2"/>
        <v>38853382.958269402</v>
      </c>
      <c r="E65" s="117">
        <f t="shared" si="12"/>
        <v>5.713E-2</v>
      </c>
      <c r="F65" s="14">
        <f t="shared" si="11"/>
        <v>-16796201.443840627</v>
      </c>
      <c r="G65" s="14">
        <f t="shared" si="4"/>
        <v>41002317.514428779</v>
      </c>
      <c r="H65" s="118">
        <f t="shared" si="5"/>
        <v>0.29059916666666669</v>
      </c>
      <c r="I65" s="14">
        <f t="shared" si="6"/>
        <v>2148934.5561593771</v>
      </c>
      <c r="J65" s="14">
        <f t="shared" si="7"/>
        <v>451276</v>
      </c>
      <c r="L65" s="9">
        <v>2030</v>
      </c>
      <c r="M65" s="9">
        <v>11</v>
      </c>
      <c r="N65" s="14">
        <f t="shared" si="9"/>
        <v>-6574960</v>
      </c>
      <c r="O65" s="200">
        <f t="shared" si="10"/>
        <v>13484205.356256999</v>
      </c>
      <c r="P65" s="14">
        <f t="shared" si="8"/>
        <v>-2831683</v>
      </c>
    </row>
    <row r="66" spans="1:16" x14ac:dyDescent="0.2">
      <c r="A66" s="9">
        <v>2030</v>
      </c>
      <c r="B66" s="9">
        <v>12</v>
      </c>
      <c r="C66" s="14">
        <f t="shared" si="13"/>
        <v>-19266240</v>
      </c>
      <c r="D66" s="14">
        <f t="shared" si="2"/>
        <v>38532278.958269402</v>
      </c>
      <c r="E66" s="117">
        <f t="shared" si="12"/>
        <v>5.713E-2</v>
      </c>
      <c r="F66" s="14">
        <f t="shared" si="11"/>
        <v>-17071370.559514455</v>
      </c>
      <c r="G66" s="14">
        <f t="shared" si="4"/>
        <v>40727148.398754947</v>
      </c>
      <c r="H66" s="118">
        <f t="shared" si="5"/>
        <v>0.29536000000000007</v>
      </c>
      <c r="I66" s="14">
        <f t="shared" si="6"/>
        <v>2194869.4404855445</v>
      </c>
      <c r="J66" s="14">
        <f t="shared" si="7"/>
        <v>460923</v>
      </c>
      <c r="L66" s="9">
        <v>2030</v>
      </c>
      <c r="M66" s="9">
        <v>12</v>
      </c>
      <c r="N66" s="14">
        <f t="shared" si="9"/>
        <v>-6686400</v>
      </c>
      <c r="O66" s="200">
        <f t="shared" si="10"/>
        <v>13372765.356256999</v>
      </c>
      <c r="P66" s="14">
        <f t="shared" si="8"/>
        <v>-2808281</v>
      </c>
    </row>
    <row r="67" spans="1:16" x14ac:dyDescent="0.2">
      <c r="A67" s="9">
        <v>2031</v>
      </c>
      <c r="B67" s="9">
        <v>1</v>
      </c>
      <c r="C67" s="14">
        <f t="shared" si="13"/>
        <v>-19587344</v>
      </c>
      <c r="D67" s="14">
        <f t="shared" si="2"/>
        <v>38211174.958269402</v>
      </c>
      <c r="E67" s="117">
        <f t="shared" si="12"/>
        <v>5.2850000000000001E-2</v>
      </c>
      <c r="F67" s="14">
        <f t="shared" si="11"/>
        <v>-17325924.870093167</v>
      </c>
      <c r="G67" s="14">
        <f t="shared" si="4"/>
        <v>40472594.088176236</v>
      </c>
      <c r="H67" s="118">
        <f t="shared" si="5"/>
        <v>0.29976416666666672</v>
      </c>
      <c r="I67" s="14">
        <f t="shared" si="6"/>
        <v>2261419.1299068332</v>
      </c>
      <c r="J67" s="14">
        <f t="shared" si="7"/>
        <v>474898</v>
      </c>
      <c r="L67" s="9">
        <v>2031</v>
      </c>
      <c r="M67" s="9">
        <v>1</v>
      </c>
      <c r="N67" s="14">
        <f t="shared" si="9"/>
        <v>-6797840</v>
      </c>
      <c r="O67" s="200">
        <f t="shared" si="10"/>
        <v>13261325.356256999</v>
      </c>
      <c r="P67" s="14">
        <f t="shared" si="8"/>
        <v>-2784878</v>
      </c>
    </row>
    <row r="68" spans="1:16" x14ac:dyDescent="0.2">
      <c r="A68" s="9">
        <v>2031</v>
      </c>
      <c r="B68" s="9">
        <v>2</v>
      </c>
      <c r="C68" s="14">
        <f t="shared" si="13"/>
        <v>-19908448</v>
      </c>
      <c r="D68" s="14">
        <f t="shared" si="2"/>
        <v>37890070.958269402</v>
      </c>
      <c r="E68" s="117">
        <f t="shared" si="12"/>
        <v>5.2850000000000001E-2</v>
      </c>
      <c r="F68" s="14">
        <f t="shared" si="11"/>
        <v>-17580479.180671878</v>
      </c>
      <c r="G68" s="14">
        <f t="shared" si="4"/>
        <v>40218039.777597524</v>
      </c>
      <c r="H68" s="118">
        <f t="shared" si="5"/>
        <v>0.30416833333333343</v>
      </c>
      <c r="I68" s="14">
        <f t="shared" si="6"/>
        <v>2327968.8193281218</v>
      </c>
      <c r="J68" s="14">
        <f t="shared" si="7"/>
        <v>488873</v>
      </c>
      <c r="L68" s="9">
        <v>2031</v>
      </c>
      <c r="M68" s="9">
        <v>2</v>
      </c>
      <c r="N68" s="14">
        <f t="shared" si="9"/>
        <v>-6909280</v>
      </c>
      <c r="O68" s="200">
        <f t="shared" si="10"/>
        <v>13149885.356256999</v>
      </c>
      <c r="P68" s="14">
        <f t="shared" si="8"/>
        <v>-2761476</v>
      </c>
    </row>
    <row r="69" spans="1:16" x14ac:dyDescent="0.2">
      <c r="A69" s="9">
        <v>2031</v>
      </c>
      <c r="B69" s="9">
        <v>3</v>
      </c>
      <c r="C69" s="14">
        <f t="shared" si="13"/>
        <v>-20229552</v>
      </c>
      <c r="D69" s="14">
        <f t="shared" si="2"/>
        <v>37568966.958269402</v>
      </c>
      <c r="E69" s="117">
        <f t="shared" si="12"/>
        <v>5.2850000000000001E-2</v>
      </c>
      <c r="F69" s="14">
        <f t="shared" si="11"/>
        <v>-17835033.491250589</v>
      </c>
      <c r="G69" s="14">
        <f t="shared" si="4"/>
        <v>39963485.467018813</v>
      </c>
      <c r="H69" s="118">
        <f t="shared" si="5"/>
        <v>0.30857250000000008</v>
      </c>
      <c r="I69" s="14">
        <f t="shared" si="6"/>
        <v>2394518.5087494105</v>
      </c>
      <c r="J69" s="14">
        <f t="shared" si="7"/>
        <v>502849</v>
      </c>
      <c r="L69" s="9">
        <v>2031</v>
      </c>
      <c r="M69" s="9">
        <v>3</v>
      </c>
      <c r="N69" s="14">
        <f t="shared" si="9"/>
        <v>-7020720</v>
      </c>
      <c r="O69" s="200">
        <f t="shared" si="10"/>
        <v>13038445.356256999</v>
      </c>
      <c r="P69" s="14">
        <f t="shared" si="8"/>
        <v>-2738074</v>
      </c>
    </row>
    <row r="70" spans="1:16" x14ac:dyDescent="0.2">
      <c r="A70" s="9">
        <v>2031</v>
      </c>
      <c r="B70" s="9">
        <v>4</v>
      </c>
      <c r="C70" s="14">
        <f t="shared" si="13"/>
        <v>-20550656</v>
      </c>
      <c r="D70" s="14">
        <f t="shared" si="2"/>
        <v>37247862.958269402</v>
      </c>
      <c r="E70" s="117">
        <f t="shared" si="12"/>
        <v>5.2850000000000001E-2</v>
      </c>
      <c r="F70" s="14">
        <f t="shared" si="11"/>
        <v>-18089587.801829301</v>
      </c>
      <c r="G70" s="14">
        <f t="shared" si="4"/>
        <v>39708931.156440102</v>
      </c>
      <c r="H70" s="118">
        <f t="shared" si="5"/>
        <v>0.31297666666666674</v>
      </c>
      <c r="I70" s="14">
        <f t="shared" si="6"/>
        <v>2461068.1981706992</v>
      </c>
      <c r="J70" s="14">
        <f t="shared" si="7"/>
        <v>516824</v>
      </c>
      <c r="L70" s="9">
        <v>2031</v>
      </c>
      <c r="M70" s="9">
        <v>4</v>
      </c>
      <c r="N70" s="14">
        <f t="shared" si="9"/>
        <v>-7132160</v>
      </c>
      <c r="O70" s="200">
        <f t="shared" si="10"/>
        <v>12927005.356256999</v>
      </c>
      <c r="P70" s="14">
        <f t="shared" si="8"/>
        <v>-2714671</v>
      </c>
    </row>
    <row r="71" spans="1:16" x14ac:dyDescent="0.2">
      <c r="A71" s="9">
        <v>2031</v>
      </c>
      <c r="B71" s="9">
        <v>5</v>
      </c>
      <c r="C71" s="14">
        <f t="shared" si="13"/>
        <v>-20871760</v>
      </c>
      <c r="D71" s="14">
        <f t="shared" si="2"/>
        <v>36926758.958269402</v>
      </c>
      <c r="E71" s="117">
        <f t="shared" ref="E71:E102" si="14">VLOOKUP(A71-($C$2-1),$D$198:$G$219,4)</f>
        <v>5.2850000000000001E-2</v>
      </c>
      <c r="F71" s="14">
        <f t="shared" si="11"/>
        <v>-18344142.112408012</v>
      </c>
      <c r="G71" s="14">
        <f t="shared" si="4"/>
        <v>39454376.84586139</v>
      </c>
      <c r="H71" s="118">
        <f t="shared" si="5"/>
        <v>0.31738083333333339</v>
      </c>
      <c r="I71" s="14">
        <f t="shared" si="6"/>
        <v>2527617.8875919878</v>
      </c>
      <c r="J71" s="14">
        <f t="shared" si="7"/>
        <v>530800</v>
      </c>
      <c r="L71" s="9">
        <v>2031</v>
      </c>
      <c r="M71" s="9">
        <v>5</v>
      </c>
      <c r="N71" s="14">
        <f t="shared" si="9"/>
        <v>-7243600</v>
      </c>
      <c r="O71" s="200">
        <f t="shared" si="10"/>
        <v>12815565.356256999</v>
      </c>
      <c r="P71" s="14">
        <f t="shared" si="8"/>
        <v>-2691269</v>
      </c>
    </row>
    <row r="72" spans="1:16" x14ac:dyDescent="0.2">
      <c r="A72" s="9">
        <v>2031</v>
      </c>
      <c r="B72" s="9">
        <v>6</v>
      </c>
      <c r="C72" s="14">
        <f t="shared" ref="C72:C103" si="15">-(ROUND($C$1*$C$4/12,0)-C71)</f>
        <v>-21192864</v>
      </c>
      <c r="D72" s="14">
        <f t="shared" ref="D72:D135" si="16">$C$1+C72</f>
        <v>36605654.958269402</v>
      </c>
      <c r="E72" s="117">
        <f t="shared" si="14"/>
        <v>5.2850000000000001E-2</v>
      </c>
      <c r="F72" s="14">
        <f t="shared" si="11"/>
        <v>-18598696.422986723</v>
      </c>
      <c r="G72" s="14">
        <f t="shared" ref="G72:G135" si="17">$C$1+F72</f>
        <v>39199822.535282679</v>
      </c>
      <c r="H72" s="118">
        <f t="shared" ref="H72:H135" si="18">-(G72-$C$1)/$C$1</f>
        <v>0.32178500000000004</v>
      </c>
      <c r="I72" s="14">
        <f t="shared" ref="I72:I135" si="19">G72-D72</f>
        <v>2594167.5770132765</v>
      </c>
      <c r="J72" s="14">
        <f t="shared" ref="J72:J135" si="20">ROUND(I72*$C$3,0)</f>
        <v>544775</v>
      </c>
      <c r="L72" s="9">
        <v>2031</v>
      </c>
      <c r="M72" s="9">
        <v>6</v>
      </c>
      <c r="N72" s="14">
        <f t="shared" si="9"/>
        <v>-7355040</v>
      </c>
      <c r="O72" s="200">
        <f t="shared" si="10"/>
        <v>12704125.356256999</v>
      </c>
      <c r="P72" s="14">
        <f t="shared" ref="P72:P78" si="21">-ROUND(O72*$N$3,0)</f>
        <v>-2667866</v>
      </c>
    </row>
    <row r="73" spans="1:16" x14ac:dyDescent="0.2">
      <c r="A73" s="9">
        <v>2031</v>
      </c>
      <c r="B73" s="9">
        <v>7</v>
      </c>
      <c r="C73" s="14">
        <f t="shared" si="15"/>
        <v>-21513968</v>
      </c>
      <c r="D73" s="14">
        <f t="shared" si="16"/>
        <v>36284550.958269402</v>
      </c>
      <c r="E73" s="117">
        <f t="shared" si="14"/>
        <v>5.2850000000000001E-2</v>
      </c>
      <c r="F73" s="14">
        <f t="shared" si="11"/>
        <v>-18853250.733565435</v>
      </c>
      <c r="G73" s="14">
        <f t="shared" si="17"/>
        <v>38945268.224703968</v>
      </c>
      <c r="H73" s="118">
        <f t="shared" si="18"/>
        <v>0.32618916666666675</v>
      </c>
      <c r="I73" s="14">
        <f t="shared" si="19"/>
        <v>2660717.2664345652</v>
      </c>
      <c r="J73" s="14">
        <f t="shared" si="20"/>
        <v>558751</v>
      </c>
      <c r="L73" s="9">
        <v>2031</v>
      </c>
      <c r="M73" s="9">
        <v>7</v>
      </c>
      <c r="N73" s="14">
        <f t="shared" ref="N73:N136" si="22">-(ROUND($N$1/$N$4,0)-N72)</f>
        <v>-7466480</v>
      </c>
      <c r="O73" s="200">
        <f t="shared" ref="O73:O78" si="23">$N$1+N73</f>
        <v>12592685.356256999</v>
      </c>
      <c r="P73" s="14">
        <f t="shared" si="21"/>
        <v>-2644464</v>
      </c>
    </row>
    <row r="74" spans="1:16" x14ac:dyDescent="0.2">
      <c r="A74" s="9">
        <v>2031</v>
      </c>
      <c r="B74" s="9">
        <v>8</v>
      </c>
      <c r="C74" s="14">
        <f t="shared" si="15"/>
        <v>-21835072</v>
      </c>
      <c r="D74" s="14">
        <f t="shared" si="16"/>
        <v>35963446.958269402</v>
      </c>
      <c r="E74" s="117">
        <f t="shared" si="14"/>
        <v>5.2850000000000001E-2</v>
      </c>
      <c r="F74" s="14">
        <f t="shared" si="11"/>
        <v>-19107805.044144146</v>
      </c>
      <c r="G74" s="14">
        <f t="shared" si="17"/>
        <v>38690713.914125256</v>
      </c>
      <c r="H74" s="118">
        <f t="shared" si="18"/>
        <v>0.33059333333333341</v>
      </c>
      <c r="I74" s="14">
        <f t="shared" si="19"/>
        <v>2727266.9558558539</v>
      </c>
      <c r="J74" s="14">
        <f t="shared" si="20"/>
        <v>572726</v>
      </c>
      <c r="L74" s="9">
        <v>2031</v>
      </c>
      <c r="M74" s="9">
        <v>8</v>
      </c>
      <c r="N74" s="14">
        <f t="shared" si="22"/>
        <v>-7577920</v>
      </c>
      <c r="O74" s="200">
        <f t="shared" si="23"/>
        <v>12481245.356256999</v>
      </c>
      <c r="P74" s="14">
        <f t="shared" si="21"/>
        <v>-2621062</v>
      </c>
    </row>
    <row r="75" spans="1:16" x14ac:dyDescent="0.2">
      <c r="A75" s="9">
        <v>2031</v>
      </c>
      <c r="B75" s="9">
        <v>9</v>
      </c>
      <c r="C75" s="14">
        <f t="shared" si="15"/>
        <v>-22156176</v>
      </c>
      <c r="D75" s="14">
        <f t="shared" si="16"/>
        <v>35642342.958269402</v>
      </c>
      <c r="E75" s="117">
        <f t="shared" si="14"/>
        <v>5.2850000000000001E-2</v>
      </c>
      <c r="F75" s="14">
        <f t="shared" si="11"/>
        <v>-19362359.354722857</v>
      </c>
      <c r="G75" s="14">
        <f t="shared" si="17"/>
        <v>38436159.603546545</v>
      </c>
      <c r="H75" s="118">
        <f t="shared" si="18"/>
        <v>0.33499750000000006</v>
      </c>
      <c r="I75" s="14">
        <f t="shared" si="19"/>
        <v>2793816.6452771425</v>
      </c>
      <c r="J75" s="14">
        <f t="shared" si="20"/>
        <v>586701</v>
      </c>
      <c r="L75" s="9">
        <v>2031</v>
      </c>
      <c r="M75" s="9">
        <v>9</v>
      </c>
      <c r="N75" s="14">
        <f t="shared" si="22"/>
        <v>-7689360</v>
      </c>
      <c r="O75" s="200">
        <f t="shared" si="23"/>
        <v>12369805.356256999</v>
      </c>
      <c r="P75" s="14">
        <f t="shared" si="21"/>
        <v>-2597659</v>
      </c>
    </row>
    <row r="76" spans="1:16" x14ac:dyDescent="0.2">
      <c r="A76" s="9">
        <v>2031</v>
      </c>
      <c r="B76" s="9">
        <v>10</v>
      </c>
      <c r="C76" s="14">
        <f t="shared" si="15"/>
        <v>-22477280</v>
      </c>
      <c r="D76" s="14">
        <f t="shared" si="16"/>
        <v>35321238.958269402</v>
      </c>
      <c r="E76" s="117">
        <f t="shared" si="14"/>
        <v>5.2850000000000001E-2</v>
      </c>
      <c r="F76" s="14">
        <f t="shared" si="11"/>
        <v>-19616913.665301569</v>
      </c>
      <c r="G76" s="14">
        <f t="shared" si="17"/>
        <v>38181605.292967834</v>
      </c>
      <c r="H76" s="118">
        <f t="shared" si="18"/>
        <v>0.33940166666666671</v>
      </c>
      <c r="I76" s="14">
        <f t="shared" si="19"/>
        <v>2860366.3346984312</v>
      </c>
      <c r="J76" s="14">
        <f t="shared" si="20"/>
        <v>600677</v>
      </c>
      <c r="L76" s="9">
        <v>2031</v>
      </c>
      <c r="M76" s="9">
        <v>10</v>
      </c>
      <c r="N76" s="14">
        <f t="shared" si="22"/>
        <v>-7800800</v>
      </c>
      <c r="O76" s="200">
        <f t="shared" si="23"/>
        <v>12258365.356256999</v>
      </c>
      <c r="P76" s="14">
        <f t="shared" si="21"/>
        <v>-2574257</v>
      </c>
    </row>
    <row r="77" spans="1:16" x14ac:dyDescent="0.2">
      <c r="A77" s="9">
        <v>2031</v>
      </c>
      <c r="B77" s="9">
        <v>11</v>
      </c>
      <c r="C77" s="14">
        <f t="shared" si="15"/>
        <v>-22798384</v>
      </c>
      <c r="D77" s="14">
        <f t="shared" si="16"/>
        <v>35000134.958269402</v>
      </c>
      <c r="E77" s="117">
        <f t="shared" si="14"/>
        <v>5.2850000000000001E-2</v>
      </c>
      <c r="F77" s="14">
        <f t="shared" si="11"/>
        <v>-19871467.97588028</v>
      </c>
      <c r="G77" s="14">
        <f t="shared" si="17"/>
        <v>37927050.982389122</v>
      </c>
      <c r="H77" s="118">
        <f t="shared" si="18"/>
        <v>0.34380583333333337</v>
      </c>
      <c r="I77" s="14">
        <f t="shared" si="19"/>
        <v>2926916.0241197199</v>
      </c>
      <c r="J77" s="14">
        <f t="shared" si="20"/>
        <v>614652</v>
      </c>
      <c r="L77" s="9">
        <v>2031</v>
      </c>
      <c r="M77" s="9">
        <v>11</v>
      </c>
      <c r="N77" s="14">
        <f t="shared" si="22"/>
        <v>-7912240</v>
      </c>
      <c r="O77" s="200">
        <f t="shared" si="23"/>
        <v>12146925.356256999</v>
      </c>
      <c r="P77" s="14">
        <f t="shared" si="21"/>
        <v>-2550854</v>
      </c>
    </row>
    <row r="78" spans="1:16" x14ac:dyDescent="0.2">
      <c r="A78" s="9">
        <v>2031</v>
      </c>
      <c r="B78" s="9">
        <v>12</v>
      </c>
      <c r="C78" s="14">
        <f t="shared" si="15"/>
        <v>-23119488</v>
      </c>
      <c r="D78" s="14">
        <f t="shared" si="16"/>
        <v>34679030.958269402</v>
      </c>
      <c r="E78" s="117">
        <f t="shared" si="14"/>
        <v>5.2850000000000001E-2</v>
      </c>
      <c r="F78" s="14">
        <f t="shared" si="11"/>
        <v>-20126022.286458991</v>
      </c>
      <c r="G78" s="14">
        <f t="shared" si="17"/>
        <v>37672496.671810411</v>
      </c>
      <c r="H78" s="118">
        <f t="shared" si="18"/>
        <v>0.34821000000000008</v>
      </c>
      <c r="I78" s="14">
        <f t="shared" si="19"/>
        <v>2993465.7135410085</v>
      </c>
      <c r="J78" s="14">
        <f t="shared" si="20"/>
        <v>628628</v>
      </c>
      <c r="L78" s="9">
        <v>2031</v>
      </c>
      <c r="M78" s="9">
        <v>12</v>
      </c>
      <c r="N78" s="14">
        <f t="shared" si="22"/>
        <v>-8023680</v>
      </c>
      <c r="O78" s="200">
        <f t="shared" si="23"/>
        <v>12035485.356256999</v>
      </c>
      <c r="P78" s="14">
        <f t="shared" si="21"/>
        <v>-2527452</v>
      </c>
    </row>
    <row r="79" spans="1:16" x14ac:dyDescent="0.2">
      <c r="A79" s="9">
        <v>2032</v>
      </c>
      <c r="B79" s="9">
        <v>1</v>
      </c>
      <c r="C79" s="14">
        <f t="shared" si="15"/>
        <v>-23440592</v>
      </c>
      <c r="D79" s="14">
        <f t="shared" si="16"/>
        <v>34357926.958269402</v>
      </c>
      <c r="E79" s="117">
        <f t="shared" si="14"/>
        <v>4.888E-2</v>
      </c>
      <c r="F79" s="14">
        <f t="shared" si="11"/>
        <v>-20361454.920349009</v>
      </c>
      <c r="G79" s="14">
        <f t="shared" si="17"/>
        <v>37437064.037920393</v>
      </c>
      <c r="H79" s="118">
        <f t="shared" si="18"/>
        <v>0.35228333333333339</v>
      </c>
      <c r="I79" s="14">
        <f t="shared" si="19"/>
        <v>3079137.0796509907</v>
      </c>
      <c r="J79" s="14">
        <f t="shared" si="20"/>
        <v>646619</v>
      </c>
      <c r="L79" s="257">
        <v>2032</v>
      </c>
      <c r="M79" s="257">
        <v>1</v>
      </c>
      <c r="N79" s="14">
        <f t="shared" si="22"/>
        <v>-8135120</v>
      </c>
      <c r="O79" s="200">
        <f t="shared" ref="O79:O142" si="24">$N$1+N79</f>
        <v>11924045.356256999</v>
      </c>
      <c r="P79" s="14">
        <f t="shared" ref="P79:P142" si="25">-ROUND(O79*$N$3,0)</f>
        <v>-2504050</v>
      </c>
    </row>
    <row r="80" spans="1:16" x14ac:dyDescent="0.2">
      <c r="A80" s="9">
        <v>2032</v>
      </c>
      <c r="B80" s="9">
        <v>2</v>
      </c>
      <c r="C80" s="14">
        <f t="shared" si="15"/>
        <v>-23761696</v>
      </c>
      <c r="D80" s="14">
        <f t="shared" si="16"/>
        <v>34036822.958269402</v>
      </c>
      <c r="E80" s="117">
        <f t="shared" si="14"/>
        <v>4.888E-2</v>
      </c>
      <c r="F80" s="14">
        <f t="shared" si="11"/>
        <v>-20596887.554239027</v>
      </c>
      <c r="G80" s="14">
        <f t="shared" si="17"/>
        <v>37201631.404030375</v>
      </c>
      <c r="H80" s="118">
        <f t="shared" si="18"/>
        <v>0.35635666666666671</v>
      </c>
      <c r="I80" s="14">
        <f t="shared" si="19"/>
        <v>3164808.4457609728</v>
      </c>
      <c r="J80" s="14">
        <f t="shared" si="20"/>
        <v>664610</v>
      </c>
      <c r="L80" s="257">
        <v>2032</v>
      </c>
      <c r="M80" s="257">
        <v>2</v>
      </c>
      <c r="N80" s="14">
        <f t="shared" si="22"/>
        <v>-8246560</v>
      </c>
      <c r="O80" s="200">
        <f t="shared" si="24"/>
        <v>11812605.356256999</v>
      </c>
      <c r="P80" s="14">
        <f t="shared" si="25"/>
        <v>-2480647</v>
      </c>
    </row>
    <row r="81" spans="1:16" x14ac:dyDescent="0.2">
      <c r="A81" s="9">
        <v>2032</v>
      </c>
      <c r="B81" s="9">
        <v>3</v>
      </c>
      <c r="C81" s="14">
        <f t="shared" si="15"/>
        <v>-24082800</v>
      </c>
      <c r="D81" s="14">
        <f t="shared" si="16"/>
        <v>33715718.958269402</v>
      </c>
      <c r="E81" s="117">
        <f t="shared" si="14"/>
        <v>4.888E-2</v>
      </c>
      <c r="F81" s="14">
        <f t="shared" si="11"/>
        <v>-20832320.188129045</v>
      </c>
      <c r="G81" s="14">
        <f t="shared" si="17"/>
        <v>36966198.770140357</v>
      </c>
      <c r="H81" s="118">
        <f t="shared" si="18"/>
        <v>0.36043000000000008</v>
      </c>
      <c r="I81" s="14">
        <f t="shared" si="19"/>
        <v>3250479.8118709549</v>
      </c>
      <c r="J81" s="14">
        <f t="shared" si="20"/>
        <v>682601</v>
      </c>
      <c r="L81" s="257">
        <v>2032</v>
      </c>
      <c r="M81" s="257">
        <v>3</v>
      </c>
      <c r="N81" s="14">
        <f t="shared" si="22"/>
        <v>-8358000</v>
      </c>
      <c r="O81" s="200">
        <f t="shared" si="24"/>
        <v>11701165.356256999</v>
      </c>
      <c r="P81" s="14">
        <f t="shared" si="25"/>
        <v>-2457245</v>
      </c>
    </row>
    <row r="82" spans="1:16" x14ac:dyDescent="0.2">
      <c r="A82" s="9">
        <v>2032</v>
      </c>
      <c r="B82" s="9">
        <v>4</v>
      </c>
      <c r="C82" s="14">
        <f t="shared" si="15"/>
        <v>-24403904</v>
      </c>
      <c r="D82" s="14">
        <f t="shared" si="16"/>
        <v>33394614.958269402</v>
      </c>
      <c r="E82" s="117">
        <f t="shared" si="14"/>
        <v>4.888E-2</v>
      </c>
      <c r="F82" s="14">
        <f t="shared" si="11"/>
        <v>-21067752.822019063</v>
      </c>
      <c r="G82" s="14">
        <f t="shared" si="17"/>
        <v>36730766.136250339</v>
      </c>
      <c r="H82" s="118">
        <f t="shared" si="18"/>
        <v>0.3645033333333334</v>
      </c>
      <c r="I82" s="14">
        <f t="shared" si="19"/>
        <v>3336151.1779809371</v>
      </c>
      <c r="J82" s="14">
        <f t="shared" si="20"/>
        <v>700592</v>
      </c>
      <c r="L82" s="257">
        <v>2032</v>
      </c>
      <c r="M82" s="257">
        <v>4</v>
      </c>
      <c r="N82" s="14">
        <f t="shared" si="22"/>
        <v>-8469440</v>
      </c>
      <c r="O82" s="200">
        <f t="shared" si="24"/>
        <v>11589725.356256999</v>
      </c>
      <c r="P82" s="14">
        <f t="shared" si="25"/>
        <v>-2433842</v>
      </c>
    </row>
    <row r="83" spans="1:16" x14ac:dyDescent="0.2">
      <c r="A83" s="9">
        <v>2032</v>
      </c>
      <c r="B83" s="9">
        <v>5</v>
      </c>
      <c r="C83" s="14">
        <f t="shared" si="15"/>
        <v>-24725008</v>
      </c>
      <c r="D83" s="14">
        <f t="shared" si="16"/>
        <v>33073510.958269402</v>
      </c>
      <c r="E83" s="117">
        <f t="shared" si="14"/>
        <v>4.888E-2</v>
      </c>
      <c r="F83" s="14">
        <f t="shared" si="11"/>
        <v>-21303185.455909081</v>
      </c>
      <c r="G83" s="14">
        <f t="shared" si="17"/>
        <v>36495333.502360322</v>
      </c>
      <c r="H83" s="118">
        <f t="shared" si="18"/>
        <v>0.36857666666666677</v>
      </c>
      <c r="I83" s="14">
        <f t="shared" si="19"/>
        <v>3421822.5440909192</v>
      </c>
      <c r="J83" s="14">
        <f t="shared" si="20"/>
        <v>718583</v>
      </c>
      <c r="L83" s="257">
        <v>2032</v>
      </c>
      <c r="M83" s="257">
        <v>5</v>
      </c>
      <c r="N83" s="14">
        <f t="shared" si="22"/>
        <v>-8580880</v>
      </c>
      <c r="O83" s="200">
        <f t="shared" si="24"/>
        <v>11478285.356256999</v>
      </c>
      <c r="P83" s="14">
        <f t="shared" si="25"/>
        <v>-2410440</v>
      </c>
    </row>
    <row r="84" spans="1:16" x14ac:dyDescent="0.2">
      <c r="A84" s="9">
        <v>2032</v>
      </c>
      <c r="B84" s="9">
        <v>6</v>
      </c>
      <c r="C84" s="14">
        <f t="shared" si="15"/>
        <v>-25046112</v>
      </c>
      <c r="D84" s="14">
        <f t="shared" si="16"/>
        <v>32752406.958269402</v>
      </c>
      <c r="E84" s="117">
        <f t="shared" si="14"/>
        <v>4.888E-2</v>
      </c>
      <c r="F84" s="14">
        <f t="shared" ref="F84:F147" si="26">-$C$1*E84/12+F83</f>
        <v>-21538618.089799099</v>
      </c>
      <c r="G84" s="14">
        <f t="shared" si="17"/>
        <v>36259900.868470304</v>
      </c>
      <c r="H84" s="118">
        <f t="shared" si="18"/>
        <v>0.37265000000000009</v>
      </c>
      <c r="I84" s="14">
        <f t="shared" si="19"/>
        <v>3507493.9102009013</v>
      </c>
      <c r="J84" s="14">
        <f t="shared" si="20"/>
        <v>736574</v>
      </c>
      <c r="L84" s="257">
        <v>2032</v>
      </c>
      <c r="M84" s="257">
        <v>6</v>
      </c>
      <c r="N84" s="14">
        <f t="shared" si="22"/>
        <v>-8692320</v>
      </c>
      <c r="O84" s="200">
        <f t="shared" si="24"/>
        <v>11366845.356256999</v>
      </c>
      <c r="P84" s="14">
        <f t="shared" si="25"/>
        <v>-2387038</v>
      </c>
    </row>
    <row r="85" spans="1:16" x14ac:dyDescent="0.2">
      <c r="A85" s="9">
        <v>2032</v>
      </c>
      <c r="B85" s="9">
        <v>7</v>
      </c>
      <c r="C85" s="14">
        <f t="shared" si="15"/>
        <v>-25367216</v>
      </c>
      <c r="D85" s="14">
        <f t="shared" si="16"/>
        <v>32431302.958269402</v>
      </c>
      <c r="E85" s="117">
        <f t="shared" si="14"/>
        <v>4.888E-2</v>
      </c>
      <c r="F85" s="14">
        <f t="shared" si="26"/>
        <v>-21774050.723689117</v>
      </c>
      <c r="G85" s="14">
        <f t="shared" si="17"/>
        <v>36024468.234580286</v>
      </c>
      <c r="H85" s="118">
        <f t="shared" si="18"/>
        <v>0.37672333333333347</v>
      </c>
      <c r="I85" s="14">
        <f t="shared" si="19"/>
        <v>3593165.2763108835</v>
      </c>
      <c r="J85" s="14">
        <f t="shared" si="20"/>
        <v>754565</v>
      </c>
      <c r="L85" s="257">
        <v>2032</v>
      </c>
      <c r="M85" s="257">
        <v>7</v>
      </c>
      <c r="N85" s="14">
        <f t="shared" si="22"/>
        <v>-8803760</v>
      </c>
      <c r="O85" s="200">
        <f t="shared" si="24"/>
        <v>11255405.356256999</v>
      </c>
      <c r="P85" s="14">
        <f t="shared" si="25"/>
        <v>-2363635</v>
      </c>
    </row>
    <row r="86" spans="1:16" x14ac:dyDescent="0.2">
      <c r="A86" s="9">
        <v>2032</v>
      </c>
      <c r="B86" s="9">
        <v>8</v>
      </c>
      <c r="C86" s="14">
        <f t="shared" si="15"/>
        <v>-25688320</v>
      </c>
      <c r="D86" s="14">
        <f t="shared" si="16"/>
        <v>32110198.958269402</v>
      </c>
      <c r="E86" s="117">
        <f t="shared" si="14"/>
        <v>4.888E-2</v>
      </c>
      <c r="F86" s="14">
        <f t="shared" si="26"/>
        <v>-22009483.357579134</v>
      </c>
      <c r="G86" s="14">
        <f t="shared" si="17"/>
        <v>35789035.600690268</v>
      </c>
      <c r="H86" s="118">
        <f t="shared" si="18"/>
        <v>0.38079666666666678</v>
      </c>
      <c r="I86" s="14">
        <f t="shared" si="19"/>
        <v>3678836.6424208656</v>
      </c>
      <c r="J86" s="14">
        <f t="shared" si="20"/>
        <v>772556</v>
      </c>
      <c r="L86" s="257">
        <v>2032</v>
      </c>
      <c r="M86" s="257">
        <v>8</v>
      </c>
      <c r="N86" s="14">
        <f t="shared" si="22"/>
        <v>-8915200</v>
      </c>
      <c r="O86" s="200">
        <f t="shared" si="24"/>
        <v>11143965.356256999</v>
      </c>
      <c r="P86" s="14">
        <f t="shared" si="25"/>
        <v>-2340233</v>
      </c>
    </row>
    <row r="87" spans="1:16" x14ac:dyDescent="0.2">
      <c r="A87" s="9">
        <v>2032</v>
      </c>
      <c r="B87" s="9">
        <v>9</v>
      </c>
      <c r="C87" s="14">
        <f t="shared" si="15"/>
        <v>-26009424</v>
      </c>
      <c r="D87" s="14">
        <f t="shared" si="16"/>
        <v>31789094.958269402</v>
      </c>
      <c r="E87" s="117">
        <f t="shared" si="14"/>
        <v>4.888E-2</v>
      </c>
      <c r="F87" s="14">
        <f t="shared" si="26"/>
        <v>-22244915.991469152</v>
      </c>
      <c r="G87" s="14">
        <f t="shared" si="17"/>
        <v>35553602.96680025</v>
      </c>
      <c r="H87" s="118">
        <f t="shared" si="18"/>
        <v>0.3848700000000001</v>
      </c>
      <c r="I87" s="14">
        <f t="shared" si="19"/>
        <v>3764508.0085308477</v>
      </c>
      <c r="J87" s="14">
        <f t="shared" si="20"/>
        <v>790547</v>
      </c>
      <c r="L87" s="257">
        <v>2032</v>
      </c>
      <c r="M87" s="257">
        <v>9</v>
      </c>
      <c r="N87" s="14">
        <f t="shared" si="22"/>
        <v>-9026640</v>
      </c>
      <c r="O87" s="200">
        <f t="shared" si="24"/>
        <v>11032525.356256999</v>
      </c>
      <c r="P87" s="14">
        <f t="shared" si="25"/>
        <v>-2316830</v>
      </c>
    </row>
    <row r="88" spans="1:16" x14ac:dyDescent="0.2">
      <c r="A88" s="9">
        <v>2032</v>
      </c>
      <c r="B88" s="9">
        <v>10</v>
      </c>
      <c r="C88" s="14">
        <f t="shared" si="15"/>
        <v>-26330528</v>
      </c>
      <c r="D88" s="14">
        <f t="shared" si="16"/>
        <v>31467990.958269402</v>
      </c>
      <c r="E88" s="117">
        <f t="shared" si="14"/>
        <v>4.888E-2</v>
      </c>
      <c r="F88" s="14">
        <f t="shared" si="26"/>
        <v>-22480348.62535917</v>
      </c>
      <c r="G88" s="14">
        <f t="shared" si="17"/>
        <v>35318170.332910232</v>
      </c>
      <c r="H88" s="118">
        <f t="shared" si="18"/>
        <v>0.38894333333333347</v>
      </c>
      <c r="I88" s="14">
        <f t="shared" si="19"/>
        <v>3850179.3746408299</v>
      </c>
      <c r="J88" s="14">
        <f t="shared" si="20"/>
        <v>808538</v>
      </c>
      <c r="L88" s="257">
        <v>2032</v>
      </c>
      <c r="M88" s="257">
        <v>10</v>
      </c>
      <c r="N88" s="14">
        <f t="shared" si="22"/>
        <v>-9138080</v>
      </c>
      <c r="O88" s="200">
        <f t="shared" si="24"/>
        <v>10921085.356256999</v>
      </c>
      <c r="P88" s="14">
        <f t="shared" si="25"/>
        <v>-2293428</v>
      </c>
    </row>
    <row r="89" spans="1:16" x14ac:dyDescent="0.2">
      <c r="A89" s="9">
        <v>2032</v>
      </c>
      <c r="B89" s="9">
        <v>11</v>
      </c>
      <c r="C89" s="14">
        <f t="shared" si="15"/>
        <v>-26651632</v>
      </c>
      <c r="D89" s="14">
        <f t="shared" si="16"/>
        <v>31146886.958269402</v>
      </c>
      <c r="E89" s="117">
        <f t="shared" si="14"/>
        <v>4.888E-2</v>
      </c>
      <c r="F89" s="14">
        <f t="shared" si="26"/>
        <v>-22715781.259249188</v>
      </c>
      <c r="G89" s="14">
        <f t="shared" si="17"/>
        <v>35082737.699020214</v>
      </c>
      <c r="H89" s="118">
        <f t="shared" si="18"/>
        <v>0.39301666666666679</v>
      </c>
      <c r="I89" s="14">
        <f t="shared" si="19"/>
        <v>3935850.740750812</v>
      </c>
      <c r="J89" s="14">
        <f t="shared" si="20"/>
        <v>826529</v>
      </c>
      <c r="L89" s="257">
        <v>2032</v>
      </c>
      <c r="M89" s="257">
        <v>11</v>
      </c>
      <c r="N89" s="14">
        <f t="shared" si="22"/>
        <v>-9249520</v>
      </c>
      <c r="O89" s="200">
        <f t="shared" si="24"/>
        <v>10809645.356256999</v>
      </c>
      <c r="P89" s="14">
        <f t="shared" si="25"/>
        <v>-2270026</v>
      </c>
    </row>
    <row r="90" spans="1:16" x14ac:dyDescent="0.2">
      <c r="A90" s="9">
        <v>2032</v>
      </c>
      <c r="B90" s="9">
        <v>12</v>
      </c>
      <c r="C90" s="14">
        <f t="shared" si="15"/>
        <v>-26972736</v>
      </c>
      <c r="D90" s="14">
        <f t="shared" si="16"/>
        <v>30825782.958269402</v>
      </c>
      <c r="E90" s="117">
        <f t="shared" si="14"/>
        <v>4.888E-2</v>
      </c>
      <c r="F90" s="14">
        <f t="shared" si="26"/>
        <v>-22951213.893139206</v>
      </c>
      <c r="G90" s="14">
        <f t="shared" si="17"/>
        <v>34847305.065130197</v>
      </c>
      <c r="H90" s="118">
        <f t="shared" si="18"/>
        <v>0.39709000000000017</v>
      </c>
      <c r="I90" s="14">
        <f t="shared" si="19"/>
        <v>4021522.1068607941</v>
      </c>
      <c r="J90" s="14">
        <f t="shared" si="20"/>
        <v>844520</v>
      </c>
      <c r="L90" s="257">
        <v>2032</v>
      </c>
      <c r="M90" s="257">
        <v>12</v>
      </c>
      <c r="N90" s="14">
        <f t="shared" si="22"/>
        <v>-9360960</v>
      </c>
      <c r="O90" s="200">
        <f t="shared" si="24"/>
        <v>10698205.356256999</v>
      </c>
      <c r="P90" s="14">
        <f t="shared" si="25"/>
        <v>-2246623</v>
      </c>
    </row>
    <row r="91" spans="1:16" x14ac:dyDescent="0.2">
      <c r="A91" s="9">
        <v>2033</v>
      </c>
      <c r="B91" s="9">
        <v>1</v>
      </c>
      <c r="C91" s="14">
        <f t="shared" si="15"/>
        <v>-27293840</v>
      </c>
      <c r="D91" s="14">
        <f t="shared" si="16"/>
        <v>30504678.958269402</v>
      </c>
      <c r="E91" s="117">
        <f t="shared" si="14"/>
        <v>4.5220000000000003E-2</v>
      </c>
      <c r="F91" s="14">
        <f t="shared" si="26"/>
        <v>-23169017.978746951</v>
      </c>
      <c r="G91" s="14">
        <f t="shared" si="17"/>
        <v>34629500.979522452</v>
      </c>
      <c r="H91" s="118">
        <f t="shared" si="18"/>
        <v>0.40085833333333348</v>
      </c>
      <c r="I91" s="14">
        <f t="shared" si="19"/>
        <v>4124822.0212530494</v>
      </c>
      <c r="J91" s="14">
        <f t="shared" si="20"/>
        <v>866213</v>
      </c>
      <c r="L91" s="257">
        <v>2033</v>
      </c>
      <c r="M91" s="257">
        <v>1</v>
      </c>
      <c r="N91" s="14">
        <f t="shared" si="22"/>
        <v>-9472400</v>
      </c>
      <c r="O91" s="200">
        <f t="shared" si="24"/>
        <v>10586765.356256999</v>
      </c>
      <c r="P91" s="14">
        <f t="shared" si="25"/>
        <v>-2223221</v>
      </c>
    </row>
    <row r="92" spans="1:16" x14ac:dyDescent="0.2">
      <c r="A92" s="9">
        <v>2033</v>
      </c>
      <c r="B92" s="9">
        <v>2</v>
      </c>
      <c r="C92" s="14">
        <f t="shared" si="15"/>
        <v>-27614944</v>
      </c>
      <c r="D92" s="14">
        <f t="shared" si="16"/>
        <v>30183574.958269402</v>
      </c>
      <c r="E92" s="117">
        <f t="shared" si="14"/>
        <v>4.5220000000000003E-2</v>
      </c>
      <c r="F92" s="14">
        <f t="shared" si="26"/>
        <v>-23386822.064354695</v>
      </c>
      <c r="G92" s="14">
        <f t="shared" si="17"/>
        <v>34411696.893914707</v>
      </c>
      <c r="H92" s="118">
        <f t="shared" si="18"/>
        <v>0.4046266666666668</v>
      </c>
      <c r="I92" s="14">
        <f t="shared" si="19"/>
        <v>4228121.9356453046</v>
      </c>
      <c r="J92" s="14">
        <f t="shared" si="20"/>
        <v>887906</v>
      </c>
      <c r="L92" s="257">
        <v>2033</v>
      </c>
      <c r="M92" s="257">
        <v>2</v>
      </c>
      <c r="N92" s="14">
        <f t="shared" si="22"/>
        <v>-9583840</v>
      </c>
      <c r="O92" s="200">
        <f t="shared" si="24"/>
        <v>10475325.356256999</v>
      </c>
      <c r="P92" s="14">
        <f t="shared" si="25"/>
        <v>-2199818</v>
      </c>
    </row>
    <row r="93" spans="1:16" x14ac:dyDescent="0.2">
      <c r="A93" s="9">
        <v>2033</v>
      </c>
      <c r="B93" s="9">
        <v>3</v>
      </c>
      <c r="C93" s="14">
        <f t="shared" si="15"/>
        <v>-27936048</v>
      </c>
      <c r="D93" s="14">
        <f t="shared" si="16"/>
        <v>29862470.958269402</v>
      </c>
      <c r="E93" s="117">
        <f t="shared" si="14"/>
        <v>4.5220000000000003E-2</v>
      </c>
      <c r="F93" s="14">
        <f t="shared" si="26"/>
        <v>-23604626.14996244</v>
      </c>
      <c r="G93" s="14">
        <f t="shared" si="17"/>
        <v>34193892.808306962</v>
      </c>
      <c r="H93" s="118">
        <f t="shared" si="18"/>
        <v>0.40839500000000012</v>
      </c>
      <c r="I93" s="14">
        <f t="shared" si="19"/>
        <v>4331421.8500375599</v>
      </c>
      <c r="J93" s="14">
        <f t="shared" si="20"/>
        <v>909599</v>
      </c>
      <c r="L93" s="257">
        <v>2033</v>
      </c>
      <c r="M93" s="257">
        <v>3</v>
      </c>
      <c r="N93" s="14">
        <f t="shared" si="22"/>
        <v>-9695280</v>
      </c>
      <c r="O93" s="200">
        <f t="shared" si="24"/>
        <v>10363885.356256999</v>
      </c>
      <c r="P93" s="14">
        <f t="shared" si="25"/>
        <v>-2176416</v>
      </c>
    </row>
    <row r="94" spans="1:16" x14ac:dyDescent="0.2">
      <c r="A94" s="9">
        <v>2033</v>
      </c>
      <c r="B94" s="9">
        <v>4</v>
      </c>
      <c r="C94" s="14">
        <f t="shared" si="15"/>
        <v>-28257152</v>
      </c>
      <c r="D94" s="14">
        <f t="shared" si="16"/>
        <v>29541366.958269402</v>
      </c>
      <c r="E94" s="117">
        <f t="shared" si="14"/>
        <v>4.5220000000000003E-2</v>
      </c>
      <c r="F94" s="14">
        <f t="shared" si="26"/>
        <v>-23822430.235570185</v>
      </c>
      <c r="G94" s="14">
        <f t="shared" si="17"/>
        <v>33976088.722699217</v>
      </c>
      <c r="H94" s="118">
        <f t="shared" si="18"/>
        <v>0.41216333333333344</v>
      </c>
      <c r="I94" s="14">
        <f t="shared" si="19"/>
        <v>4434721.7644298151</v>
      </c>
      <c r="J94" s="14">
        <f t="shared" si="20"/>
        <v>931292</v>
      </c>
      <c r="L94" s="257">
        <v>2033</v>
      </c>
      <c r="M94" s="257">
        <v>4</v>
      </c>
      <c r="N94" s="14">
        <f t="shared" si="22"/>
        <v>-9806720</v>
      </c>
      <c r="O94" s="200">
        <f t="shared" si="24"/>
        <v>10252445.356256999</v>
      </c>
      <c r="P94" s="14">
        <f t="shared" si="25"/>
        <v>-2153014</v>
      </c>
    </row>
    <row r="95" spans="1:16" x14ac:dyDescent="0.2">
      <c r="A95" s="9">
        <v>2033</v>
      </c>
      <c r="B95" s="9">
        <v>5</v>
      </c>
      <c r="C95" s="14">
        <f t="shared" si="15"/>
        <v>-28578256</v>
      </c>
      <c r="D95" s="14">
        <f t="shared" si="16"/>
        <v>29220262.958269402</v>
      </c>
      <c r="E95" s="117">
        <f t="shared" si="14"/>
        <v>4.5220000000000003E-2</v>
      </c>
      <c r="F95" s="14">
        <f t="shared" si="26"/>
        <v>-24040234.32117793</v>
      </c>
      <c r="G95" s="14">
        <f t="shared" si="17"/>
        <v>33758284.637091473</v>
      </c>
      <c r="H95" s="118">
        <f t="shared" si="18"/>
        <v>0.41593166666666676</v>
      </c>
      <c r="I95" s="14">
        <f t="shared" si="19"/>
        <v>4538021.6788220704</v>
      </c>
      <c r="J95" s="14">
        <f t="shared" si="20"/>
        <v>952985</v>
      </c>
      <c r="L95" s="257">
        <v>2033</v>
      </c>
      <c r="M95" s="257">
        <v>5</v>
      </c>
      <c r="N95" s="14">
        <f t="shared" si="22"/>
        <v>-9918160</v>
      </c>
      <c r="O95" s="200">
        <f t="shared" si="24"/>
        <v>10141005.356256999</v>
      </c>
      <c r="P95" s="14">
        <f t="shared" si="25"/>
        <v>-2129611</v>
      </c>
    </row>
    <row r="96" spans="1:16" x14ac:dyDescent="0.2">
      <c r="A96" s="9">
        <v>2033</v>
      </c>
      <c r="B96" s="9">
        <v>6</v>
      </c>
      <c r="C96" s="14">
        <f t="shared" si="15"/>
        <v>-28899360</v>
      </c>
      <c r="D96" s="14">
        <f t="shared" si="16"/>
        <v>28899158.958269402</v>
      </c>
      <c r="E96" s="117">
        <f t="shared" si="14"/>
        <v>4.5220000000000003E-2</v>
      </c>
      <c r="F96" s="14">
        <f t="shared" si="26"/>
        <v>-24258038.406785674</v>
      </c>
      <c r="G96" s="14">
        <f t="shared" si="17"/>
        <v>33540480.551483728</v>
      </c>
      <c r="H96" s="118">
        <f t="shared" si="18"/>
        <v>0.41970000000000013</v>
      </c>
      <c r="I96" s="14">
        <f t="shared" si="19"/>
        <v>4641321.5932143256</v>
      </c>
      <c r="J96" s="14">
        <f t="shared" si="20"/>
        <v>974678</v>
      </c>
      <c r="L96" s="257">
        <v>2033</v>
      </c>
      <c r="M96" s="257">
        <v>6</v>
      </c>
      <c r="N96" s="14">
        <f t="shared" si="22"/>
        <v>-10029600</v>
      </c>
      <c r="O96" s="200">
        <f t="shared" si="24"/>
        <v>10029565.356256999</v>
      </c>
      <c r="P96" s="14">
        <f t="shared" si="25"/>
        <v>-2106209</v>
      </c>
    </row>
    <row r="97" spans="1:16" x14ac:dyDescent="0.2">
      <c r="A97" s="9">
        <v>2033</v>
      </c>
      <c r="B97" s="9">
        <v>7</v>
      </c>
      <c r="C97" s="14">
        <f t="shared" si="15"/>
        <v>-29220464</v>
      </c>
      <c r="D97" s="14">
        <f t="shared" si="16"/>
        <v>28578054.958269402</v>
      </c>
      <c r="E97" s="117">
        <f t="shared" si="14"/>
        <v>4.5220000000000003E-2</v>
      </c>
      <c r="F97" s="14">
        <f t="shared" si="26"/>
        <v>-24475842.492393419</v>
      </c>
      <c r="G97" s="14">
        <f t="shared" si="17"/>
        <v>33322676.465875983</v>
      </c>
      <c r="H97" s="118">
        <f t="shared" si="18"/>
        <v>0.42346833333333345</v>
      </c>
      <c r="I97" s="14">
        <f t="shared" si="19"/>
        <v>4744621.5076065809</v>
      </c>
      <c r="J97" s="14">
        <f t="shared" si="20"/>
        <v>996371</v>
      </c>
      <c r="L97" s="257">
        <v>2033</v>
      </c>
      <c r="M97" s="257">
        <v>7</v>
      </c>
      <c r="N97" s="14">
        <f t="shared" si="22"/>
        <v>-10141040</v>
      </c>
      <c r="O97" s="200">
        <f t="shared" si="24"/>
        <v>9918125.3562569991</v>
      </c>
      <c r="P97" s="14">
        <f t="shared" si="25"/>
        <v>-2082806</v>
      </c>
    </row>
    <row r="98" spans="1:16" x14ac:dyDescent="0.2">
      <c r="A98" s="9">
        <v>2033</v>
      </c>
      <c r="B98" s="9">
        <v>8</v>
      </c>
      <c r="C98" s="14">
        <f t="shared" si="15"/>
        <v>-29541568</v>
      </c>
      <c r="D98" s="14">
        <f t="shared" si="16"/>
        <v>28256950.958269402</v>
      </c>
      <c r="E98" s="117">
        <f t="shared" si="14"/>
        <v>4.5220000000000003E-2</v>
      </c>
      <c r="F98" s="14">
        <f t="shared" si="26"/>
        <v>-24693646.578001164</v>
      </c>
      <c r="G98" s="14">
        <f t="shared" si="17"/>
        <v>33104872.380268238</v>
      </c>
      <c r="H98" s="118">
        <f t="shared" si="18"/>
        <v>0.42723666666666676</v>
      </c>
      <c r="I98" s="14">
        <f t="shared" si="19"/>
        <v>4847921.4219988361</v>
      </c>
      <c r="J98" s="14">
        <f t="shared" si="20"/>
        <v>1018063</v>
      </c>
      <c r="L98" s="257">
        <v>2033</v>
      </c>
      <c r="M98" s="257">
        <v>8</v>
      </c>
      <c r="N98" s="14">
        <f t="shared" si="22"/>
        <v>-10252480</v>
      </c>
      <c r="O98" s="200">
        <f t="shared" si="24"/>
        <v>9806685.3562569991</v>
      </c>
      <c r="P98" s="14">
        <f t="shared" si="25"/>
        <v>-2059404</v>
      </c>
    </row>
    <row r="99" spans="1:16" x14ac:dyDescent="0.2">
      <c r="A99" s="9">
        <v>2033</v>
      </c>
      <c r="B99" s="9">
        <v>9</v>
      </c>
      <c r="C99" s="14">
        <f t="shared" si="15"/>
        <v>-29862672</v>
      </c>
      <c r="D99" s="14">
        <f t="shared" si="16"/>
        <v>27935846.958269402</v>
      </c>
      <c r="E99" s="117">
        <f t="shared" si="14"/>
        <v>4.5220000000000003E-2</v>
      </c>
      <c r="F99" s="14">
        <f t="shared" si="26"/>
        <v>-24911450.663608909</v>
      </c>
      <c r="G99" s="14">
        <f t="shared" si="17"/>
        <v>32887068.294660494</v>
      </c>
      <c r="H99" s="118">
        <f t="shared" si="18"/>
        <v>0.43100500000000008</v>
      </c>
      <c r="I99" s="14">
        <f t="shared" si="19"/>
        <v>4951221.3363910913</v>
      </c>
      <c r="J99" s="14">
        <f t="shared" si="20"/>
        <v>1039756</v>
      </c>
      <c r="L99" s="257">
        <v>2033</v>
      </c>
      <c r="M99" s="257">
        <v>9</v>
      </c>
      <c r="N99" s="14">
        <f t="shared" si="22"/>
        <v>-10363920</v>
      </c>
      <c r="O99" s="200">
        <f t="shared" si="24"/>
        <v>9695245.3562569991</v>
      </c>
      <c r="P99" s="14">
        <f t="shared" si="25"/>
        <v>-2036002</v>
      </c>
    </row>
    <row r="100" spans="1:16" x14ac:dyDescent="0.2">
      <c r="A100" s="9">
        <v>2033</v>
      </c>
      <c r="B100" s="9">
        <v>10</v>
      </c>
      <c r="C100" s="14">
        <f t="shared" si="15"/>
        <v>-30183776</v>
      </c>
      <c r="D100" s="14">
        <f t="shared" si="16"/>
        <v>27614742.958269402</v>
      </c>
      <c r="E100" s="117">
        <f t="shared" si="14"/>
        <v>4.5220000000000003E-2</v>
      </c>
      <c r="F100" s="14">
        <f t="shared" si="26"/>
        <v>-25129254.749216653</v>
      </c>
      <c r="G100" s="14">
        <f t="shared" si="17"/>
        <v>32669264.209052749</v>
      </c>
      <c r="H100" s="118">
        <f t="shared" si="18"/>
        <v>0.4347733333333334</v>
      </c>
      <c r="I100" s="14">
        <f t="shared" si="19"/>
        <v>5054521.2507833466</v>
      </c>
      <c r="J100" s="14">
        <f t="shared" si="20"/>
        <v>1061449</v>
      </c>
      <c r="L100" s="257">
        <v>2033</v>
      </c>
      <c r="M100" s="257">
        <v>10</v>
      </c>
      <c r="N100" s="14">
        <f t="shared" si="22"/>
        <v>-10475360</v>
      </c>
      <c r="O100" s="200">
        <f t="shared" si="24"/>
        <v>9583805.3562569991</v>
      </c>
      <c r="P100" s="14">
        <f t="shared" si="25"/>
        <v>-2012599</v>
      </c>
    </row>
    <row r="101" spans="1:16" x14ac:dyDescent="0.2">
      <c r="A101" s="9">
        <v>2033</v>
      </c>
      <c r="B101" s="9">
        <v>11</v>
      </c>
      <c r="C101" s="14">
        <f t="shared" si="15"/>
        <v>-30504880</v>
      </c>
      <c r="D101" s="14">
        <f t="shared" si="16"/>
        <v>27293638.958269402</v>
      </c>
      <c r="E101" s="117">
        <f t="shared" si="14"/>
        <v>4.5220000000000003E-2</v>
      </c>
      <c r="F101" s="14">
        <f t="shared" si="26"/>
        <v>-25347058.834824398</v>
      </c>
      <c r="G101" s="14">
        <f t="shared" si="17"/>
        <v>32451460.123445004</v>
      </c>
      <c r="H101" s="118">
        <f t="shared" si="18"/>
        <v>0.43854166666666672</v>
      </c>
      <c r="I101" s="14">
        <f t="shared" si="19"/>
        <v>5157821.1651756018</v>
      </c>
      <c r="J101" s="14">
        <f t="shared" si="20"/>
        <v>1083142</v>
      </c>
      <c r="L101" s="257">
        <v>2033</v>
      </c>
      <c r="M101" s="257">
        <v>11</v>
      </c>
      <c r="N101" s="14">
        <f t="shared" si="22"/>
        <v>-10586800</v>
      </c>
      <c r="O101" s="200">
        <f t="shared" si="24"/>
        <v>9472365.3562569991</v>
      </c>
      <c r="P101" s="14">
        <f t="shared" si="25"/>
        <v>-1989197</v>
      </c>
    </row>
    <row r="102" spans="1:16" x14ac:dyDescent="0.2">
      <c r="A102" s="9">
        <v>2033</v>
      </c>
      <c r="B102" s="9">
        <v>12</v>
      </c>
      <c r="C102" s="14">
        <f t="shared" si="15"/>
        <v>-30825984</v>
      </c>
      <c r="D102" s="14">
        <f t="shared" si="16"/>
        <v>26972534.958269402</v>
      </c>
      <c r="E102" s="117">
        <f t="shared" si="14"/>
        <v>4.5220000000000003E-2</v>
      </c>
      <c r="F102" s="14">
        <f t="shared" si="26"/>
        <v>-25564862.920432143</v>
      </c>
      <c r="G102" s="14">
        <f t="shared" si="17"/>
        <v>32233656.037837259</v>
      </c>
      <c r="H102" s="118">
        <f t="shared" si="18"/>
        <v>0.44231000000000004</v>
      </c>
      <c r="I102" s="14">
        <f t="shared" si="19"/>
        <v>5261121.0795678571</v>
      </c>
      <c r="J102" s="14">
        <f t="shared" si="20"/>
        <v>1104835</v>
      </c>
      <c r="L102" s="257">
        <v>2033</v>
      </c>
      <c r="M102" s="257">
        <v>12</v>
      </c>
      <c r="N102" s="14">
        <f t="shared" si="22"/>
        <v>-10698240</v>
      </c>
      <c r="O102" s="200">
        <f t="shared" si="24"/>
        <v>9360925.3562569991</v>
      </c>
      <c r="P102" s="14">
        <f t="shared" si="25"/>
        <v>-1965794</v>
      </c>
    </row>
    <row r="103" spans="1:16" x14ac:dyDescent="0.2">
      <c r="A103" s="9">
        <v>2034</v>
      </c>
      <c r="B103" s="9">
        <v>1</v>
      </c>
      <c r="C103" s="14">
        <f t="shared" si="15"/>
        <v>-31147088</v>
      </c>
      <c r="D103" s="14">
        <f t="shared" si="16"/>
        <v>26651430.958269402</v>
      </c>
      <c r="E103" s="117">
        <f t="shared" ref="E103:E134" si="27">VLOOKUP(A103-($C$2-1),$D$198:$G$219,4)</f>
        <v>4.462E-2</v>
      </c>
      <c r="F103" s="14">
        <f t="shared" si="26"/>
        <v>-25779777.080091976</v>
      </c>
      <c r="G103" s="14">
        <f t="shared" si="17"/>
        <v>32018741.878177427</v>
      </c>
      <c r="H103" s="118">
        <f t="shared" si="18"/>
        <v>0.44602833333333342</v>
      </c>
      <c r="I103" s="14">
        <f t="shared" si="19"/>
        <v>5367310.9199080244</v>
      </c>
      <c r="J103" s="14">
        <f t="shared" si="20"/>
        <v>1127135</v>
      </c>
      <c r="L103" s="257">
        <v>2034</v>
      </c>
      <c r="M103" s="257">
        <v>1</v>
      </c>
      <c r="N103" s="14">
        <f t="shared" si="22"/>
        <v>-10809680</v>
      </c>
      <c r="O103" s="200">
        <f t="shared" si="24"/>
        <v>9249485.3562569991</v>
      </c>
      <c r="P103" s="14">
        <f t="shared" si="25"/>
        <v>-1942392</v>
      </c>
    </row>
    <row r="104" spans="1:16" x14ac:dyDescent="0.2">
      <c r="A104" s="9">
        <v>2034</v>
      </c>
      <c r="B104" s="9">
        <v>2</v>
      </c>
      <c r="C104" s="14">
        <f t="shared" ref="C104:C135" si="28">-(ROUND($C$1*$C$4/12,0)-C103)</f>
        <v>-31468192</v>
      </c>
      <c r="D104" s="14">
        <f t="shared" si="16"/>
        <v>26330326.958269402</v>
      </c>
      <c r="E104" s="117">
        <f t="shared" si="27"/>
        <v>4.462E-2</v>
      </c>
      <c r="F104" s="14">
        <f t="shared" si="26"/>
        <v>-25994691.239751808</v>
      </c>
      <c r="G104" s="14">
        <f t="shared" si="17"/>
        <v>31803827.718517594</v>
      </c>
      <c r="H104" s="118">
        <f t="shared" si="18"/>
        <v>0.44974666666666674</v>
      </c>
      <c r="I104" s="14">
        <f t="shared" si="19"/>
        <v>5473500.7602481917</v>
      </c>
      <c r="J104" s="14">
        <f t="shared" si="20"/>
        <v>1149435</v>
      </c>
      <c r="L104" s="257">
        <v>2034</v>
      </c>
      <c r="M104" s="257">
        <v>2</v>
      </c>
      <c r="N104" s="14">
        <f t="shared" si="22"/>
        <v>-10921120</v>
      </c>
      <c r="O104" s="200">
        <f t="shared" si="24"/>
        <v>9138045.3562569991</v>
      </c>
      <c r="P104" s="14">
        <f t="shared" si="25"/>
        <v>-1918990</v>
      </c>
    </row>
    <row r="105" spans="1:16" x14ac:dyDescent="0.2">
      <c r="A105" s="9">
        <v>2034</v>
      </c>
      <c r="B105" s="9">
        <v>3</v>
      </c>
      <c r="C105" s="14">
        <f t="shared" si="28"/>
        <v>-31789296</v>
      </c>
      <c r="D105" s="14">
        <f t="shared" si="16"/>
        <v>26009222.958269402</v>
      </c>
      <c r="E105" s="117">
        <f t="shared" si="27"/>
        <v>4.462E-2</v>
      </c>
      <c r="F105" s="14">
        <f t="shared" si="26"/>
        <v>-26209605.399411641</v>
      </c>
      <c r="G105" s="14">
        <f t="shared" si="17"/>
        <v>31588913.558857761</v>
      </c>
      <c r="H105" s="118">
        <f t="shared" si="18"/>
        <v>0.45346500000000012</v>
      </c>
      <c r="I105" s="14">
        <f t="shared" si="19"/>
        <v>5579690.6005883589</v>
      </c>
      <c r="J105" s="14">
        <f t="shared" si="20"/>
        <v>1171735</v>
      </c>
      <c r="L105" s="257">
        <v>2034</v>
      </c>
      <c r="M105" s="257">
        <v>3</v>
      </c>
      <c r="N105" s="14">
        <f t="shared" si="22"/>
        <v>-11032560</v>
      </c>
      <c r="O105" s="200">
        <f t="shared" si="24"/>
        <v>9026605.3562569991</v>
      </c>
      <c r="P105" s="14">
        <f t="shared" si="25"/>
        <v>-1895587</v>
      </c>
    </row>
    <row r="106" spans="1:16" x14ac:dyDescent="0.2">
      <c r="A106" s="9">
        <v>2034</v>
      </c>
      <c r="B106" s="9">
        <v>4</v>
      </c>
      <c r="C106" s="14">
        <f t="shared" si="28"/>
        <v>-32110400</v>
      </c>
      <c r="D106" s="14">
        <f t="shared" si="16"/>
        <v>25688118.958269402</v>
      </c>
      <c r="E106" s="117">
        <f t="shared" si="27"/>
        <v>4.462E-2</v>
      </c>
      <c r="F106" s="14">
        <f t="shared" si="26"/>
        <v>-26424519.559071474</v>
      </c>
      <c r="G106" s="14">
        <f t="shared" si="17"/>
        <v>31373999.399197929</v>
      </c>
      <c r="H106" s="118">
        <f t="shared" si="18"/>
        <v>0.45718333333333344</v>
      </c>
      <c r="I106" s="14">
        <f t="shared" si="19"/>
        <v>5685880.4409285262</v>
      </c>
      <c r="J106" s="14">
        <f t="shared" si="20"/>
        <v>1194035</v>
      </c>
      <c r="L106" s="257">
        <v>2034</v>
      </c>
      <c r="M106" s="257">
        <v>4</v>
      </c>
      <c r="N106" s="14">
        <f t="shared" si="22"/>
        <v>-11144000</v>
      </c>
      <c r="O106" s="200">
        <f t="shared" si="24"/>
        <v>8915165.3562569991</v>
      </c>
      <c r="P106" s="14">
        <f t="shared" si="25"/>
        <v>-1872185</v>
      </c>
    </row>
    <row r="107" spans="1:16" x14ac:dyDescent="0.2">
      <c r="A107" s="9">
        <v>2034</v>
      </c>
      <c r="B107" s="9">
        <v>5</v>
      </c>
      <c r="C107" s="14">
        <f t="shared" si="28"/>
        <v>-32431504</v>
      </c>
      <c r="D107" s="14">
        <f t="shared" si="16"/>
        <v>25367014.958269402</v>
      </c>
      <c r="E107" s="117">
        <f t="shared" si="27"/>
        <v>4.462E-2</v>
      </c>
      <c r="F107" s="14">
        <f t="shared" si="26"/>
        <v>-26639433.718731306</v>
      </c>
      <c r="G107" s="14">
        <f t="shared" si="17"/>
        <v>31159085.239538096</v>
      </c>
      <c r="H107" s="118">
        <f t="shared" si="18"/>
        <v>0.46090166666666682</v>
      </c>
      <c r="I107" s="14">
        <f t="shared" si="19"/>
        <v>5792070.2812686935</v>
      </c>
      <c r="J107" s="14">
        <f t="shared" si="20"/>
        <v>1216335</v>
      </c>
      <c r="L107" s="257">
        <v>2034</v>
      </c>
      <c r="M107" s="257">
        <v>5</v>
      </c>
      <c r="N107" s="14">
        <f t="shared" si="22"/>
        <v>-11255440</v>
      </c>
      <c r="O107" s="200">
        <f t="shared" si="24"/>
        <v>8803725.3562569991</v>
      </c>
      <c r="P107" s="14">
        <f t="shared" si="25"/>
        <v>-1848782</v>
      </c>
    </row>
    <row r="108" spans="1:16" x14ac:dyDescent="0.2">
      <c r="A108" s="9">
        <v>2034</v>
      </c>
      <c r="B108" s="9">
        <v>6</v>
      </c>
      <c r="C108" s="14">
        <f t="shared" si="28"/>
        <v>-32752608</v>
      </c>
      <c r="D108" s="14">
        <f t="shared" si="16"/>
        <v>25045910.958269402</v>
      </c>
      <c r="E108" s="117">
        <f t="shared" si="27"/>
        <v>4.462E-2</v>
      </c>
      <c r="F108" s="14">
        <f t="shared" si="26"/>
        <v>-26854347.878391139</v>
      </c>
      <c r="G108" s="14">
        <f t="shared" si="17"/>
        <v>30944171.079878263</v>
      </c>
      <c r="H108" s="118">
        <f t="shared" si="18"/>
        <v>0.46462000000000014</v>
      </c>
      <c r="I108" s="14">
        <f t="shared" si="19"/>
        <v>5898260.1216088608</v>
      </c>
      <c r="J108" s="14">
        <f t="shared" si="20"/>
        <v>1238635</v>
      </c>
      <c r="L108" s="257">
        <v>2034</v>
      </c>
      <c r="M108" s="257">
        <v>6</v>
      </c>
      <c r="N108" s="14">
        <f t="shared" si="22"/>
        <v>-11366880</v>
      </c>
      <c r="O108" s="200">
        <f t="shared" si="24"/>
        <v>8692285.3562569991</v>
      </c>
      <c r="P108" s="14">
        <f t="shared" si="25"/>
        <v>-1825380</v>
      </c>
    </row>
    <row r="109" spans="1:16" x14ac:dyDescent="0.2">
      <c r="A109" s="9">
        <v>2034</v>
      </c>
      <c r="B109" s="9">
        <v>7</v>
      </c>
      <c r="C109" s="14">
        <f t="shared" si="28"/>
        <v>-33073712</v>
      </c>
      <c r="D109" s="14">
        <f t="shared" si="16"/>
        <v>24724806.958269402</v>
      </c>
      <c r="E109" s="117">
        <f t="shared" si="27"/>
        <v>4.462E-2</v>
      </c>
      <c r="F109" s="14">
        <f t="shared" si="26"/>
        <v>-27069262.038050972</v>
      </c>
      <c r="G109" s="14">
        <f t="shared" si="17"/>
        <v>30729256.92021843</v>
      </c>
      <c r="H109" s="118">
        <f t="shared" si="18"/>
        <v>0.46833833333333352</v>
      </c>
      <c r="I109" s="14">
        <f t="shared" si="19"/>
        <v>6004449.9619490281</v>
      </c>
      <c r="J109" s="14">
        <f t="shared" si="20"/>
        <v>1260934</v>
      </c>
      <c r="L109" s="257">
        <v>2034</v>
      </c>
      <c r="M109" s="257">
        <v>7</v>
      </c>
      <c r="N109" s="14">
        <f t="shared" si="22"/>
        <v>-11478320</v>
      </c>
      <c r="O109" s="200">
        <f t="shared" si="24"/>
        <v>8580845.3562569991</v>
      </c>
      <c r="P109" s="14">
        <f t="shared" si="25"/>
        <v>-1801978</v>
      </c>
    </row>
    <row r="110" spans="1:16" x14ac:dyDescent="0.2">
      <c r="A110" s="9">
        <v>2034</v>
      </c>
      <c r="B110" s="9">
        <v>8</v>
      </c>
      <c r="C110" s="14">
        <f t="shared" si="28"/>
        <v>-33394816</v>
      </c>
      <c r="D110" s="14">
        <f t="shared" si="16"/>
        <v>24403702.958269402</v>
      </c>
      <c r="E110" s="117">
        <f t="shared" si="27"/>
        <v>4.462E-2</v>
      </c>
      <c r="F110" s="14">
        <f t="shared" si="26"/>
        <v>-27284176.197710805</v>
      </c>
      <c r="G110" s="14">
        <f t="shared" si="17"/>
        <v>30514342.760558598</v>
      </c>
      <c r="H110" s="118">
        <f t="shared" si="18"/>
        <v>0.47205666666666685</v>
      </c>
      <c r="I110" s="14">
        <f t="shared" si="19"/>
        <v>6110639.8022891954</v>
      </c>
      <c r="J110" s="14">
        <f t="shared" si="20"/>
        <v>1283234</v>
      </c>
      <c r="L110" s="257">
        <v>2034</v>
      </c>
      <c r="M110" s="257">
        <v>8</v>
      </c>
      <c r="N110" s="14">
        <f t="shared" si="22"/>
        <v>-11589760</v>
      </c>
      <c r="O110" s="200">
        <f t="shared" si="24"/>
        <v>8469405.3562569991</v>
      </c>
      <c r="P110" s="14">
        <f t="shared" si="25"/>
        <v>-1778575</v>
      </c>
    </row>
    <row r="111" spans="1:16" x14ac:dyDescent="0.2">
      <c r="A111" s="9">
        <v>2034</v>
      </c>
      <c r="B111" s="9">
        <v>9</v>
      </c>
      <c r="C111" s="14">
        <f t="shared" si="28"/>
        <v>-33715920</v>
      </c>
      <c r="D111" s="14">
        <f t="shared" si="16"/>
        <v>24082598.958269402</v>
      </c>
      <c r="E111" s="117">
        <f t="shared" si="27"/>
        <v>4.462E-2</v>
      </c>
      <c r="F111" s="14">
        <f t="shared" si="26"/>
        <v>-27499090.357370637</v>
      </c>
      <c r="G111" s="14">
        <f t="shared" si="17"/>
        <v>30299428.600898765</v>
      </c>
      <c r="H111" s="118">
        <f t="shared" si="18"/>
        <v>0.47577500000000023</v>
      </c>
      <c r="I111" s="14">
        <f t="shared" si="19"/>
        <v>6216829.6426293626</v>
      </c>
      <c r="J111" s="14">
        <f t="shared" si="20"/>
        <v>1305534</v>
      </c>
      <c r="L111" s="257">
        <v>2034</v>
      </c>
      <c r="M111" s="257">
        <v>9</v>
      </c>
      <c r="N111" s="14">
        <f t="shared" si="22"/>
        <v>-11701200</v>
      </c>
      <c r="O111" s="200">
        <f t="shared" si="24"/>
        <v>8357965.3562569991</v>
      </c>
      <c r="P111" s="14">
        <f t="shared" si="25"/>
        <v>-1755173</v>
      </c>
    </row>
    <row r="112" spans="1:16" x14ac:dyDescent="0.2">
      <c r="A112" s="9">
        <v>2034</v>
      </c>
      <c r="B112" s="9">
        <v>10</v>
      </c>
      <c r="C112" s="14">
        <f t="shared" si="28"/>
        <v>-34037024</v>
      </c>
      <c r="D112" s="14">
        <f t="shared" si="16"/>
        <v>23761494.958269402</v>
      </c>
      <c r="E112" s="117">
        <f t="shared" si="27"/>
        <v>4.462E-2</v>
      </c>
      <c r="F112" s="14">
        <f t="shared" si="26"/>
        <v>-27714004.51703047</v>
      </c>
      <c r="G112" s="14">
        <f t="shared" si="17"/>
        <v>30084514.441238932</v>
      </c>
      <c r="H112" s="118">
        <f t="shared" si="18"/>
        <v>0.47949333333333355</v>
      </c>
      <c r="I112" s="14">
        <f t="shared" si="19"/>
        <v>6323019.4829695299</v>
      </c>
      <c r="J112" s="14">
        <f t="shared" si="20"/>
        <v>1327834</v>
      </c>
      <c r="L112" s="257">
        <v>2034</v>
      </c>
      <c r="M112" s="257">
        <v>10</v>
      </c>
      <c r="N112" s="14">
        <f t="shared" si="22"/>
        <v>-11812640</v>
      </c>
      <c r="O112" s="200">
        <f t="shared" si="24"/>
        <v>8246525.3562569991</v>
      </c>
      <c r="P112" s="14">
        <f t="shared" si="25"/>
        <v>-1731770</v>
      </c>
    </row>
    <row r="113" spans="1:16" x14ac:dyDescent="0.2">
      <c r="A113" s="9">
        <v>2034</v>
      </c>
      <c r="B113" s="9">
        <v>11</v>
      </c>
      <c r="C113" s="14">
        <f t="shared" si="28"/>
        <v>-34358128</v>
      </c>
      <c r="D113" s="14">
        <f t="shared" si="16"/>
        <v>23440390.958269402</v>
      </c>
      <c r="E113" s="117">
        <f t="shared" si="27"/>
        <v>4.462E-2</v>
      </c>
      <c r="F113" s="14">
        <f t="shared" si="26"/>
        <v>-27928918.676690303</v>
      </c>
      <c r="G113" s="14">
        <f t="shared" si="17"/>
        <v>29869600.2815791</v>
      </c>
      <c r="H113" s="118">
        <f t="shared" si="18"/>
        <v>0.48321166666666693</v>
      </c>
      <c r="I113" s="14">
        <f t="shared" si="19"/>
        <v>6429209.3233096972</v>
      </c>
      <c r="J113" s="14">
        <f t="shared" si="20"/>
        <v>1350134</v>
      </c>
      <c r="L113" s="257">
        <v>2034</v>
      </c>
      <c r="M113" s="257">
        <v>11</v>
      </c>
      <c r="N113" s="14">
        <f t="shared" si="22"/>
        <v>-11924080</v>
      </c>
      <c r="O113" s="200">
        <f t="shared" si="24"/>
        <v>8135085.3562569991</v>
      </c>
      <c r="P113" s="14">
        <f t="shared" si="25"/>
        <v>-1708368</v>
      </c>
    </row>
    <row r="114" spans="1:16" x14ac:dyDescent="0.2">
      <c r="A114" s="9">
        <v>2034</v>
      </c>
      <c r="B114" s="9">
        <v>12</v>
      </c>
      <c r="C114" s="14">
        <f t="shared" si="28"/>
        <v>-34679232</v>
      </c>
      <c r="D114" s="14">
        <f t="shared" si="16"/>
        <v>23119286.958269402</v>
      </c>
      <c r="E114" s="117">
        <f t="shared" si="27"/>
        <v>4.462E-2</v>
      </c>
      <c r="F114" s="14">
        <f t="shared" si="26"/>
        <v>-28143832.836350136</v>
      </c>
      <c r="G114" s="14">
        <f t="shared" si="17"/>
        <v>29654686.121919267</v>
      </c>
      <c r="H114" s="118">
        <f t="shared" si="18"/>
        <v>0.48693000000000025</v>
      </c>
      <c r="I114" s="14">
        <f t="shared" si="19"/>
        <v>6535399.1636498645</v>
      </c>
      <c r="J114" s="14">
        <f t="shared" si="20"/>
        <v>1372434</v>
      </c>
      <c r="L114" s="257">
        <v>2034</v>
      </c>
      <c r="M114" s="257">
        <v>12</v>
      </c>
      <c r="N114" s="14">
        <f t="shared" si="22"/>
        <v>-12035520</v>
      </c>
      <c r="O114" s="200">
        <f t="shared" si="24"/>
        <v>8023645.3562569991</v>
      </c>
      <c r="P114" s="14">
        <f t="shared" si="25"/>
        <v>-1684966</v>
      </c>
    </row>
    <row r="115" spans="1:16" x14ac:dyDescent="0.2">
      <c r="A115" s="9">
        <v>2035</v>
      </c>
      <c r="B115" s="9">
        <v>1</v>
      </c>
      <c r="C115" s="14">
        <f t="shared" si="28"/>
        <v>-35000336</v>
      </c>
      <c r="D115" s="14">
        <f t="shared" si="16"/>
        <v>22798182.958269402</v>
      </c>
      <c r="E115" s="117">
        <f t="shared" si="27"/>
        <v>4.4609999999999997E-2</v>
      </c>
      <c r="F115" s="14">
        <f t="shared" si="26"/>
        <v>-28358698.8305775</v>
      </c>
      <c r="G115" s="14">
        <f t="shared" si="17"/>
        <v>29439820.127691902</v>
      </c>
      <c r="H115" s="118">
        <f t="shared" si="18"/>
        <v>0.49064750000000024</v>
      </c>
      <c r="I115" s="14">
        <f t="shared" si="19"/>
        <v>6641637.1694224998</v>
      </c>
      <c r="J115" s="14">
        <f t="shared" si="20"/>
        <v>1394744</v>
      </c>
      <c r="L115" s="257">
        <v>2035</v>
      </c>
      <c r="M115" s="257">
        <v>1</v>
      </c>
      <c r="N115" s="14">
        <f t="shared" si="22"/>
        <v>-12146960</v>
      </c>
      <c r="O115" s="200">
        <f t="shared" si="24"/>
        <v>7912205.3562569991</v>
      </c>
      <c r="P115" s="14">
        <f t="shared" si="25"/>
        <v>-1661563</v>
      </c>
    </row>
    <row r="116" spans="1:16" x14ac:dyDescent="0.2">
      <c r="A116" s="9">
        <v>2035</v>
      </c>
      <c r="B116" s="9">
        <v>2</v>
      </c>
      <c r="C116" s="14">
        <f t="shared" si="28"/>
        <v>-35321440</v>
      </c>
      <c r="D116" s="14">
        <f t="shared" si="16"/>
        <v>22477078.958269402</v>
      </c>
      <c r="E116" s="117">
        <f t="shared" si="27"/>
        <v>4.4609999999999997E-2</v>
      </c>
      <c r="F116" s="14">
        <f t="shared" si="26"/>
        <v>-28573564.824804865</v>
      </c>
      <c r="G116" s="14">
        <f t="shared" si="17"/>
        <v>29224954.133464538</v>
      </c>
      <c r="H116" s="118">
        <f t="shared" si="18"/>
        <v>0.49436500000000022</v>
      </c>
      <c r="I116" s="14">
        <f t="shared" si="19"/>
        <v>6747875.1751951352</v>
      </c>
      <c r="J116" s="14">
        <f t="shared" si="20"/>
        <v>1417054</v>
      </c>
      <c r="L116" s="257">
        <v>2035</v>
      </c>
      <c r="M116" s="257">
        <v>2</v>
      </c>
      <c r="N116" s="14">
        <f t="shared" si="22"/>
        <v>-12258400</v>
      </c>
      <c r="O116" s="200">
        <f t="shared" si="24"/>
        <v>7800765.3562569991</v>
      </c>
      <c r="P116" s="14">
        <f t="shared" si="25"/>
        <v>-1638161</v>
      </c>
    </row>
    <row r="117" spans="1:16" x14ac:dyDescent="0.2">
      <c r="A117" s="9">
        <v>2035</v>
      </c>
      <c r="B117" s="9">
        <v>3</v>
      </c>
      <c r="C117" s="14">
        <f t="shared" si="28"/>
        <v>-35642544</v>
      </c>
      <c r="D117" s="14">
        <f t="shared" si="16"/>
        <v>22155974.958269402</v>
      </c>
      <c r="E117" s="117">
        <f t="shared" si="27"/>
        <v>4.4609999999999997E-2</v>
      </c>
      <c r="F117" s="14">
        <f t="shared" si="26"/>
        <v>-28788430.819032229</v>
      </c>
      <c r="G117" s="14">
        <f t="shared" si="17"/>
        <v>29010088.139237173</v>
      </c>
      <c r="H117" s="118">
        <f t="shared" si="18"/>
        <v>0.49808250000000015</v>
      </c>
      <c r="I117" s="14">
        <f t="shared" si="19"/>
        <v>6854113.1809677705</v>
      </c>
      <c r="J117" s="14">
        <f t="shared" si="20"/>
        <v>1439364</v>
      </c>
      <c r="L117" s="257">
        <v>2035</v>
      </c>
      <c r="M117" s="257">
        <v>3</v>
      </c>
      <c r="N117" s="14">
        <f t="shared" si="22"/>
        <v>-12369840</v>
      </c>
      <c r="O117" s="200">
        <f t="shared" si="24"/>
        <v>7689325.3562569991</v>
      </c>
      <c r="P117" s="14">
        <f t="shared" si="25"/>
        <v>-1614758</v>
      </c>
    </row>
    <row r="118" spans="1:16" x14ac:dyDescent="0.2">
      <c r="A118" s="9">
        <v>2035</v>
      </c>
      <c r="B118" s="9">
        <v>4</v>
      </c>
      <c r="C118" s="14">
        <f t="shared" si="28"/>
        <v>-35963648</v>
      </c>
      <c r="D118" s="14">
        <f t="shared" si="16"/>
        <v>21834870.958269402</v>
      </c>
      <c r="E118" s="117">
        <f t="shared" si="27"/>
        <v>4.4609999999999997E-2</v>
      </c>
      <c r="F118" s="14">
        <f t="shared" si="26"/>
        <v>-29003296.813259594</v>
      </c>
      <c r="G118" s="14">
        <f t="shared" si="17"/>
        <v>28795222.145009808</v>
      </c>
      <c r="H118" s="118">
        <f t="shared" si="18"/>
        <v>0.50180000000000013</v>
      </c>
      <c r="I118" s="14">
        <f t="shared" si="19"/>
        <v>6960351.1867404059</v>
      </c>
      <c r="J118" s="14">
        <f t="shared" si="20"/>
        <v>1461674</v>
      </c>
      <c r="L118" s="257">
        <v>2035</v>
      </c>
      <c r="M118" s="257">
        <v>4</v>
      </c>
      <c r="N118" s="14">
        <f t="shared" si="22"/>
        <v>-12481280</v>
      </c>
      <c r="O118" s="200">
        <f t="shared" si="24"/>
        <v>7577885.3562569991</v>
      </c>
      <c r="P118" s="14">
        <f t="shared" si="25"/>
        <v>-1591356</v>
      </c>
    </row>
    <row r="119" spans="1:16" x14ac:dyDescent="0.2">
      <c r="A119" s="9">
        <v>2035</v>
      </c>
      <c r="B119" s="9">
        <v>5</v>
      </c>
      <c r="C119" s="14">
        <f t="shared" si="28"/>
        <v>-36284752</v>
      </c>
      <c r="D119" s="14">
        <f t="shared" si="16"/>
        <v>21513766.958269402</v>
      </c>
      <c r="E119" s="117">
        <f t="shared" si="27"/>
        <v>4.4609999999999997E-2</v>
      </c>
      <c r="F119" s="14">
        <f t="shared" si="26"/>
        <v>-29218162.807486959</v>
      </c>
      <c r="G119" s="14">
        <f t="shared" si="17"/>
        <v>28580356.150782444</v>
      </c>
      <c r="H119" s="118">
        <f t="shared" si="18"/>
        <v>0.50551750000000006</v>
      </c>
      <c r="I119" s="14">
        <f t="shared" si="19"/>
        <v>7066589.1925130412</v>
      </c>
      <c r="J119" s="14">
        <f t="shared" si="20"/>
        <v>1483984</v>
      </c>
      <c r="L119" s="257">
        <v>2035</v>
      </c>
      <c r="M119" s="257">
        <v>5</v>
      </c>
      <c r="N119" s="14">
        <f t="shared" si="22"/>
        <v>-12592720</v>
      </c>
      <c r="O119" s="200">
        <f t="shared" si="24"/>
        <v>7466445.3562569991</v>
      </c>
      <c r="P119" s="14">
        <f t="shared" si="25"/>
        <v>-1567954</v>
      </c>
    </row>
    <row r="120" spans="1:16" x14ac:dyDescent="0.2">
      <c r="A120" s="9">
        <v>2035</v>
      </c>
      <c r="B120" s="9">
        <v>6</v>
      </c>
      <c r="C120" s="14">
        <f t="shared" si="28"/>
        <v>-36605856</v>
      </c>
      <c r="D120" s="14">
        <f t="shared" si="16"/>
        <v>21192662.958269402</v>
      </c>
      <c r="E120" s="117">
        <f t="shared" si="27"/>
        <v>4.4609999999999997E-2</v>
      </c>
      <c r="F120" s="14">
        <f t="shared" si="26"/>
        <v>-29433028.801714323</v>
      </c>
      <c r="G120" s="14">
        <f t="shared" si="17"/>
        <v>28365490.156555079</v>
      </c>
      <c r="H120" s="118">
        <f t="shared" si="18"/>
        <v>0.5092350000000001</v>
      </c>
      <c r="I120" s="14">
        <f t="shared" si="19"/>
        <v>7172827.1982856765</v>
      </c>
      <c r="J120" s="14">
        <f t="shared" si="20"/>
        <v>1506294</v>
      </c>
      <c r="L120" s="257">
        <v>2035</v>
      </c>
      <c r="M120" s="257">
        <v>6</v>
      </c>
      <c r="N120" s="14">
        <f t="shared" si="22"/>
        <v>-12704160</v>
      </c>
      <c r="O120" s="200">
        <f t="shared" si="24"/>
        <v>7355005.3562569991</v>
      </c>
      <c r="P120" s="14">
        <f t="shared" si="25"/>
        <v>-1544551</v>
      </c>
    </row>
    <row r="121" spans="1:16" x14ac:dyDescent="0.2">
      <c r="A121" s="9">
        <v>2035</v>
      </c>
      <c r="B121" s="9">
        <v>7</v>
      </c>
      <c r="C121" s="14">
        <f t="shared" si="28"/>
        <v>-36926960</v>
      </c>
      <c r="D121" s="14">
        <f t="shared" si="16"/>
        <v>20871558.958269402</v>
      </c>
      <c r="E121" s="117">
        <f t="shared" si="27"/>
        <v>4.4609999999999997E-2</v>
      </c>
      <c r="F121" s="14">
        <f t="shared" si="26"/>
        <v>-29647894.795941688</v>
      </c>
      <c r="G121" s="14">
        <f t="shared" si="17"/>
        <v>28150624.162327714</v>
      </c>
      <c r="H121" s="118">
        <f t="shared" si="18"/>
        <v>0.51295250000000003</v>
      </c>
      <c r="I121" s="14">
        <f t="shared" si="19"/>
        <v>7279065.2040583119</v>
      </c>
      <c r="J121" s="14">
        <f t="shared" si="20"/>
        <v>1528604</v>
      </c>
      <c r="L121" s="257">
        <v>2035</v>
      </c>
      <c r="M121" s="257">
        <v>7</v>
      </c>
      <c r="N121" s="14">
        <f t="shared" si="22"/>
        <v>-12815600</v>
      </c>
      <c r="O121" s="200">
        <f t="shared" si="24"/>
        <v>7243565.3562569991</v>
      </c>
      <c r="P121" s="14">
        <f t="shared" si="25"/>
        <v>-1521149</v>
      </c>
    </row>
    <row r="122" spans="1:16" x14ac:dyDescent="0.2">
      <c r="A122" s="9">
        <v>2035</v>
      </c>
      <c r="B122" s="9">
        <v>8</v>
      </c>
      <c r="C122" s="14">
        <f t="shared" si="28"/>
        <v>-37248064</v>
      </c>
      <c r="D122" s="14">
        <f t="shared" si="16"/>
        <v>20550454.958269402</v>
      </c>
      <c r="E122" s="117">
        <f t="shared" si="27"/>
        <v>4.4609999999999997E-2</v>
      </c>
      <c r="F122" s="14">
        <f t="shared" si="26"/>
        <v>-29862760.790169053</v>
      </c>
      <c r="G122" s="14">
        <f t="shared" si="17"/>
        <v>27935758.16810035</v>
      </c>
      <c r="H122" s="118">
        <f t="shared" si="18"/>
        <v>0.51666999999999996</v>
      </c>
      <c r="I122" s="14">
        <f t="shared" si="19"/>
        <v>7385303.2098309472</v>
      </c>
      <c r="J122" s="14">
        <f t="shared" si="20"/>
        <v>1550914</v>
      </c>
      <c r="L122" s="257">
        <v>2035</v>
      </c>
      <c r="M122" s="257">
        <v>8</v>
      </c>
      <c r="N122" s="14">
        <f t="shared" si="22"/>
        <v>-12927040</v>
      </c>
      <c r="O122" s="200">
        <f t="shared" si="24"/>
        <v>7132125.3562569991</v>
      </c>
      <c r="P122" s="14">
        <f t="shared" si="25"/>
        <v>-1497746</v>
      </c>
    </row>
    <row r="123" spans="1:16" x14ac:dyDescent="0.2">
      <c r="A123" s="9">
        <v>2035</v>
      </c>
      <c r="B123" s="9">
        <v>9</v>
      </c>
      <c r="C123" s="14">
        <f t="shared" si="28"/>
        <v>-37569168</v>
      </c>
      <c r="D123" s="14">
        <f t="shared" si="16"/>
        <v>20229350.958269402</v>
      </c>
      <c r="E123" s="117">
        <f t="shared" si="27"/>
        <v>4.4609999999999997E-2</v>
      </c>
      <c r="F123" s="14">
        <f t="shared" si="26"/>
        <v>-30077626.784396417</v>
      </c>
      <c r="G123" s="14">
        <f t="shared" si="17"/>
        <v>27720892.173872985</v>
      </c>
      <c r="H123" s="118">
        <f t="shared" si="18"/>
        <v>0.5203875</v>
      </c>
      <c r="I123" s="14">
        <f t="shared" si="19"/>
        <v>7491541.2156035826</v>
      </c>
      <c r="J123" s="14">
        <f t="shared" si="20"/>
        <v>1573224</v>
      </c>
      <c r="L123" s="257">
        <v>2035</v>
      </c>
      <c r="M123" s="257">
        <v>9</v>
      </c>
      <c r="N123" s="14">
        <f t="shared" si="22"/>
        <v>-13038480</v>
      </c>
      <c r="O123" s="200">
        <f t="shared" si="24"/>
        <v>7020685.3562569991</v>
      </c>
      <c r="P123" s="14">
        <f t="shared" si="25"/>
        <v>-1474344</v>
      </c>
    </row>
    <row r="124" spans="1:16" x14ac:dyDescent="0.2">
      <c r="A124" s="9">
        <v>2035</v>
      </c>
      <c r="B124" s="9">
        <v>10</v>
      </c>
      <c r="C124" s="14">
        <f t="shared" si="28"/>
        <v>-37890272</v>
      </c>
      <c r="D124" s="14">
        <f t="shared" si="16"/>
        <v>19908246.958269402</v>
      </c>
      <c r="E124" s="117">
        <f t="shared" si="27"/>
        <v>4.4609999999999997E-2</v>
      </c>
      <c r="F124" s="14">
        <f t="shared" si="26"/>
        <v>-30292492.778623782</v>
      </c>
      <c r="G124" s="14">
        <f t="shared" si="17"/>
        <v>27506026.17964562</v>
      </c>
      <c r="H124" s="118">
        <f t="shared" si="18"/>
        <v>0.52410499999999993</v>
      </c>
      <c r="I124" s="14">
        <f t="shared" si="19"/>
        <v>7597779.2213762179</v>
      </c>
      <c r="J124" s="14">
        <f t="shared" si="20"/>
        <v>1595534</v>
      </c>
      <c r="L124" s="257">
        <v>2035</v>
      </c>
      <c r="M124" s="257">
        <v>10</v>
      </c>
      <c r="N124" s="14">
        <f t="shared" si="22"/>
        <v>-13149920</v>
      </c>
      <c r="O124" s="200">
        <f t="shared" si="24"/>
        <v>6909245.3562569991</v>
      </c>
      <c r="P124" s="14">
        <f t="shared" si="25"/>
        <v>-1450942</v>
      </c>
    </row>
    <row r="125" spans="1:16" x14ac:dyDescent="0.2">
      <c r="A125" s="9">
        <v>2035</v>
      </c>
      <c r="B125" s="9">
        <v>11</v>
      </c>
      <c r="C125" s="14">
        <f t="shared" si="28"/>
        <v>-38211376</v>
      </c>
      <c r="D125" s="14">
        <f t="shared" si="16"/>
        <v>19587142.958269402</v>
      </c>
      <c r="E125" s="117">
        <f t="shared" si="27"/>
        <v>4.4609999999999997E-2</v>
      </c>
      <c r="F125" s="14">
        <f t="shared" si="26"/>
        <v>-30507358.772851147</v>
      </c>
      <c r="G125" s="14">
        <f t="shared" si="17"/>
        <v>27291160.185418256</v>
      </c>
      <c r="H125" s="118">
        <f t="shared" si="18"/>
        <v>0.52782249999999986</v>
      </c>
      <c r="I125" s="14">
        <f t="shared" si="19"/>
        <v>7704017.2271488532</v>
      </c>
      <c r="J125" s="14">
        <f t="shared" si="20"/>
        <v>1617844</v>
      </c>
      <c r="L125" s="257">
        <v>2035</v>
      </c>
      <c r="M125" s="257">
        <v>11</v>
      </c>
      <c r="N125" s="14">
        <f t="shared" si="22"/>
        <v>-13261360</v>
      </c>
      <c r="O125" s="200">
        <f t="shared" si="24"/>
        <v>6797805.3562569991</v>
      </c>
      <c r="P125" s="14">
        <f t="shared" si="25"/>
        <v>-1427539</v>
      </c>
    </row>
    <row r="126" spans="1:16" x14ac:dyDescent="0.2">
      <c r="A126" s="9">
        <v>2035</v>
      </c>
      <c r="B126" s="9">
        <v>12</v>
      </c>
      <c r="C126" s="14">
        <f t="shared" si="28"/>
        <v>-38532480</v>
      </c>
      <c r="D126" s="14">
        <f t="shared" si="16"/>
        <v>19266038.958269402</v>
      </c>
      <c r="E126" s="117">
        <f t="shared" si="27"/>
        <v>4.4609999999999997E-2</v>
      </c>
      <c r="F126" s="14">
        <f t="shared" si="26"/>
        <v>-30722224.767078511</v>
      </c>
      <c r="G126" s="14">
        <f t="shared" si="17"/>
        <v>27076294.191190891</v>
      </c>
      <c r="H126" s="118">
        <f t="shared" si="18"/>
        <v>0.5315399999999999</v>
      </c>
      <c r="I126" s="14">
        <f t="shared" si="19"/>
        <v>7810255.2329214886</v>
      </c>
      <c r="J126" s="14">
        <f t="shared" si="20"/>
        <v>1640154</v>
      </c>
      <c r="L126" s="257">
        <v>2035</v>
      </c>
      <c r="M126" s="257">
        <v>12</v>
      </c>
      <c r="N126" s="14">
        <f t="shared" si="22"/>
        <v>-13372800</v>
      </c>
      <c r="O126" s="200">
        <f t="shared" si="24"/>
        <v>6686365.3562569991</v>
      </c>
      <c r="P126" s="14">
        <f t="shared" si="25"/>
        <v>-1404137</v>
      </c>
    </row>
    <row r="127" spans="1:16" x14ac:dyDescent="0.2">
      <c r="A127" s="9">
        <v>2036</v>
      </c>
      <c r="B127" s="9">
        <v>1</v>
      </c>
      <c r="C127" s="14">
        <f t="shared" si="28"/>
        <v>-38853584</v>
      </c>
      <c r="D127" s="14">
        <f t="shared" si="16"/>
        <v>18944934.958269402</v>
      </c>
      <c r="E127" s="117">
        <f t="shared" si="27"/>
        <v>4.462E-2</v>
      </c>
      <c r="F127" s="14">
        <f t="shared" si="26"/>
        <v>-30937138.926738344</v>
      </c>
      <c r="G127" s="14">
        <f t="shared" si="17"/>
        <v>26861380.031531058</v>
      </c>
      <c r="H127" s="118">
        <f t="shared" si="18"/>
        <v>0.53525833333333328</v>
      </c>
      <c r="I127" s="14">
        <f t="shared" si="19"/>
        <v>7916445.0732616559</v>
      </c>
      <c r="J127" s="14">
        <f t="shared" si="20"/>
        <v>1662453</v>
      </c>
      <c r="L127" s="257">
        <v>2036</v>
      </c>
      <c r="M127" s="257">
        <v>1</v>
      </c>
      <c r="N127" s="14">
        <f t="shared" si="22"/>
        <v>-13484240</v>
      </c>
      <c r="O127" s="200">
        <f t="shared" si="24"/>
        <v>6574925.3562569991</v>
      </c>
      <c r="P127" s="14">
        <f t="shared" si="25"/>
        <v>-1380734</v>
      </c>
    </row>
    <row r="128" spans="1:16" x14ac:dyDescent="0.2">
      <c r="A128" s="9">
        <v>2036</v>
      </c>
      <c r="B128" s="9">
        <v>2</v>
      </c>
      <c r="C128" s="14">
        <f t="shared" si="28"/>
        <v>-39174688</v>
      </c>
      <c r="D128" s="14">
        <f t="shared" si="16"/>
        <v>18623830.958269402</v>
      </c>
      <c r="E128" s="117">
        <f t="shared" si="27"/>
        <v>4.462E-2</v>
      </c>
      <c r="F128" s="14">
        <f t="shared" si="26"/>
        <v>-31152053.086398177</v>
      </c>
      <c r="G128" s="14">
        <f t="shared" si="17"/>
        <v>26646465.871871226</v>
      </c>
      <c r="H128" s="118">
        <f t="shared" si="18"/>
        <v>0.53897666666666655</v>
      </c>
      <c r="I128" s="14">
        <f t="shared" si="19"/>
        <v>8022634.9136018232</v>
      </c>
      <c r="J128" s="14">
        <f t="shared" si="20"/>
        <v>1684753</v>
      </c>
      <c r="L128" s="257">
        <v>2036</v>
      </c>
      <c r="M128" s="257">
        <v>2</v>
      </c>
      <c r="N128" s="14">
        <f t="shared" si="22"/>
        <v>-13595680</v>
      </c>
      <c r="O128" s="200">
        <f t="shared" si="24"/>
        <v>6463485.3562569991</v>
      </c>
      <c r="P128" s="14">
        <f t="shared" si="25"/>
        <v>-1357332</v>
      </c>
    </row>
    <row r="129" spans="1:16" x14ac:dyDescent="0.2">
      <c r="A129" s="9">
        <v>2036</v>
      </c>
      <c r="B129" s="9">
        <v>3</v>
      </c>
      <c r="C129" s="14">
        <f t="shared" si="28"/>
        <v>-39495792</v>
      </c>
      <c r="D129" s="14">
        <f t="shared" si="16"/>
        <v>18302726.958269402</v>
      </c>
      <c r="E129" s="117">
        <f t="shared" si="27"/>
        <v>4.462E-2</v>
      </c>
      <c r="F129" s="14">
        <f t="shared" si="26"/>
        <v>-31366967.24605801</v>
      </c>
      <c r="G129" s="14">
        <f t="shared" si="17"/>
        <v>26431551.712211393</v>
      </c>
      <c r="H129" s="118">
        <f t="shared" si="18"/>
        <v>0.54269499999999993</v>
      </c>
      <c r="I129" s="14">
        <f t="shared" si="19"/>
        <v>8128824.7539419904</v>
      </c>
      <c r="J129" s="14">
        <f t="shared" si="20"/>
        <v>1707053</v>
      </c>
      <c r="L129" s="257">
        <v>2036</v>
      </c>
      <c r="M129" s="257">
        <v>3</v>
      </c>
      <c r="N129" s="14">
        <f t="shared" si="22"/>
        <v>-13707120</v>
      </c>
      <c r="O129" s="200">
        <f t="shared" si="24"/>
        <v>6352045.3562569991</v>
      </c>
      <c r="P129" s="14">
        <f t="shared" si="25"/>
        <v>-1333930</v>
      </c>
    </row>
    <row r="130" spans="1:16" x14ac:dyDescent="0.2">
      <c r="A130" s="9">
        <v>2036</v>
      </c>
      <c r="B130" s="9">
        <v>4</v>
      </c>
      <c r="C130" s="14">
        <f t="shared" si="28"/>
        <v>-39816896</v>
      </c>
      <c r="D130" s="14">
        <f t="shared" si="16"/>
        <v>17981622.958269402</v>
      </c>
      <c r="E130" s="117">
        <f t="shared" si="27"/>
        <v>4.462E-2</v>
      </c>
      <c r="F130" s="14">
        <f t="shared" si="26"/>
        <v>-31581881.405717842</v>
      </c>
      <c r="G130" s="14">
        <f t="shared" si="17"/>
        <v>26216637.55255156</v>
      </c>
      <c r="H130" s="118">
        <f t="shared" si="18"/>
        <v>0.54641333333333331</v>
      </c>
      <c r="I130" s="14">
        <f t="shared" si="19"/>
        <v>8235014.5942821577</v>
      </c>
      <c r="J130" s="14">
        <f t="shared" si="20"/>
        <v>1729353</v>
      </c>
      <c r="L130" s="257">
        <v>2036</v>
      </c>
      <c r="M130" s="257">
        <v>4</v>
      </c>
      <c r="N130" s="14">
        <f t="shared" si="22"/>
        <v>-13818560</v>
      </c>
      <c r="O130" s="200">
        <f t="shared" si="24"/>
        <v>6240605.3562569991</v>
      </c>
      <c r="P130" s="14">
        <f t="shared" si="25"/>
        <v>-1310527</v>
      </c>
    </row>
    <row r="131" spans="1:16" x14ac:dyDescent="0.2">
      <c r="A131" s="9">
        <v>2036</v>
      </c>
      <c r="B131" s="9">
        <v>5</v>
      </c>
      <c r="C131" s="14">
        <f t="shared" si="28"/>
        <v>-40138000</v>
      </c>
      <c r="D131" s="14">
        <f t="shared" si="16"/>
        <v>17660518.958269402</v>
      </c>
      <c r="E131" s="117">
        <f t="shared" si="27"/>
        <v>4.462E-2</v>
      </c>
      <c r="F131" s="14">
        <f t="shared" si="26"/>
        <v>-31796795.565377675</v>
      </c>
      <c r="G131" s="14">
        <f t="shared" si="17"/>
        <v>26001723.392891727</v>
      </c>
      <c r="H131" s="118">
        <f t="shared" si="18"/>
        <v>0.55013166666666669</v>
      </c>
      <c r="I131" s="14">
        <f t="shared" si="19"/>
        <v>8341204.434622325</v>
      </c>
      <c r="J131" s="14">
        <f t="shared" si="20"/>
        <v>1751653</v>
      </c>
      <c r="L131" s="257">
        <v>2036</v>
      </c>
      <c r="M131" s="257">
        <v>5</v>
      </c>
      <c r="N131" s="14">
        <f t="shared" si="22"/>
        <v>-13930000</v>
      </c>
      <c r="O131" s="200">
        <f t="shared" si="24"/>
        <v>6129165.3562569991</v>
      </c>
      <c r="P131" s="14">
        <f t="shared" si="25"/>
        <v>-1287125</v>
      </c>
    </row>
    <row r="132" spans="1:16" x14ac:dyDescent="0.2">
      <c r="A132" s="9">
        <v>2036</v>
      </c>
      <c r="B132" s="9">
        <v>6</v>
      </c>
      <c r="C132" s="14">
        <f t="shared" si="28"/>
        <v>-40459104</v>
      </c>
      <c r="D132" s="14">
        <f t="shared" si="16"/>
        <v>17339414.958269402</v>
      </c>
      <c r="E132" s="117">
        <f t="shared" si="27"/>
        <v>4.462E-2</v>
      </c>
      <c r="F132" s="14">
        <f t="shared" si="26"/>
        <v>-32011709.725037508</v>
      </c>
      <c r="G132" s="14">
        <f t="shared" si="17"/>
        <v>25786809.233231895</v>
      </c>
      <c r="H132" s="118">
        <f t="shared" si="18"/>
        <v>0.55384999999999995</v>
      </c>
      <c r="I132" s="14">
        <f t="shared" si="19"/>
        <v>8447394.2749624923</v>
      </c>
      <c r="J132" s="14">
        <f t="shared" si="20"/>
        <v>1773953</v>
      </c>
      <c r="L132" s="257">
        <v>2036</v>
      </c>
      <c r="M132" s="257">
        <v>6</v>
      </c>
      <c r="N132" s="14">
        <f t="shared" si="22"/>
        <v>-14041440</v>
      </c>
      <c r="O132" s="200">
        <f t="shared" si="24"/>
        <v>6017725.3562569991</v>
      </c>
      <c r="P132" s="14">
        <f t="shared" si="25"/>
        <v>-1263722</v>
      </c>
    </row>
    <row r="133" spans="1:16" x14ac:dyDescent="0.2">
      <c r="A133" s="9">
        <v>2036</v>
      </c>
      <c r="B133" s="9">
        <v>7</v>
      </c>
      <c r="C133" s="14">
        <f t="shared" si="28"/>
        <v>-40780208</v>
      </c>
      <c r="D133" s="14">
        <f t="shared" si="16"/>
        <v>17018310.958269402</v>
      </c>
      <c r="E133" s="117">
        <f t="shared" si="27"/>
        <v>4.462E-2</v>
      </c>
      <c r="F133" s="14">
        <f t="shared" si="26"/>
        <v>-32226623.88469734</v>
      </c>
      <c r="G133" s="14">
        <f t="shared" si="17"/>
        <v>25571895.073572062</v>
      </c>
      <c r="H133" s="118">
        <f t="shared" si="18"/>
        <v>0.55756833333333333</v>
      </c>
      <c r="I133" s="14">
        <f t="shared" si="19"/>
        <v>8553584.1153026596</v>
      </c>
      <c r="J133" s="14">
        <f t="shared" si="20"/>
        <v>1796253</v>
      </c>
      <c r="L133" s="257">
        <v>2036</v>
      </c>
      <c r="M133" s="257">
        <v>7</v>
      </c>
      <c r="N133" s="14">
        <f t="shared" si="22"/>
        <v>-14152880</v>
      </c>
      <c r="O133" s="200">
        <f t="shared" si="24"/>
        <v>5906285.3562569991</v>
      </c>
      <c r="P133" s="14">
        <f t="shared" si="25"/>
        <v>-1240320</v>
      </c>
    </row>
    <row r="134" spans="1:16" x14ac:dyDescent="0.2">
      <c r="A134" s="9">
        <v>2036</v>
      </c>
      <c r="B134" s="9">
        <v>8</v>
      </c>
      <c r="C134" s="14">
        <f t="shared" si="28"/>
        <v>-41101312</v>
      </c>
      <c r="D134" s="14">
        <f t="shared" si="16"/>
        <v>16697206.958269402</v>
      </c>
      <c r="E134" s="117">
        <f t="shared" si="27"/>
        <v>4.462E-2</v>
      </c>
      <c r="F134" s="14">
        <f t="shared" si="26"/>
        <v>-32441538.044357173</v>
      </c>
      <c r="G134" s="14">
        <f t="shared" si="17"/>
        <v>25356980.913912229</v>
      </c>
      <c r="H134" s="118">
        <f t="shared" si="18"/>
        <v>0.56128666666666671</v>
      </c>
      <c r="I134" s="14">
        <f t="shared" si="19"/>
        <v>8659773.9556428269</v>
      </c>
      <c r="J134" s="14">
        <f t="shared" si="20"/>
        <v>1818553</v>
      </c>
      <c r="L134" s="257">
        <v>2036</v>
      </c>
      <c r="M134" s="257">
        <v>8</v>
      </c>
      <c r="N134" s="14">
        <f t="shared" si="22"/>
        <v>-14264320</v>
      </c>
      <c r="O134" s="200">
        <f t="shared" si="24"/>
        <v>5794845.3562569991</v>
      </c>
      <c r="P134" s="14">
        <f t="shared" si="25"/>
        <v>-1216918</v>
      </c>
    </row>
    <row r="135" spans="1:16" x14ac:dyDescent="0.2">
      <c r="A135" s="9">
        <v>2036</v>
      </c>
      <c r="B135" s="9">
        <v>9</v>
      </c>
      <c r="C135" s="14">
        <f t="shared" si="28"/>
        <v>-41422416</v>
      </c>
      <c r="D135" s="14">
        <f t="shared" si="16"/>
        <v>16376102.958269402</v>
      </c>
      <c r="E135" s="117">
        <f t="shared" ref="E135:E166" si="29">VLOOKUP(A135-($C$2-1),$D$198:$G$219,4)</f>
        <v>4.462E-2</v>
      </c>
      <c r="F135" s="14">
        <f t="shared" si="26"/>
        <v>-32656452.204017006</v>
      </c>
      <c r="G135" s="14">
        <f t="shared" si="17"/>
        <v>25142066.754252397</v>
      </c>
      <c r="H135" s="118">
        <f t="shared" si="18"/>
        <v>0.56500500000000009</v>
      </c>
      <c r="I135" s="14">
        <f t="shared" si="19"/>
        <v>8765963.7959829941</v>
      </c>
      <c r="J135" s="14">
        <f t="shared" si="20"/>
        <v>1840852</v>
      </c>
      <c r="L135" s="257">
        <v>2036</v>
      </c>
      <c r="M135" s="257">
        <v>9</v>
      </c>
      <c r="N135" s="14">
        <f t="shared" si="22"/>
        <v>-14375760</v>
      </c>
      <c r="O135" s="200">
        <f t="shared" si="24"/>
        <v>5683405.3562569991</v>
      </c>
      <c r="P135" s="14">
        <f t="shared" si="25"/>
        <v>-1193515</v>
      </c>
    </row>
    <row r="136" spans="1:16" x14ac:dyDescent="0.2">
      <c r="A136" s="9">
        <v>2036</v>
      </c>
      <c r="B136" s="9">
        <v>10</v>
      </c>
      <c r="C136" s="14">
        <f t="shared" ref="C136:C167" si="30">-(ROUND($C$1*$C$4/12,0)-C135)</f>
        <v>-41743520</v>
      </c>
      <c r="D136" s="14">
        <f t="shared" ref="D136:D186" si="31">$C$1+C136</f>
        <v>16054998.958269402</v>
      </c>
      <c r="E136" s="117">
        <f t="shared" si="29"/>
        <v>4.462E-2</v>
      </c>
      <c r="F136" s="14">
        <f t="shared" si="26"/>
        <v>-32871366.363676839</v>
      </c>
      <c r="G136" s="14">
        <f t="shared" ref="G136:G186" si="32">$C$1+F136</f>
        <v>24927152.594592564</v>
      </c>
      <c r="H136" s="118">
        <f t="shared" ref="H136:H186" si="33">-(G136-$C$1)/$C$1</f>
        <v>0.56872333333333336</v>
      </c>
      <c r="I136" s="14">
        <f t="shared" ref="I136:I186" si="34">G136-D136</f>
        <v>8872153.6363231614</v>
      </c>
      <c r="J136" s="14">
        <f t="shared" ref="J136:J186" si="35">ROUND(I136*$C$3,0)</f>
        <v>1863152</v>
      </c>
      <c r="L136" s="257">
        <v>2036</v>
      </c>
      <c r="M136" s="257">
        <v>10</v>
      </c>
      <c r="N136" s="14">
        <f t="shared" si="22"/>
        <v>-14487200</v>
      </c>
      <c r="O136" s="200">
        <f t="shared" si="24"/>
        <v>5571965.3562569991</v>
      </c>
      <c r="P136" s="14">
        <f t="shared" si="25"/>
        <v>-1170113</v>
      </c>
    </row>
    <row r="137" spans="1:16" x14ac:dyDescent="0.2">
      <c r="A137" s="9">
        <v>2036</v>
      </c>
      <c r="B137" s="9">
        <v>11</v>
      </c>
      <c r="C137" s="14">
        <f t="shared" si="30"/>
        <v>-42064624</v>
      </c>
      <c r="D137" s="14">
        <f t="shared" si="31"/>
        <v>15733894.958269402</v>
      </c>
      <c r="E137" s="117">
        <f t="shared" si="29"/>
        <v>4.462E-2</v>
      </c>
      <c r="F137" s="14">
        <f t="shared" si="26"/>
        <v>-33086280.523336671</v>
      </c>
      <c r="G137" s="14">
        <f t="shared" si="32"/>
        <v>24712238.434932731</v>
      </c>
      <c r="H137" s="118">
        <f t="shared" si="33"/>
        <v>0.57244166666666674</v>
      </c>
      <c r="I137" s="14">
        <f t="shared" si="34"/>
        <v>8978343.4766633287</v>
      </c>
      <c r="J137" s="14">
        <f t="shared" si="35"/>
        <v>1885452</v>
      </c>
      <c r="L137" s="257">
        <v>2036</v>
      </c>
      <c r="M137" s="257">
        <v>11</v>
      </c>
      <c r="N137" s="14">
        <f t="shared" ref="N137:N186" si="36">-(ROUND($N$1/$N$4,0)-N136)</f>
        <v>-14598640</v>
      </c>
      <c r="O137" s="200">
        <f t="shared" si="24"/>
        <v>5460525.3562569991</v>
      </c>
      <c r="P137" s="14">
        <f t="shared" si="25"/>
        <v>-1146710</v>
      </c>
    </row>
    <row r="138" spans="1:16" x14ac:dyDescent="0.2">
      <c r="A138" s="9">
        <v>2036</v>
      </c>
      <c r="B138" s="9">
        <v>12</v>
      </c>
      <c r="C138" s="14">
        <f t="shared" si="30"/>
        <v>-42385728</v>
      </c>
      <c r="D138" s="14">
        <f t="shared" si="31"/>
        <v>15412790.958269402</v>
      </c>
      <c r="E138" s="117">
        <f t="shared" si="29"/>
        <v>4.462E-2</v>
      </c>
      <c r="F138" s="14">
        <f t="shared" si="26"/>
        <v>-33301194.682996504</v>
      </c>
      <c r="G138" s="14">
        <f t="shared" si="32"/>
        <v>24497324.275272898</v>
      </c>
      <c r="H138" s="118">
        <f t="shared" si="33"/>
        <v>0.57616000000000012</v>
      </c>
      <c r="I138" s="14">
        <f t="shared" si="34"/>
        <v>9084533.317003496</v>
      </c>
      <c r="J138" s="14">
        <f t="shared" si="35"/>
        <v>1907752</v>
      </c>
      <c r="L138" s="257">
        <v>2036</v>
      </c>
      <c r="M138" s="257">
        <v>12</v>
      </c>
      <c r="N138" s="14">
        <f t="shared" si="36"/>
        <v>-14710080</v>
      </c>
      <c r="O138" s="200">
        <f t="shared" si="24"/>
        <v>5349085.3562569991</v>
      </c>
      <c r="P138" s="14">
        <f t="shared" si="25"/>
        <v>-1123308</v>
      </c>
    </row>
    <row r="139" spans="1:16" x14ac:dyDescent="0.2">
      <c r="A139" s="9">
        <v>2037</v>
      </c>
      <c r="B139" s="9">
        <v>1</v>
      </c>
      <c r="C139" s="14">
        <f t="shared" si="30"/>
        <v>-42706832</v>
      </c>
      <c r="D139" s="14">
        <f t="shared" si="31"/>
        <v>15091686.958269402</v>
      </c>
      <c r="E139" s="117">
        <f t="shared" si="29"/>
        <v>4.4609999999999997E-2</v>
      </c>
      <c r="F139" s="14">
        <f t="shared" si="26"/>
        <v>-33516060.677223869</v>
      </c>
      <c r="G139" s="14">
        <f t="shared" si="32"/>
        <v>24282458.281045534</v>
      </c>
      <c r="H139" s="118">
        <f t="shared" si="33"/>
        <v>0.57987750000000005</v>
      </c>
      <c r="I139" s="14">
        <f t="shared" si="34"/>
        <v>9190771.3227761313</v>
      </c>
      <c r="J139" s="14">
        <f t="shared" si="35"/>
        <v>1930062</v>
      </c>
      <c r="L139" s="257">
        <v>2037</v>
      </c>
      <c r="M139" s="257">
        <v>1</v>
      </c>
      <c r="N139" s="14">
        <f t="shared" si="36"/>
        <v>-14821520</v>
      </c>
      <c r="O139" s="200">
        <f t="shared" si="24"/>
        <v>5237645.3562569991</v>
      </c>
      <c r="P139" s="14">
        <f t="shared" si="25"/>
        <v>-1099906</v>
      </c>
    </row>
    <row r="140" spans="1:16" x14ac:dyDescent="0.2">
      <c r="A140" s="9">
        <v>2037</v>
      </c>
      <c r="B140" s="9">
        <v>2</v>
      </c>
      <c r="C140" s="14">
        <f t="shared" si="30"/>
        <v>-43027936</v>
      </c>
      <c r="D140" s="14">
        <f t="shared" si="31"/>
        <v>14770582.958269402</v>
      </c>
      <c r="E140" s="117">
        <f t="shared" si="29"/>
        <v>4.4609999999999997E-2</v>
      </c>
      <c r="F140" s="14">
        <f t="shared" si="26"/>
        <v>-33730926.671451233</v>
      </c>
      <c r="G140" s="14">
        <f t="shared" si="32"/>
        <v>24067592.286818169</v>
      </c>
      <c r="H140" s="118">
        <f t="shared" si="33"/>
        <v>0.58359499999999997</v>
      </c>
      <c r="I140" s="14">
        <f t="shared" si="34"/>
        <v>9297009.3285487667</v>
      </c>
      <c r="J140" s="14">
        <f t="shared" si="35"/>
        <v>1952372</v>
      </c>
      <c r="L140" s="257">
        <v>2037</v>
      </c>
      <c r="M140" s="257">
        <v>2</v>
      </c>
      <c r="N140" s="14">
        <f t="shared" si="36"/>
        <v>-14932960</v>
      </c>
      <c r="O140" s="200">
        <f t="shared" si="24"/>
        <v>5126205.3562569991</v>
      </c>
      <c r="P140" s="14">
        <f t="shared" si="25"/>
        <v>-1076503</v>
      </c>
    </row>
    <row r="141" spans="1:16" x14ac:dyDescent="0.2">
      <c r="A141" s="9">
        <v>2037</v>
      </c>
      <c r="B141" s="9">
        <v>3</v>
      </c>
      <c r="C141" s="14">
        <f t="shared" si="30"/>
        <v>-43349040</v>
      </c>
      <c r="D141" s="14">
        <f t="shared" si="31"/>
        <v>14449478.958269402</v>
      </c>
      <c r="E141" s="117">
        <f t="shared" si="29"/>
        <v>4.4609999999999997E-2</v>
      </c>
      <c r="F141" s="14">
        <f t="shared" si="26"/>
        <v>-33945792.665678598</v>
      </c>
      <c r="G141" s="14">
        <f t="shared" si="32"/>
        <v>23852726.292590804</v>
      </c>
      <c r="H141" s="118">
        <f t="shared" si="33"/>
        <v>0.58731250000000002</v>
      </c>
      <c r="I141" s="14">
        <f t="shared" si="34"/>
        <v>9403247.334321402</v>
      </c>
      <c r="J141" s="14">
        <f t="shared" si="35"/>
        <v>1974682</v>
      </c>
      <c r="L141" s="257">
        <v>2037</v>
      </c>
      <c r="M141" s="257">
        <v>3</v>
      </c>
      <c r="N141" s="14">
        <f t="shared" si="36"/>
        <v>-15044400</v>
      </c>
      <c r="O141" s="200">
        <f t="shared" si="24"/>
        <v>5014765.3562569991</v>
      </c>
      <c r="P141" s="14">
        <f t="shared" si="25"/>
        <v>-1053101</v>
      </c>
    </row>
    <row r="142" spans="1:16" x14ac:dyDescent="0.2">
      <c r="A142" s="9">
        <v>2037</v>
      </c>
      <c r="B142" s="9">
        <v>4</v>
      </c>
      <c r="C142" s="14">
        <f t="shared" si="30"/>
        <v>-43670144</v>
      </c>
      <c r="D142" s="14">
        <f t="shared" si="31"/>
        <v>14128374.958269402</v>
      </c>
      <c r="E142" s="117">
        <f t="shared" si="29"/>
        <v>4.4609999999999997E-2</v>
      </c>
      <c r="F142" s="14">
        <f t="shared" si="26"/>
        <v>-34160658.659905963</v>
      </c>
      <c r="G142" s="14">
        <f t="shared" si="32"/>
        <v>23637860.29836344</v>
      </c>
      <c r="H142" s="118">
        <f t="shared" si="33"/>
        <v>0.59102999999999994</v>
      </c>
      <c r="I142" s="14">
        <f t="shared" si="34"/>
        <v>9509485.3400940374</v>
      </c>
      <c r="J142" s="14">
        <f t="shared" si="35"/>
        <v>1996992</v>
      </c>
      <c r="L142" s="257">
        <v>2037</v>
      </c>
      <c r="M142" s="257">
        <v>4</v>
      </c>
      <c r="N142" s="14">
        <f t="shared" si="36"/>
        <v>-15155840</v>
      </c>
      <c r="O142" s="200">
        <f t="shared" si="24"/>
        <v>4903325.3562569991</v>
      </c>
      <c r="P142" s="14">
        <f t="shared" si="25"/>
        <v>-1029698</v>
      </c>
    </row>
    <row r="143" spans="1:16" x14ac:dyDescent="0.2">
      <c r="A143" s="9">
        <v>2037</v>
      </c>
      <c r="B143" s="9">
        <v>5</v>
      </c>
      <c r="C143" s="14">
        <f t="shared" si="30"/>
        <v>-43991248</v>
      </c>
      <c r="D143" s="14">
        <f t="shared" si="31"/>
        <v>13807270.958269402</v>
      </c>
      <c r="E143" s="117">
        <f t="shared" si="29"/>
        <v>4.4609999999999997E-2</v>
      </c>
      <c r="F143" s="14">
        <f t="shared" si="26"/>
        <v>-34375524.654133327</v>
      </c>
      <c r="G143" s="14">
        <f t="shared" si="32"/>
        <v>23422994.304136075</v>
      </c>
      <c r="H143" s="118">
        <f t="shared" si="33"/>
        <v>0.59474749999999998</v>
      </c>
      <c r="I143" s="14">
        <f t="shared" si="34"/>
        <v>9615723.3458666727</v>
      </c>
      <c r="J143" s="14">
        <f t="shared" si="35"/>
        <v>2019302</v>
      </c>
      <c r="L143" s="257">
        <v>2037</v>
      </c>
      <c r="M143" s="257">
        <v>5</v>
      </c>
      <c r="N143" s="14">
        <f t="shared" si="36"/>
        <v>-15267280</v>
      </c>
      <c r="O143" s="200">
        <f t="shared" ref="O143:O186" si="37">$N$1+N143</f>
        <v>4791885.3562569991</v>
      </c>
      <c r="P143" s="14">
        <f t="shared" ref="P143:P186" si="38">-ROUND(O143*$N$3,0)</f>
        <v>-1006296</v>
      </c>
    </row>
    <row r="144" spans="1:16" x14ac:dyDescent="0.2">
      <c r="A144" s="9">
        <v>2037</v>
      </c>
      <c r="B144" s="9">
        <v>6</v>
      </c>
      <c r="C144" s="14">
        <f t="shared" si="30"/>
        <v>-44312352</v>
      </c>
      <c r="D144" s="14">
        <f t="shared" si="31"/>
        <v>13486166.958269402</v>
      </c>
      <c r="E144" s="117">
        <f t="shared" si="29"/>
        <v>4.4609999999999997E-2</v>
      </c>
      <c r="F144" s="14">
        <f t="shared" si="26"/>
        <v>-34590390.648360692</v>
      </c>
      <c r="G144" s="14">
        <f t="shared" si="32"/>
        <v>23208128.30990871</v>
      </c>
      <c r="H144" s="118">
        <f t="shared" si="33"/>
        <v>0.59846499999999991</v>
      </c>
      <c r="I144" s="14">
        <f t="shared" si="34"/>
        <v>9721961.351639308</v>
      </c>
      <c r="J144" s="14">
        <f t="shared" si="35"/>
        <v>2041612</v>
      </c>
      <c r="L144" s="257">
        <v>2037</v>
      </c>
      <c r="M144" s="257">
        <v>6</v>
      </c>
      <c r="N144" s="14">
        <f t="shared" si="36"/>
        <v>-15378720</v>
      </c>
      <c r="O144" s="200">
        <f t="shared" si="37"/>
        <v>4680445.3562569991</v>
      </c>
      <c r="P144" s="14">
        <f t="shared" si="38"/>
        <v>-982894</v>
      </c>
    </row>
    <row r="145" spans="1:16" x14ac:dyDescent="0.2">
      <c r="A145" s="9">
        <v>2037</v>
      </c>
      <c r="B145" s="9">
        <v>7</v>
      </c>
      <c r="C145" s="14">
        <f t="shared" si="30"/>
        <v>-44633456</v>
      </c>
      <c r="D145" s="14">
        <f t="shared" si="31"/>
        <v>13165062.958269402</v>
      </c>
      <c r="E145" s="117">
        <f t="shared" si="29"/>
        <v>4.4609999999999997E-2</v>
      </c>
      <c r="F145" s="14">
        <f t="shared" si="26"/>
        <v>-34805256.642588057</v>
      </c>
      <c r="G145" s="14">
        <f t="shared" si="32"/>
        <v>22993262.315681346</v>
      </c>
      <c r="H145" s="118">
        <f t="shared" si="33"/>
        <v>0.60218249999999984</v>
      </c>
      <c r="I145" s="14">
        <f t="shared" si="34"/>
        <v>9828199.3574119434</v>
      </c>
      <c r="J145" s="14">
        <f t="shared" si="35"/>
        <v>2063922</v>
      </c>
      <c r="L145" s="257">
        <v>2037</v>
      </c>
      <c r="M145" s="257">
        <v>7</v>
      </c>
      <c r="N145" s="14">
        <f t="shared" si="36"/>
        <v>-15490160</v>
      </c>
      <c r="O145" s="200">
        <f t="shared" si="37"/>
        <v>4569005.3562569991</v>
      </c>
      <c r="P145" s="14">
        <f t="shared" si="38"/>
        <v>-959491</v>
      </c>
    </row>
    <row r="146" spans="1:16" x14ac:dyDescent="0.2">
      <c r="A146" s="9">
        <v>2037</v>
      </c>
      <c r="B146" s="9">
        <v>8</v>
      </c>
      <c r="C146" s="14">
        <f t="shared" si="30"/>
        <v>-44954560</v>
      </c>
      <c r="D146" s="14">
        <f t="shared" si="31"/>
        <v>12843958.958269402</v>
      </c>
      <c r="E146" s="117">
        <f t="shared" si="29"/>
        <v>4.4609999999999997E-2</v>
      </c>
      <c r="F146" s="14">
        <f t="shared" si="26"/>
        <v>-35020122.636815421</v>
      </c>
      <c r="G146" s="14">
        <f t="shared" si="32"/>
        <v>22778396.321453981</v>
      </c>
      <c r="H146" s="118">
        <f t="shared" si="33"/>
        <v>0.60589999999999988</v>
      </c>
      <c r="I146" s="14">
        <f t="shared" si="34"/>
        <v>9934437.3631845787</v>
      </c>
      <c r="J146" s="14">
        <f t="shared" si="35"/>
        <v>2086232</v>
      </c>
      <c r="L146" s="257">
        <v>2037</v>
      </c>
      <c r="M146" s="257">
        <v>8</v>
      </c>
      <c r="N146" s="14">
        <f t="shared" si="36"/>
        <v>-15601600</v>
      </c>
      <c r="O146" s="200">
        <f t="shared" si="37"/>
        <v>4457565.3562569991</v>
      </c>
      <c r="P146" s="14">
        <f t="shared" si="38"/>
        <v>-936089</v>
      </c>
    </row>
    <row r="147" spans="1:16" x14ac:dyDescent="0.2">
      <c r="A147" s="9">
        <v>2037</v>
      </c>
      <c r="B147" s="9">
        <v>9</v>
      </c>
      <c r="C147" s="14">
        <f t="shared" si="30"/>
        <v>-45275664</v>
      </c>
      <c r="D147" s="14">
        <f t="shared" si="31"/>
        <v>12522854.958269402</v>
      </c>
      <c r="E147" s="117">
        <f t="shared" si="29"/>
        <v>4.4609999999999997E-2</v>
      </c>
      <c r="F147" s="14">
        <f t="shared" si="26"/>
        <v>-35234988.631042786</v>
      </c>
      <c r="G147" s="14">
        <f t="shared" si="32"/>
        <v>22563530.327226616</v>
      </c>
      <c r="H147" s="118">
        <f t="shared" si="33"/>
        <v>0.60961749999999981</v>
      </c>
      <c r="I147" s="14">
        <f t="shared" si="34"/>
        <v>10040675.368957214</v>
      </c>
      <c r="J147" s="14">
        <f t="shared" si="35"/>
        <v>2108542</v>
      </c>
      <c r="L147" s="257">
        <v>2037</v>
      </c>
      <c r="M147" s="257">
        <v>9</v>
      </c>
      <c r="N147" s="14">
        <f t="shared" si="36"/>
        <v>-15713040</v>
      </c>
      <c r="O147" s="200">
        <f t="shared" si="37"/>
        <v>4346125.3562569991</v>
      </c>
      <c r="P147" s="14">
        <f t="shared" si="38"/>
        <v>-912686</v>
      </c>
    </row>
    <row r="148" spans="1:16" x14ac:dyDescent="0.2">
      <c r="A148" s="9">
        <v>2037</v>
      </c>
      <c r="B148" s="9">
        <v>10</v>
      </c>
      <c r="C148" s="14">
        <f t="shared" si="30"/>
        <v>-45596768</v>
      </c>
      <c r="D148" s="14">
        <f t="shared" si="31"/>
        <v>12201750.958269402</v>
      </c>
      <c r="E148" s="117">
        <f t="shared" si="29"/>
        <v>4.4609999999999997E-2</v>
      </c>
      <c r="F148" s="14">
        <f t="shared" ref="F148:F186" si="39">-$C$1*E148/12+F147</f>
        <v>-35449854.625270151</v>
      </c>
      <c r="G148" s="14">
        <f t="shared" si="32"/>
        <v>22348664.332999252</v>
      </c>
      <c r="H148" s="118">
        <f t="shared" si="33"/>
        <v>0.61333499999999974</v>
      </c>
      <c r="I148" s="14">
        <f t="shared" si="34"/>
        <v>10146913.374729849</v>
      </c>
      <c r="J148" s="14">
        <f t="shared" si="35"/>
        <v>2130852</v>
      </c>
      <c r="L148" s="257">
        <v>2037</v>
      </c>
      <c r="M148" s="257">
        <v>10</v>
      </c>
      <c r="N148" s="14">
        <f t="shared" si="36"/>
        <v>-15824480</v>
      </c>
      <c r="O148" s="200">
        <f t="shared" si="37"/>
        <v>4234685.3562569991</v>
      </c>
      <c r="P148" s="14">
        <f t="shared" si="38"/>
        <v>-889284</v>
      </c>
    </row>
    <row r="149" spans="1:16" x14ac:dyDescent="0.2">
      <c r="A149" s="9">
        <v>2037</v>
      </c>
      <c r="B149" s="9">
        <v>11</v>
      </c>
      <c r="C149" s="14">
        <f t="shared" si="30"/>
        <v>-45917872</v>
      </c>
      <c r="D149" s="14">
        <f t="shared" si="31"/>
        <v>11880646.958269402</v>
      </c>
      <c r="E149" s="117">
        <f t="shared" si="29"/>
        <v>4.4609999999999997E-2</v>
      </c>
      <c r="F149" s="14">
        <f t="shared" si="39"/>
        <v>-35664720.619497515</v>
      </c>
      <c r="G149" s="14">
        <f t="shared" si="32"/>
        <v>22133798.338771887</v>
      </c>
      <c r="H149" s="118">
        <f t="shared" si="33"/>
        <v>0.61705249999999978</v>
      </c>
      <c r="I149" s="14">
        <f t="shared" si="34"/>
        <v>10253151.380502485</v>
      </c>
      <c r="J149" s="14">
        <f t="shared" si="35"/>
        <v>2153162</v>
      </c>
      <c r="L149" s="257">
        <v>2037</v>
      </c>
      <c r="M149" s="257">
        <v>11</v>
      </c>
      <c r="N149" s="14">
        <f t="shared" si="36"/>
        <v>-15935920</v>
      </c>
      <c r="O149" s="200">
        <f t="shared" si="37"/>
        <v>4123245.3562569991</v>
      </c>
      <c r="P149" s="14">
        <f t="shared" si="38"/>
        <v>-865882</v>
      </c>
    </row>
    <row r="150" spans="1:16" x14ac:dyDescent="0.2">
      <c r="A150" s="9">
        <v>2037</v>
      </c>
      <c r="B150" s="9">
        <v>12</v>
      </c>
      <c r="C150" s="14">
        <f t="shared" si="30"/>
        <v>-46238976</v>
      </c>
      <c r="D150" s="14">
        <f t="shared" si="31"/>
        <v>11559542.958269402</v>
      </c>
      <c r="E150" s="117">
        <f t="shared" si="29"/>
        <v>4.4609999999999997E-2</v>
      </c>
      <c r="F150" s="14">
        <f t="shared" si="39"/>
        <v>-35879586.61372488</v>
      </c>
      <c r="G150" s="14">
        <f t="shared" si="32"/>
        <v>21918932.344544522</v>
      </c>
      <c r="H150" s="118">
        <f t="shared" si="33"/>
        <v>0.62076999999999971</v>
      </c>
      <c r="I150" s="14">
        <f t="shared" si="34"/>
        <v>10359389.38627512</v>
      </c>
      <c r="J150" s="14">
        <f t="shared" si="35"/>
        <v>2175472</v>
      </c>
      <c r="L150" s="257">
        <v>2037</v>
      </c>
      <c r="M150" s="257">
        <v>12</v>
      </c>
      <c r="N150" s="14">
        <f t="shared" si="36"/>
        <v>-16047360</v>
      </c>
      <c r="O150" s="200">
        <f t="shared" si="37"/>
        <v>4011805.3562569991</v>
      </c>
      <c r="P150" s="14">
        <f t="shared" si="38"/>
        <v>-842479</v>
      </c>
    </row>
    <row r="151" spans="1:16" x14ac:dyDescent="0.2">
      <c r="A151" s="9">
        <v>2038</v>
      </c>
      <c r="B151" s="9">
        <v>1</v>
      </c>
      <c r="C151" s="14">
        <f t="shared" si="30"/>
        <v>-46560080</v>
      </c>
      <c r="D151" s="14">
        <f t="shared" si="31"/>
        <v>11238438.958269402</v>
      </c>
      <c r="E151" s="117">
        <f t="shared" si="29"/>
        <v>4.462E-2</v>
      </c>
      <c r="F151" s="14">
        <f t="shared" si="39"/>
        <v>-36094500.773384713</v>
      </c>
      <c r="G151" s="14">
        <f t="shared" si="32"/>
        <v>21704018.18488469</v>
      </c>
      <c r="H151" s="118">
        <f t="shared" si="33"/>
        <v>0.62448833333333309</v>
      </c>
      <c r="I151" s="14">
        <f t="shared" si="34"/>
        <v>10465579.226615287</v>
      </c>
      <c r="J151" s="14">
        <f t="shared" si="35"/>
        <v>2197772</v>
      </c>
      <c r="L151" s="257">
        <v>2038</v>
      </c>
      <c r="M151" s="257">
        <v>1</v>
      </c>
      <c r="N151" s="14">
        <f t="shared" si="36"/>
        <v>-16158800</v>
      </c>
      <c r="O151" s="200">
        <f t="shared" si="37"/>
        <v>3900365.3562569991</v>
      </c>
      <c r="P151" s="14">
        <f t="shared" si="38"/>
        <v>-819077</v>
      </c>
    </row>
    <row r="152" spans="1:16" x14ac:dyDescent="0.2">
      <c r="A152" s="9">
        <v>2038</v>
      </c>
      <c r="B152" s="9">
        <v>2</v>
      </c>
      <c r="C152" s="14">
        <f t="shared" si="30"/>
        <v>-46881184</v>
      </c>
      <c r="D152" s="14">
        <f t="shared" si="31"/>
        <v>10917334.958269402</v>
      </c>
      <c r="E152" s="117">
        <f t="shared" si="29"/>
        <v>4.462E-2</v>
      </c>
      <c r="F152" s="14">
        <f t="shared" si="39"/>
        <v>-36309414.933044545</v>
      </c>
      <c r="G152" s="14">
        <f t="shared" si="32"/>
        <v>21489104.025224857</v>
      </c>
      <c r="H152" s="118">
        <f t="shared" si="33"/>
        <v>0.62820666666666636</v>
      </c>
      <c r="I152" s="14">
        <f t="shared" si="34"/>
        <v>10571769.066955455</v>
      </c>
      <c r="J152" s="14">
        <f t="shared" si="35"/>
        <v>2220072</v>
      </c>
      <c r="L152" s="257">
        <v>2038</v>
      </c>
      <c r="M152" s="257">
        <v>2</v>
      </c>
      <c r="N152" s="14">
        <f t="shared" si="36"/>
        <v>-16270240</v>
      </c>
      <c r="O152" s="200">
        <f t="shared" si="37"/>
        <v>3788925.3562569991</v>
      </c>
      <c r="P152" s="14">
        <f t="shared" si="38"/>
        <v>-795674</v>
      </c>
    </row>
    <row r="153" spans="1:16" x14ac:dyDescent="0.2">
      <c r="A153" s="9">
        <v>2038</v>
      </c>
      <c r="B153" s="9">
        <v>3</v>
      </c>
      <c r="C153" s="14">
        <f t="shared" si="30"/>
        <v>-47202288</v>
      </c>
      <c r="D153" s="14">
        <f t="shared" si="31"/>
        <v>10596230.958269402</v>
      </c>
      <c r="E153" s="117">
        <f t="shared" si="29"/>
        <v>4.462E-2</v>
      </c>
      <c r="F153" s="14">
        <f t="shared" si="39"/>
        <v>-36524329.092704378</v>
      </c>
      <c r="G153" s="14">
        <f t="shared" si="32"/>
        <v>21274189.865565024</v>
      </c>
      <c r="H153" s="118">
        <f t="shared" si="33"/>
        <v>0.63192499999999974</v>
      </c>
      <c r="I153" s="14">
        <f t="shared" si="34"/>
        <v>10677958.907295622</v>
      </c>
      <c r="J153" s="14">
        <f t="shared" si="35"/>
        <v>2242371</v>
      </c>
      <c r="L153" s="257">
        <v>2038</v>
      </c>
      <c r="M153" s="257">
        <v>3</v>
      </c>
      <c r="N153" s="14">
        <f t="shared" si="36"/>
        <v>-16381680</v>
      </c>
      <c r="O153" s="200">
        <f t="shared" si="37"/>
        <v>3677485.3562569991</v>
      </c>
      <c r="P153" s="14">
        <f t="shared" si="38"/>
        <v>-772272</v>
      </c>
    </row>
    <row r="154" spans="1:16" x14ac:dyDescent="0.2">
      <c r="A154" s="9">
        <v>2038</v>
      </c>
      <c r="B154" s="9">
        <v>4</v>
      </c>
      <c r="C154" s="14">
        <f t="shared" si="30"/>
        <v>-47523392</v>
      </c>
      <c r="D154" s="14">
        <f t="shared" si="31"/>
        <v>10275126.958269402</v>
      </c>
      <c r="E154" s="117">
        <f t="shared" si="29"/>
        <v>4.462E-2</v>
      </c>
      <c r="F154" s="14">
        <f t="shared" si="39"/>
        <v>-36739243.252364211</v>
      </c>
      <c r="G154" s="14">
        <f t="shared" si="32"/>
        <v>21059275.705905192</v>
      </c>
      <c r="H154" s="118">
        <f t="shared" si="33"/>
        <v>0.63564333333333312</v>
      </c>
      <c r="I154" s="14">
        <f t="shared" si="34"/>
        <v>10784148.747635789</v>
      </c>
      <c r="J154" s="14">
        <f t="shared" si="35"/>
        <v>2264671</v>
      </c>
      <c r="L154" s="257">
        <v>2038</v>
      </c>
      <c r="M154" s="257">
        <v>4</v>
      </c>
      <c r="N154" s="14">
        <f t="shared" si="36"/>
        <v>-16493120</v>
      </c>
      <c r="O154" s="200">
        <f t="shared" si="37"/>
        <v>3566045.3562569991</v>
      </c>
      <c r="P154" s="14">
        <f t="shared" si="38"/>
        <v>-748870</v>
      </c>
    </row>
    <row r="155" spans="1:16" x14ac:dyDescent="0.2">
      <c r="A155" s="9">
        <v>2038</v>
      </c>
      <c r="B155" s="9">
        <v>5</v>
      </c>
      <c r="C155" s="14">
        <f t="shared" si="30"/>
        <v>-47844496</v>
      </c>
      <c r="D155" s="14">
        <f t="shared" si="31"/>
        <v>9954022.9582694024</v>
      </c>
      <c r="E155" s="117">
        <f t="shared" si="29"/>
        <v>4.462E-2</v>
      </c>
      <c r="F155" s="14">
        <f t="shared" si="39"/>
        <v>-36954157.412024044</v>
      </c>
      <c r="G155" s="14">
        <f t="shared" si="32"/>
        <v>20844361.546245359</v>
      </c>
      <c r="H155" s="118">
        <f t="shared" si="33"/>
        <v>0.63936166666666649</v>
      </c>
      <c r="I155" s="14">
        <f t="shared" si="34"/>
        <v>10890338.587975956</v>
      </c>
      <c r="J155" s="14">
        <f t="shared" si="35"/>
        <v>2286971</v>
      </c>
      <c r="L155" s="257">
        <v>2038</v>
      </c>
      <c r="M155" s="257">
        <v>5</v>
      </c>
      <c r="N155" s="14">
        <f t="shared" si="36"/>
        <v>-16604560</v>
      </c>
      <c r="O155" s="200">
        <f t="shared" si="37"/>
        <v>3454605.3562569991</v>
      </c>
      <c r="P155" s="14">
        <f t="shared" si="38"/>
        <v>-725467</v>
      </c>
    </row>
    <row r="156" spans="1:16" x14ac:dyDescent="0.2">
      <c r="A156" s="9">
        <v>2038</v>
      </c>
      <c r="B156" s="9">
        <v>6</v>
      </c>
      <c r="C156" s="14">
        <f t="shared" si="30"/>
        <v>-48165600</v>
      </c>
      <c r="D156" s="14">
        <f t="shared" si="31"/>
        <v>9632918.9582694024</v>
      </c>
      <c r="E156" s="117">
        <f t="shared" si="29"/>
        <v>4.462E-2</v>
      </c>
      <c r="F156" s="14">
        <f t="shared" si="39"/>
        <v>-37169071.571683876</v>
      </c>
      <c r="G156" s="14">
        <f t="shared" si="32"/>
        <v>20629447.386585526</v>
      </c>
      <c r="H156" s="118">
        <f t="shared" si="33"/>
        <v>0.64307999999999976</v>
      </c>
      <c r="I156" s="14">
        <f t="shared" si="34"/>
        <v>10996528.428316124</v>
      </c>
      <c r="J156" s="14">
        <f t="shared" si="35"/>
        <v>2309271</v>
      </c>
      <c r="L156" s="257">
        <v>2038</v>
      </c>
      <c r="M156" s="257">
        <v>6</v>
      </c>
      <c r="N156" s="14">
        <f t="shared" si="36"/>
        <v>-16716000</v>
      </c>
      <c r="O156" s="200">
        <f t="shared" si="37"/>
        <v>3343165.3562569991</v>
      </c>
      <c r="P156" s="14">
        <f t="shared" si="38"/>
        <v>-702065</v>
      </c>
    </row>
    <row r="157" spans="1:16" x14ac:dyDescent="0.2">
      <c r="A157" s="9">
        <v>2038</v>
      </c>
      <c r="B157" s="9">
        <v>7</v>
      </c>
      <c r="C157" s="14">
        <f t="shared" si="30"/>
        <v>-48486704</v>
      </c>
      <c r="D157" s="14">
        <f t="shared" si="31"/>
        <v>9311814.9582694024</v>
      </c>
      <c r="E157" s="117">
        <f t="shared" si="29"/>
        <v>4.462E-2</v>
      </c>
      <c r="F157" s="14">
        <f t="shared" si="39"/>
        <v>-37383985.731343709</v>
      </c>
      <c r="G157" s="14">
        <f t="shared" si="32"/>
        <v>20414533.226925693</v>
      </c>
      <c r="H157" s="118">
        <f t="shared" si="33"/>
        <v>0.64679833333333314</v>
      </c>
      <c r="I157" s="14">
        <f t="shared" si="34"/>
        <v>11102718.268656291</v>
      </c>
      <c r="J157" s="14">
        <f t="shared" si="35"/>
        <v>2331571</v>
      </c>
      <c r="L157" s="257">
        <v>2038</v>
      </c>
      <c r="M157" s="257">
        <v>7</v>
      </c>
      <c r="N157" s="14">
        <f t="shared" si="36"/>
        <v>-16827440</v>
      </c>
      <c r="O157" s="200">
        <f t="shared" si="37"/>
        <v>3231725.3562569991</v>
      </c>
      <c r="P157" s="14">
        <f t="shared" si="38"/>
        <v>-678662</v>
      </c>
    </row>
    <row r="158" spans="1:16" x14ac:dyDescent="0.2">
      <c r="A158" s="9">
        <v>2038</v>
      </c>
      <c r="B158" s="9">
        <v>8</v>
      </c>
      <c r="C158" s="14">
        <f t="shared" si="30"/>
        <v>-48807808</v>
      </c>
      <c r="D158" s="14">
        <f t="shared" si="31"/>
        <v>8990710.9582694024</v>
      </c>
      <c r="E158" s="117">
        <f t="shared" si="29"/>
        <v>4.462E-2</v>
      </c>
      <c r="F158" s="14">
        <f t="shared" si="39"/>
        <v>-37598899.891003542</v>
      </c>
      <c r="G158" s="14">
        <f t="shared" si="32"/>
        <v>20199619.067265861</v>
      </c>
      <c r="H158" s="118">
        <f t="shared" si="33"/>
        <v>0.65051666666666652</v>
      </c>
      <c r="I158" s="14">
        <f t="shared" si="34"/>
        <v>11208908.108996458</v>
      </c>
      <c r="J158" s="14">
        <f t="shared" si="35"/>
        <v>2353871</v>
      </c>
      <c r="L158" s="257">
        <v>2038</v>
      </c>
      <c r="M158" s="257">
        <v>8</v>
      </c>
      <c r="N158" s="14">
        <f t="shared" si="36"/>
        <v>-16938880</v>
      </c>
      <c r="O158" s="200">
        <f t="shared" si="37"/>
        <v>3120285.3562569991</v>
      </c>
      <c r="P158" s="14">
        <f t="shared" si="38"/>
        <v>-655260</v>
      </c>
    </row>
    <row r="159" spans="1:16" x14ac:dyDescent="0.2">
      <c r="A159" s="9">
        <v>2038</v>
      </c>
      <c r="B159" s="9">
        <v>9</v>
      </c>
      <c r="C159" s="14">
        <f t="shared" si="30"/>
        <v>-49128912</v>
      </c>
      <c r="D159" s="14">
        <f t="shared" si="31"/>
        <v>8669606.9582694024</v>
      </c>
      <c r="E159" s="117">
        <f t="shared" si="29"/>
        <v>4.462E-2</v>
      </c>
      <c r="F159" s="14">
        <f t="shared" si="39"/>
        <v>-37813814.050663374</v>
      </c>
      <c r="G159" s="14">
        <f t="shared" si="32"/>
        <v>19984704.907606028</v>
      </c>
      <c r="H159" s="118">
        <f t="shared" si="33"/>
        <v>0.6542349999999999</v>
      </c>
      <c r="I159" s="14">
        <f t="shared" si="34"/>
        <v>11315097.949336626</v>
      </c>
      <c r="J159" s="14">
        <f t="shared" si="35"/>
        <v>2376171</v>
      </c>
      <c r="L159" s="257">
        <v>2038</v>
      </c>
      <c r="M159" s="257">
        <v>9</v>
      </c>
      <c r="N159" s="14">
        <f t="shared" si="36"/>
        <v>-17050320</v>
      </c>
      <c r="O159" s="200">
        <f t="shared" si="37"/>
        <v>3008845.3562569991</v>
      </c>
      <c r="P159" s="14">
        <f t="shared" si="38"/>
        <v>-631858</v>
      </c>
    </row>
    <row r="160" spans="1:16" x14ac:dyDescent="0.2">
      <c r="A160" s="9">
        <v>2038</v>
      </c>
      <c r="B160" s="9">
        <v>10</v>
      </c>
      <c r="C160" s="14">
        <f t="shared" si="30"/>
        <v>-49450016</v>
      </c>
      <c r="D160" s="14">
        <f t="shared" si="31"/>
        <v>8348502.9582694024</v>
      </c>
      <c r="E160" s="117">
        <f t="shared" si="29"/>
        <v>4.462E-2</v>
      </c>
      <c r="F160" s="14">
        <f t="shared" si="39"/>
        <v>-38028728.210323207</v>
      </c>
      <c r="G160" s="14">
        <f t="shared" si="32"/>
        <v>19769790.747946195</v>
      </c>
      <c r="H160" s="118">
        <f t="shared" si="33"/>
        <v>0.65795333333333317</v>
      </c>
      <c r="I160" s="14">
        <f t="shared" si="34"/>
        <v>11421287.789676793</v>
      </c>
      <c r="J160" s="14">
        <f t="shared" si="35"/>
        <v>2398470</v>
      </c>
      <c r="L160" s="257">
        <v>2038</v>
      </c>
      <c r="M160" s="257">
        <v>10</v>
      </c>
      <c r="N160" s="14">
        <f t="shared" si="36"/>
        <v>-17161760</v>
      </c>
      <c r="O160" s="200">
        <f t="shared" si="37"/>
        <v>2897405.3562569991</v>
      </c>
      <c r="P160" s="14">
        <f t="shared" si="38"/>
        <v>-608455</v>
      </c>
    </row>
    <row r="161" spans="1:16" x14ac:dyDescent="0.2">
      <c r="A161" s="9">
        <v>2038</v>
      </c>
      <c r="B161" s="9">
        <v>11</v>
      </c>
      <c r="C161" s="14">
        <f t="shared" si="30"/>
        <v>-49771120</v>
      </c>
      <c r="D161" s="14">
        <f t="shared" si="31"/>
        <v>8027398.9582694024</v>
      </c>
      <c r="E161" s="117">
        <f t="shared" si="29"/>
        <v>4.462E-2</v>
      </c>
      <c r="F161" s="14">
        <f t="shared" si="39"/>
        <v>-38243642.36998304</v>
      </c>
      <c r="G161" s="14">
        <f t="shared" si="32"/>
        <v>19554876.588286363</v>
      </c>
      <c r="H161" s="118">
        <f t="shared" si="33"/>
        <v>0.66167166666666655</v>
      </c>
      <c r="I161" s="14">
        <f t="shared" si="34"/>
        <v>11527477.63001696</v>
      </c>
      <c r="J161" s="14">
        <f t="shared" si="35"/>
        <v>2420770</v>
      </c>
      <c r="L161" s="257">
        <v>2038</v>
      </c>
      <c r="M161" s="257">
        <v>11</v>
      </c>
      <c r="N161" s="14">
        <f t="shared" si="36"/>
        <v>-17273200</v>
      </c>
      <c r="O161" s="200">
        <f t="shared" si="37"/>
        <v>2785965.3562569991</v>
      </c>
      <c r="P161" s="14">
        <f t="shared" si="38"/>
        <v>-585053</v>
      </c>
    </row>
    <row r="162" spans="1:16" x14ac:dyDescent="0.2">
      <c r="A162" s="9">
        <v>2038</v>
      </c>
      <c r="B162" s="9">
        <v>12</v>
      </c>
      <c r="C162" s="14">
        <f t="shared" si="30"/>
        <v>-50092224</v>
      </c>
      <c r="D162" s="14">
        <f t="shared" si="31"/>
        <v>7706294.9582694024</v>
      </c>
      <c r="E162" s="117">
        <f t="shared" si="29"/>
        <v>4.462E-2</v>
      </c>
      <c r="F162" s="14">
        <f t="shared" si="39"/>
        <v>-38458556.529642873</v>
      </c>
      <c r="G162" s="14">
        <f t="shared" si="32"/>
        <v>19339962.42862653</v>
      </c>
      <c r="H162" s="118">
        <f t="shared" si="33"/>
        <v>0.66538999999999993</v>
      </c>
      <c r="I162" s="14">
        <f t="shared" si="34"/>
        <v>11633667.470357127</v>
      </c>
      <c r="J162" s="14">
        <f t="shared" si="35"/>
        <v>2443070</v>
      </c>
      <c r="L162" s="257">
        <v>2038</v>
      </c>
      <c r="M162" s="257">
        <v>12</v>
      </c>
      <c r="N162" s="14">
        <f t="shared" si="36"/>
        <v>-17384640</v>
      </c>
      <c r="O162" s="200">
        <f t="shared" si="37"/>
        <v>2674525.3562569991</v>
      </c>
      <c r="P162" s="14">
        <f t="shared" si="38"/>
        <v>-561650</v>
      </c>
    </row>
    <row r="163" spans="1:16" x14ac:dyDescent="0.2">
      <c r="A163" s="9">
        <v>2039</v>
      </c>
      <c r="B163" s="9">
        <v>1</v>
      </c>
      <c r="C163" s="14">
        <f t="shared" si="30"/>
        <v>-50413328</v>
      </c>
      <c r="D163" s="14">
        <f t="shared" si="31"/>
        <v>7385190.9582694024</v>
      </c>
      <c r="E163" s="117">
        <f t="shared" si="29"/>
        <v>4.4609999999999997E-2</v>
      </c>
      <c r="F163" s="14">
        <f t="shared" si="39"/>
        <v>-38673422.523870237</v>
      </c>
      <c r="G163" s="14">
        <f t="shared" si="32"/>
        <v>19125096.434399165</v>
      </c>
      <c r="H163" s="118">
        <f t="shared" si="33"/>
        <v>0.66910749999999986</v>
      </c>
      <c r="I163" s="14">
        <f t="shared" si="34"/>
        <v>11739905.476129763</v>
      </c>
      <c r="J163" s="14">
        <f t="shared" si="35"/>
        <v>2465380</v>
      </c>
      <c r="L163" s="257">
        <v>2039</v>
      </c>
      <c r="M163" s="257">
        <v>1</v>
      </c>
      <c r="N163" s="14">
        <f t="shared" si="36"/>
        <v>-17496080</v>
      </c>
      <c r="O163" s="200">
        <f t="shared" si="37"/>
        <v>2563085.3562569991</v>
      </c>
      <c r="P163" s="14">
        <f t="shared" si="38"/>
        <v>-538248</v>
      </c>
    </row>
    <row r="164" spans="1:16" x14ac:dyDescent="0.2">
      <c r="A164" s="9">
        <v>2039</v>
      </c>
      <c r="B164" s="9">
        <v>2</v>
      </c>
      <c r="C164" s="14">
        <f t="shared" si="30"/>
        <v>-50734432</v>
      </c>
      <c r="D164" s="14">
        <f t="shared" si="31"/>
        <v>7064086.9582694024</v>
      </c>
      <c r="E164" s="117">
        <f t="shared" si="29"/>
        <v>4.4609999999999997E-2</v>
      </c>
      <c r="F164" s="14">
        <f t="shared" si="39"/>
        <v>-38888288.518097602</v>
      </c>
      <c r="G164" s="14">
        <f t="shared" si="32"/>
        <v>18910230.440171801</v>
      </c>
      <c r="H164" s="118">
        <f t="shared" si="33"/>
        <v>0.6728249999999999</v>
      </c>
      <c r="I164" s="14">
        <f t="shared" si="34"/>
        <v>11846143.481902398</v>
      </c>
      <c r="J164" s="14">
        <f t="shared" si="35"/>
        <v>2487690</v>
      </c>
      <c r="L164" s="257">
        <v>2039</v>
      </c>
      <c r="M164" s="257">
        <v>2</v>
      </c>
      <c r="N164" s="14">
        <f t="shared" si="36"/>
        <v>-17607520</v>
      </c>
      <c r="O164" s="200">
        <f t="shared" si="37"/>
        <v>2451645.3562569991</v>
      </c>
      <c r="P164" s="14">
        <f t="shared" si="38"/>
        <v>-514846</v>
      </c>
    </row>
    <row r="165" spans="1:16" x14ac:dyDescent="0.2">
      <c r="A165" s="9">
        <v>2039</v>
      </c>
      <c r="B165" s="9">
        <v>3</v>
      </c>
      <c r="C165" s="14">
        <f t="shared" si="30"/>
        <v>-51055536</v>
      </c>
      <c r="D165" s="14">
        <f t="shared" si="31"/>
        <v>6742982.9582694024</v>
      </c>
      <c r="E165" s="117">
        <f t="shared" si="29"/>
        <v>4.4609999999999997E-2</v>
      </c>
      <c r="F165" s="14">
        <f t="shared" si="39"/>
        <v>-39103154.512324966</v>
      </c>
      <c r="G165" s="14">
        <f t="shared" si="32"/>
        <v>18695364.445944436</v>
      </c>
      <c r="H165" s="118">
        <f t="shared" si="33"/>
        <v>0.67654249999999982</v>
      </c>
      <c r="I165" s="14">
        <f t="shared" si="34"/>
        <v>11952381.487675034</v>
      </c>
      <c r="J165" s="14">
        <f t="shared" si="35"/>
        <v>2510000</v>
      </c>
      <c r="L165" s="257">
        <v>2039</v>
      </c>
      <c r="M165" s="257">
        <v>3</v>
      </c>
      <c r="N165" s="14">
        <f t="shared" si="36"/>
        <v>-17718960</v>
      </c>
      <c r="O165" s="200">
        <f t="shared" si="37"/>
        <v>2340205.3562569991</v>
      </c>
      <c r="P165" s="14">
        <f t="shared" si="38"/>
        <v>-491443</v>
      </c>
    </row>
    <row r="166" spans="1:16" x14ac:dyDescent="0.2">
      <c r="A166" s="9">
        <v>2039</v>
      </c>
      <c r="B166" s="9">
        <v>4</v>
      </c>
      <c r="C166" s="14">
        <f t="shared" si="30"/>
        <v>-51376640</v>
      </c>
      <c r="D166" s="14">
        <f t="shared" si="31"/>
        <v>6421878.9582694024</v>
      </c>
      <c r="E166" s="117">
        <f t="shared" si="29"/>
        <v>4.4609999999999997E-2</v>
      </c>
      <c r="F166" s="14">
        <f t="shared" si="39"/>
        <v>-39318020.506552331</v>
      </c>
      <c r="G166" s="14">
        <f t="shared" si="32"/>
        <v>18480498.451717071</v>
      </c>
      <c r="H166" s="118">
        <f t="shared" si="33"/>
        <v>0.68025999999999975</v>
      </c>
      <c r="I166" s="14">
        <f t="shared" si="34"/>
        <v>12058619.493447669</v>
      </c>
      <c r="J166" s="14">
        <f t="shared" si="35"/>
        <v>2532310</v>
      </c>
      <c r="L166" s="257">
        <v>2039</v>
      </c>
      <c r="M166" s="257">
        <v>4</v>
      </c>
      <c r="N166" s="14">
        <f t="shared" si="36"/>
        <v>-17830400</v>
      </c>
      <c r="O166" s="200">
        <f t="shared" si="37"/>
        <v>2228765.3562569991</v>
      </c>
      <c r="P166" s="14">
        <f t="shared" si="38"/>
        <v>-468041</v>
      </c>
    </row>
    <row r="167" spans="1:16" x14ac:dyDescent="0.2">
      <c r="A167" s="9">
        <v>2039</v>
      </c>
      <c r="B167" s="9">
        <v>5</v>
      </c>
      <c r="C167" s="14">
        <f t="shared" si="30"/>
        <v>-51697744</v>
      </c>
      <c r="D167" s="14">
        <f t="shared" si="31"/>
        <v>6100774.9582694024</v>
      </c>
      <c r="E167" s="117">
        <f t="shared" ref="E167:E186" si="40">VLOOKUP(A167-($C$2-1),$D$198:$G$219,4)</f>
        <v>4.4609999999999997E-2</v>
      </c>
      <c r="F167" s="14">
        <f t="shared" si="39"/>
        <v>-39532886.500779696</v>
      </c>
      <c r="G167" s="14">
        <f t="shared" si="32"/>
        <v>18265632.457489707</v>
      </c>
      <c r="H167" s="118">
        <f t="shared" si="33"/>
        <v>0.68397749999999979</v>
      </c>
      <c r="I167" s="14">
        <f t="shared" si="34"/>
        <v>12164857.499220304</v>
      </c>
      <c r="J167" s="14">
        <f t="shared" si="35"/>
        <v>2554620</v>
      </c>
      <c r="L167" s="257">
        <v>2039</v>
      </c>
      <c r="M167" s="257">
        <v>5</v>
      </c>
      <c r="N167" s="14">
        <f t="shared" si="36"/>
        <v>-17941840</v>
      </c>
      <c r="O167" s="200">
        <f t="shared" si="37"/>
        <v>2117325.3562569991</v>
      </c>
      <c r="P167" s="14">
        <f t="shared" si="38"/>
        <v>-444638</v>
      </c>
    </row>
    <row r="168" spans="1:16" x14ac:dyDescent="0.2">
      <c r="A168" s="9">
        <v>2039</v>
      </c>
      <c r="B168" s="9">
        <v>6</v>
      </c>
      <c r="C168" s="14">
        <f t="shared" ref="C168:C186" si="41">-(ROUND($C$1*$C$4/12,0)-C167)</f>
        <v>-52018848</v>
      </c>
      <c r="D168" s="14">
        <f t="shared" si="31"/>
        <v>5779670.9582694024</v>
      </c>
      <c r="E168" s="117">
        <f t="shared" si="40"/>
        <v>4.4609999999999997E-2</v>
      </c>
      <c r="F168" s="14">
        <f t="shared" si="39"/>
        <v>-39747752.49500706</v>
      </c>
      <c r="G168" s="14">
        <f t="shared" si="32"/>
        <v>18050766.463262342</v>
      </c>
      <c r="H168" s="118">
        <f t="shared" si="33"/>
        <v>0.68769499999999972</v>
      </c>
      <c r="I168" s="14">
        <f t="shared" si="34"/>
        <v>12271095.50499294</v>
      </c>
      <c r="J168" s="14">
        <f t="shared" si="35"/>
        <v>2576930</v>
      </c>
      <c r="L168" s="257">
        <v>2039</v>
      </c>
      <c r="M168" s="257">
        <v>6</v>
      </c>
      <c r="N168" s="14">
        <f t="shared" si="36"/>
        <v>-18053280</v>
      </c>
      <c r="O168" s="200">
        <f t="shared" si="37"/>
        <v>2005885.3562569991</v>
      </c>
      <c r="P168" s="14">
        <f t="shared" si="38"/>
        <v>-421236</v>
      </c>
    </row>
    <row r="169" spans="1:16" x14ac:dyDescent="0.2">
      <c r="A169" s="9">
        <v>2039</v>
      </c>
      <c r="B169" s="9">
        <v>7</v>
      </c>
      <c r="C169" s="14">
        <f t="shared" si="41"/>
        <v>-52339952</v>
      </c>
      <c r="D169" s="14">
        <f t="shared" si="31"/>
        <v>5458566.9582694024</v>
      </c>
      <c r="E169" s="117">
        <f t="shared" si="40"/>
        <v>4.4609999999999997E-2</v>
      </c>
      <c r="F169" s="14">
        <f t="shared" si="39"/>
        <v>-39962618.489234425</v>
      </c>
      <c r="G169" s="14">
        <f t="shared" si="32"/>
        <v>17835900.469034977</v>
      </c>
      <c r="H169" s="118">
        <f t="shared" si="33"/>
        <v>0.69141249999999965</v>
      </c>
      <c r="I169" s="14">
        <f t="shared" si="34"/>
        <v>12377333.510765575</v>
      </c>
      <c r="J169" s="14">
        <f t="shared" si="35"/>
        <v>2599240</v>
      </c>
      <c r="L169" s="257">
        <v>2039</v>
      </c>
      <c r="M169" s="257">
        <v>7</v>
      </c>
      <c r="N169" s="14">
        <f t="shared" si="36"/>
        <v>-18164720</v>
      </c>
      <c r="O169" s="200">
        <f t="shared" si="37"/>
        <v>1894445.3562569991</v>
      </c>
      <c r="P169" s="14">
        <f t="shared" si="38"/>
        <v>-397834</v>
      </c>
    </row>
    <row r="170" spans="1:16" x14ac:dyDescent="0.2">
      <c r="A170" s="9">
        <v>2039</v>
      </c>
      <c r="B170" s="9">
        <v>8</v>
      </c>
      <c r="C170" s="14">
        <f t="shared" si="41"/>
        <v>-52661056</v>
      </c>
      <c r="D170" s="14">
        <f t="shared" si="31"/>
        <v>5137462.9582694024</v>
      </c>
      <c r="E170" s="117">
        <f t="shared" si="40"/>
        <v>4.4609999999999997E-2</v>
      </c>
      <c r="F170" s="14">
        <f t="shared" si="39"/>
        <v>-40177484.48346179</v>
      </c>
      <c r="G170" s="14">
        <f t="shared" si="32"/>
        <v>17621034.474807613</v>
      </c>
      <c r="H170" s="118">
        <f t="shared" si="33"/>
        <v>0.69512999999999969</v>
      </c>
      <c r="I170" s="14">
        <f t="shared" si="34"/>
        <v>12483571.51653821</v>
      </c>
      <c r="J170" s="14">
        <f t="shared" si="35"/>
        <v>2621550</v>
      </c>
      <c r="L170" s="257">
        <v>2039</v>
      </c>
      <c r="M170" s="257">
        <v>8</v>
      </c>
      <c r="N170" s="14">
        <f t="shared" si="36"/>
        <v>-18276160</v>
      </c>
      <c r="O170" s="200">
        <f t="shared" si="37"/>
        <v>1783005.3562569991</v>
      </c>
      <c r="P170" s="14">
        <f t="shared" si="38"/>
        <v>-374431</v>
      </c>
    </row>
    <row r="171" spans="1:16" x14ac:dyDescent="0.2">
      <c r="A171" s="9">
        <v>2039</v>
      </c>
      <c r="B171" s="9">
        <v>9</v>
      </c>
      <c r="C171" s="14">
        <f t="shared" si="41"/>
        <v>-52982160</v>
      </c>
      <c r="D171" s="14">
        <f t="shared" si="31"/>
        <v>4816358.9582694024</v>
      </c>
      <c r="E171" s="117">
        <f t="shared" si="40"/>
        <v>4.4609999999999997E-2</v>
      </c>
      <c r="F171" s="14">
        <f t="shared" si="39"/>
        <v>-40392350.477689154</v>
      </c>
      <c r="G171" s="14">
        <f t="shared" si="32"/>
        <v>17406168.480580248</v>
      </c>
      <c r="H171" s="118">
        <f t="shared" si="33"/>
        <v>0.69884749999999962</v>
      </c>
      <c r="I171" s="14">
        <f t="shared" si="34"/>
        <v>12589809.522310846</v>
      </c>
      <c r="J171" s="14">
        <f t="shared" si="35"/>
        <v>2643860</v>
      </c>
      <c r="L171" s="257">
        <v>2039</v>
      </c>
      <c r="M171" s="257">
        <v>9</v>
      </c>
      <c r="N171" s="14">
        <f t="shared" si="36"/>
        <v>-18387600</v>
      </c>
      <c r="O171" s="200">
        <f t="shared" si="37"/>
        <v>1671565.3562569991</v>
      </c>
      <c r="P171" s="14">
        <f t="shared" si="38"/>
        <v>-351029</v>
      </c>
    </row>
    <row r="172" spans="1:16" x14ac:dyDescent="0.2">
      <c r="A172" s="9">
        <v>2039</v>
      </c>
      <c r="B172" s="9">
        <v>10</v>
      </c>
      <c r="C172" s="14">
        <f t="shared" si="41"/>
        <v>-53303264</v>
      </c>
      <c r="D172" s="14">
        <f t="shared" si="31"/>
        <v>4495254.9582694024</v>
      </c>
      <c r="E172" s="117">
        <f t="shared" si="40"/>
        <v>4.4609999999999997E-2</v>
      </c>
      <c r="F172" s="14">
        <f t="shared" si="39"/>
        <v>-40607216.471916519</v>
      </c>
      <c r="G172" s="14">
        <f t="shared" si="32"/>
        <v>17191302.486352883</v>
      </c>
      <c r="H172" s="118">
        <f t="shared" si="33"/>
        <v>0.70256499999999955</v>
      </c>
      <c r="I172" s="14">
        <f t="shared" si="34"/>
        <v>12696047.528083481</v>
      </c>
      <c r="J172" s="14">
        <f t="shared" si="35"/>
        <v>2666170</v>
      </c>
      <c r="L172" s="257">
        <v>2039</v>
      </c>
      <c r="M172" s="257">
        <v>10</v>
      </c>
      <c r="N172" s="14">
        <f t="shared" si="36"/>
        <v>-18499040</v>
      </c>
      <c r="O172" s="200">
        <f t="shared" si="37"/>
        <v>1560125.3562569991</v>
      </c>
      <c r="P172" s="14">
        <f t="shared" si="38"/>
        <v>-327626</v>
      </c>
    </row>
    <row r="173" spans="1:16" x14ac:dyDescent="0.2">
      <c r="A173" s="9">
        <v>2039</v>
      </c>
      <c r="B173" s="9">
        <v>11</v>
      </c>
      <c r="C173" s="14">
        <f t="shared" si="41"/>
        <v>-53624368</v>
      </c>
      <c r="D173" s="14">
        <f t="shared" si="31"/>
        <v>4174150.9582694024</v>
      </c>
      <c r="E173" s="117">
        <f t="shared" si="40"/>
        <v>4.4609999999999997E-2</v>
      </c>
      <c r="F173" s="14">
        <f t="shared" si="39"/>
        <v>-40822082.466143884</v>
      </c>
      <c r="G173" s="14">
        <f t="shared" si="32"/>
        <v>16976436.492125519</v>
      </c>
      <c r="H173" s="118">
        <f t="shared" si="33"/>
        <v>0.70628249999999959</v>
      </c>
      <c r="I173" s="14">
        <f t="shared" si="34"/>
        <v>12802285.533856116</v>
      </c>
      <c r="J173" s="14">
        <f t="shared" si="35"/>
        <v>2688480</v>
      </c>
      <c r="L173" s="257">
        <v>2039</v>
      </c>
      <c r="M173" s="257">
        <v>11</v>
      </c>
      <c r="N173" s="14">
        <f t="shared" si="36"/>
        <v>-18610480</v>
      </c>
      <c r="O173" s="200">
        <f t="shared" si="37"/>
        <v>1448685.3562569991</v>
      </c>
      <c r="P173" s="14">
        <f t="shared" si="38"/>
        <v>-304224</v>
      </c>
    </row>
    <row r="174" spans="1:16" x14ac:dyDescent="0.2">
      <c r="A174" s="9">
        <v>2039</v>
      </c>
      <c r="B174" s="9">
        <v>12</v>
      </c>
      <c r="C174" s="14">
        <f t="shared" si="41"/>
        <v>-53945472</v>
      </c>
      <c r="D174" s="14">
        <f t="shared" si="31"/>
        <v>3853046.9582694024</v>
      </c>
      <c r="E174" s="117">
        <f t="shared" si="40"/>
        <v>4.4609999999999997E-2</v>
      </c>
      <c r="F174" s="14">
        <f t="shared" si="39"/>
        <v>-41036948.460371248</v>
      </c>
      <c r="G174" s="14">
        <f t="shared" si="32"/>
        <v>16761570.497898154</v>
      </c>
      <c r="H174" s="118">
        <f t="shared" si="33"/>
        <v>0.70999999999999952</v>
      </c>
      <c r="I174" s="14">
        <f t="shared" si="34"/>
        <v>12908523.539628752</v>
      </c>
      <c r="J174" s="14">
        <f t="shared" si="35"/>
        <v>2710790</v>
      </c>
      <c r="L174" s="257">
        <v>2039</v>
      </c>
      <c r="M174" s="257">
        <v>12</v>
      </c>
      <c r="N174" s="14">
        <f t="shared" si="36"/>
        <v>-18721920</v>
      </c>
      <c r="O174" s="200">
        <f t="shared" si="37"/>
        <v>1337245.3562569991</v>
      </c>
      <c r="P174" s="14">
        <f t="shared" si="38"/>
        <v>-280822</v>
      </c>
    </row>
    <row r="175" spans="1:16" x14ac:dyDescent="0.2">
      <c r="A175" s="9">
        <v>2040</v>
      </c>
      <c r="B175" s="9">
        <v>1</v>
      </c>
      <c r="C175" s="14">
        <f t="shared" si="41"/>
        <v>-54266576</v>
      </c>
      <c r="D175" s="14">
        <f t="shared" si="31"/>
        <v>3531942.9582694024</v>
      </c>
      <c r="E175" s="117">
        <f t="shared" si="40"/>
        <v>4.462E-2</v>
      </c>
      <c r="F175" s="14">
        <f t="shared" si="39"/>
        <v>-41251862.620031081</v>
      </c>
      <c r="G175" s="14">
        <f t="shared" si="32"/>
        <v>16546656.338238321</v>
      </c>
      <c r="H175" s="118">
        <f t="shared" si="33"/>
        <v>0.7137183333333329</v>
      </c>
      <c r="I175" s="14">
        <f t="shared" si="34"/>
        <v>13014713.379968919</v>
      </c>
      <c r="J175" s="14">
        <f t="shared" si="35"/>
        <v>2733090</v>
      </c>
      <c r="L175" s="257">
        <v>2040</v>
      </c>
      <c r="M175" s="257">
        <v>1</v>
      </c>
      <c r="N175" s="14">
        <f t="shared" si="36"/>
        <v>-18833360</v>
      </c>
      <c r="O175" s="200">
        <f t="shared" si="37"/>
        <v>1225805.3562569991</v>
      </c>
      <c r="P175" s="14">
        <f t="shared" si="38"/>
        <v>-257419</v>
      </c>
    </row>
    <row r="176" spans="1:16" x14ac:dyDescent="0.2">
      <c r="A176" s="9">
        <v>2040</v>
      </c>
      <c r="B176" s="9">
        <v>2</v>
      </c>
      <c r="C176" s="14">
        <f t="shared" si="41"/>
        <v>-54587680</v>
      </c>
      <c r="D176" s="14">
        <f t="shared" si="31"/>
        <v>3210838.9582694024</v>
      </c>
      <c r="E176" s="117">
        <f t="shared" si="40"/>
        <v>4.462E-2</v>
      </c>
      <c r="F176" s="14">
        <f t="shared" si="39"/>
        <v>-41466776.779690914</v>
      </c>
      <c r="G176" s="14">
        <f t="shared" si="32"/>
        <v>16331742.178578489</v>
      </c>
      <c r="H176" s="118">
        <f t="shared" si="33"/>
        <v>0.71743666666666628</v>
      </c>
      <c r="I176" s="14">
        <f t="shared" si="34"/>
        <v>13120903.220309086</v>
      </c>
      <c r="J176" s="14">
        <f t="shared" si="35"/>
        <v>2755390</v>
      </c>
      <c r="L176" s="257">
        <v>2040</v>
      </c>
      <c r="M176" s="257">
        <v>2</v>
      </c>
      <c r="N176" s="14">
        <f t="shared" si="36"/>
        <v>-18944800</v>
      </c>
      <c r="O176" s="200">
        <f t="shared" si="37"/>
        <v>1114365.3562569991</v>
      </c>
      <c r="P176" s="14">
        <f t="shared" si="38"/>
        <v>-234017</v>
      </c>
    </row>
    <row r="177" spans="1:16" x14ac:dyDescent="0.2">
      <c r="A177" s="9">
        <v>2040</v>
      </c>
      <c r="B177" s="9">
        <v>3</v>
      </c>
      <c r="C177" s="14">
        <f t="shared" si="41"/>
        <v>-54908784</v>
      </c>
      <c r="D177" s="14">
        <f t="shared" si="31"/>
        <v>2889734.9582694024</v>
      </c>
      <c r="E177" s="117">
        <f t="shared" si="40"/>
        <v>4.462E-2</v>
      </c>
      <c r="F177" s="14">
        <f t="shared" si="39"/>
        <v>-41681690.939350747</v>
      </c>
      <c r="G177" s="14">
        <f t="shared" si="32"/>
        <v>16116828.018918656</v>
      </c>
      <c r="H177" s="118">
        <f t="shared" si="33"/>
        <v>0.72115499999999955</v>
      </c>
      <c r="I177" s="14">
        <f t="shared" si="34"/>
        <v>13227093.060649253</v>
      </c>
      <c r="J177" s="14">
        <f t="shared" si="35"/>
        <v>2777690</v>
      </c>
      <c r="L177" s="257">
        <v>2040</v>
      </c>
      <c r="M177" s="257">
        <v>3</v>
      </c>
      <c r="N177" s="14">
        <f t="shared" si="36"/>
        <v>-19056240</v>
      </c>
      <c r="O177" s="200">
        <f t="shared" si="37"/>
        <v>1002925.3562569991</v>
      </c>
      <c r="P177" s="14">
        <f t="shared" si="38"/>
        <v>-210614</v>
      </c>
    </row>
    <row r="178" spans="1:16" x14ac:dyDescent="0.2">
      <c r="A178" s="9">
        <v>2040</v>
      </c>
      <c r="B178" s="9">
        <v>4</v>
      </c>
      <c r="C178" s="14">
        <f t="shared" si="41"/>
        <v>-55229888</v>
      </c>
      <c r="D178" s="14">
        <f t="shared" si="31"/>
        <v>2568630.9582694024</v>
      </c>
      <c r="E178" s="117">
        <f t="shared" si="40"/>
        <v>4.462E-2</v>
      </c>
      <c r="F178" s="14">
        <f t="shared" si="39"/>
        <v>-41896605.099010579</v>
      </c>
      <c r="G178" s="14">
        <f t="shared" si="32"/>
        <v>15901913.859258823</v>
      </c>
      <c r="H178" s="118">
        <f t="shared" si="33"/>
        <v>0.72487333333333293</v>
      </c>
      <c r="I178" s="14">
        <f t="shared" si="34"/>
        <v>13333282.900989421</v>
      </c>
      <c r="J178" s="14">
        <f t="shared" si="35"/>
        <v>2799989</v>
      </c>
      <c r="L178" s="257">
        <v>2040</v>
      </c>
      <c r="M178" s="257">
        <v>4</v>
      </c>
      <c r="N178" s="14">
        <f t="shared" si="36"/>
        <v>-19167680</v>
      </c>
      <c r="O178" s="200">
        <f t="shared" si="37"/>
        <v>891485.35625699908</v>
      </c>
      <c r="P178" s="14">
        <f t="shared" si="38"/>
        <v>-187212</v>
      </c>
    </row>
    <row r="179" spans="1:16" x14ac:dyDescent="0.2">
      <c r="A179" s="9">
        <v>2040</v>
      </c>
      <c r="B179" s="9">
        <v>5</v>
      </c>
      <c r="C179" s="14">
        <f t="shared" si="41"/>
        <v>-55550992</v>
      </c>
      <c r="D179" s="14">
        <f t="shared" si="31"/>
        <v>2247526.9582694024</v>
      </c>
      <c r="E179" s="117">
        <f t="shared" si="40"/>
        <v>4.462E-2</v>
      </c>
      <c r="F179" s="14">
        <f t="shared" si="39"/>
        <v>-42111519.258670412</v>
      </c>
      <c r="G179" s="14">
        <f t="shared" si="32"/>
        <v>15686999.69959899</v>
      </c>
      <c r="H179" s="118">
        <f t="shared" si="33"/>
        <v>0.7285916666666663</v>
      </c>
      <c r="I179" s="14">
        <f t="shared" si="34"/>
        <v>13439472.741329588</v>
      </c>
      <c r="J179" s="14">
        <f t="shared" si="35"/>
        <v>2822289</v>
      </c>
      <c r="L179" s="257">
        <v>2040</v>
      </c>
      <c r="M179" s="257">
        <v>5</v>
      </c>
      <c r="N179" s="14">
        <f t="shared" si="36"/>
        <v>-19279120</v>
      </c>
      <c r="O179" s="200">
        <f t="shared" si="37"/>
        <v>780045.35625699908</v>
      </c>
      <c r="P179" s="14">
        <f t="shared" si="38"/>
        <v>-163810</v>
      </c>
    </row>
    <row r="180" spans="1:16" x14ac:dyDescent="0.2">
      <c r="A180" s="9">
        <v>2040</v>
      </c>
      <c r="B180" s="9">
        <v>6</v>
      </c>
      <c r="C180" s="14">
        <f t="shared" si="41"/>
        <v>-55872096</v>
      </c>
      <c r="D180" s="14">
        <f t="shared" si="31"/>
        <v>1926422.9582694024</v>
      </c>
      <c r="E180" s="117">
        <f t="shared" si="40"/>
        <v>4.462E-2</v>
      </c>
      <c r="F180" s="14">
        <f t="shared" si="39"/>
        <v>-42326433.418330245</v>
      </c>
      <c r="G180" s="14">
        <f t="shared" si="32"/>
        <v>15472085.539939158</v>
      </c>
      <c r="H180" s="118">
        <f t="shared" si="33"/>
        <v>0.73230999999999968</v>
      </c>
      <c r="I180" s="14">
        <f t="shared" si="34"/>
        <v>13545662.581669755</v>
      </c>
      <c r="J180" s="14">
        <f t="shared" si="35"/>
        <v>2844589</v>
      </c>
      <c r="L180" s="257">
        <v>2040</v>
      </c>
      <c r="M180" s="257">
        <v>6</v>
      </c>
      <c r="N180" s="14">
        <f t="shared" si="36"/>
        <v>-19390560</v>
      </c>
      <c r="O180" s="200">
        <f t="shared" si="37"/>
        <v>668605.35625699908</v>
      </c>
      <c r="P180" s="14">
        <f t="shared" si="38"/>
        <v>-140407</v>
      </c>
    </row>
    <row r="181" spans="1:16" x14ac:dyDescent="0.2">
      <c r="A181" s="9">
        <v>2040</v>
      </c>
      <c r="B181" s="9">
        <v>7</v>
      </c>
      <c r="C181" s="14">
        <f t="shared" si="41"/>
        <v>-56193200</v>
      </c>
      <c r="D181" s="14">
        <f t="shared" si="31"/>
        <v>1605318.9582694024</v>
      </c>
      <c r="E181" s="117">
        <f t="shared" si="40"/>
        <v>4.462E-2</v>
      </c>
      <c r="F181" s="14">
        <f t="shared" si="39"/>
        <v>-42541347.577990077</v>
      </c>
      <c r="G181" s="14">
        <f t="shared" si="32"/>
        <v>15257171.380279325</v>
      </c>
      <c r="H181" s="118">
        <f t="shared" si="33"/>
        <v>0.73602833333333295</v>
      </c>
      <c r="I181" s="14">
        <f t="shared" si="34"/>
        <v>13651852.422009923</v>
      </c>
      <c r="J181" s="14">
        <f t="shared" si="35"/>
        <v>2866889</v>
      </c>
      <c r="L181" s="257">
        <v>2040</v>
      </c>
      <c r="M181" s="257">
        <v>7</v>
      </c>
      <c r="N181" s="14">
        <f t="shared" si="36"/>
        <v>-19502000</v>
      </c>
      <c r="O181" s="200">
        <f t="shared" si="37"/>
        <v>557165.35625699908</v>
      </c>
      <c r="P181" s="14">
        <f t="shared" si="38"/>
        <v>-117005</v>
      </c>
    </row>
    <row r="182" spans="1:16" x14ac:dyDescent="0.2">
      <c r="A182" s="9">
        <v>2040</v>
      </c>
      <c r="B182" s="9">
        <v>8</v>
      </c>
      <c r="C182" s="14">
        <f t="shared" si="41"/>
        <v>-56514304</v>
      </c>
      <c r="D182" s="14">
        <f t="shared" si="31"/>
        <v>1284214.9582694024</v>
      </c>
      <c r="E182" s="117">
        <f t="shared" si="40"/>
        <v>4.462E-2</v>
      </c>
      <c r="F182" s="14">
        <f t="shared" si="39"/>
        <v>-42756261.73764991</v>
      </c>
      <c r="G182" s="14">
        <f t="shared" si="32"/>
        <v>15042257.220619492</v>
      </c>
      <c r="H182" s="118">
        <f t="shared" si="33"/>
        <v>0.73974666666666633</v>
      </c>
      <c r="I182" s="14">
        <f t="shared" si="34"/>
        <v>13758042.26235009</v>
      </c>
      <c r="J182" s="14">
        <f t="shared" si="35"/>
        <v>2889189</v>
      </c>
      <c r="L182" s="257">
        <v>2040</v>
      </c>
      <c r="M182" s="257">
        <v>8</v>
      </c>
      <c r="N182" s="14">
        <f t="shared" si="36"/>
        <v>-19613440</v>
      </c>
      <c r="O182" s="200">
        <f t="shared" si="37"/>
        <v>445725.35625699908</v>
      </c>
      <c r="P182" s="14">
        <f t="shared" si="38"/>
        <v>-93602</v>
      </c>
    </row>
    <row r="183" spans="1:16" x14ac:dyDescent="0.2">
      <c r="A183" s="9">
        <v>2040</v>
      </c>
      <c r="B183" s="9">
        <v>9</v>
      </c>
      <c r="C183" s="14">
        <f t="shared" si="41"/>
        <v>-56835408</v>
      </c>
      <c r="D183" s="14">
        <f t="shared" si="31"/>
        <v>963110.95826940238</v>
      </c>
      <c r="E183" s="117">
        <f t="shared" si="40"/>
        <v>4.462E-2</v>
      </c>
      <c r="F183" s="14">
        <f t="shared" si="39"/>
        <v>-42971175.897309743</v>
      </c>
      <c r="G183" s="14">
        <f t="shared" si="32"/>
        <v>14827343.06095966</v>
      </c>
      <c r="H183" s="118">
        <f t="shared" si="33"/>
        <v>0.74346499999999971</v>
      </c>
      <c r="I183" s="14">
        <f t="shared" si="34"/>
        <v>13864232.102690257</v>
      </c>
      <c r="J183" s="14">
        <f t="shared" si="35"/>
        <v>2911489</v>
      </c>
      <c r="L183" s="257">
        <v>2040</v>
      </c>
      <c r="M183" s="257">
        <v>9</v>
      </c>
      <c r="N183" s="14">
        <f t="shared" si="36"/>
        <v>-19724880</v>
      </c>
      <c r="O183" s="200">
        <f t="shared" si="37"/>
        <v>334285.35625699908</v>
      </c>
      <c r="P183" s="14">
        <f t="shared" si="38"/>
        <v>-70200</v>
      </c>
    </row>
    <row r="184" spans="1:16" x14ac:dyDescent="0.2">
      <c r="A184" s="9">
        <v>2040</v>
      </c>
      <c r="B184" s="9">
        <v>10</v>
      </c>
      <c r="C184" s="14">
        <f t="shared" si="41"/>
        <v>-57156512</v>
      </c>
      <c r="D184" s="14">
        <f t="shared" si="31"/>
        <v>642006.95826940238</v>
      </c>
      <c r="E184" s="117">
        <f t="shared" si="40"/>
        <v>4.462E-2</v>
      </c>
      <c r="F184" s="14">
        <f t="shared" si="39"/>
        <v>-43186090.056969576</v>
      </c>
      <c r="G184" s="14">
        <f t="shared" si="32"/>
        <v>14612428.901299827</v>
      </c>
      <c r="H184" s="118">
        <f t="shared" si="33"/>
        <v>0.74718333333333298</v>
      </c>
      <c r="I184" s="14">
        <f t="shared" si="34"/>
        <v>13970421.943030424</v>
      </c>
      <c r="J184" s="14">
        <f t="shared" si="35"/>
        <v>2933789</v>
      </c>
      <c r="L184" s="257">
        <v>2040</v>
      </c>
      <c r="M184" s="257">
        <v>10</v>
      </c>
      <c r="N184" s="14">
        <f t="shared" si="36"/>
        <v>-19836320</v>
      </c>
      <c r="O184" s="200">
        <f t="shared" si="37"/>
        <v>222845.35625699908</v>
      </c>
      <c r="P184" s="14">
        <f t="shared" si="38"/>
        <v>-46798</v>
      </c>
    </row>
    <row r="185" spans="1:16" x14ac:dyDescent="0.2">
      <c r="A185" s="9">
        <v>2040</v>
      </c>
      <c r="B185" s="9">
        <v>11</v>
      </c>
      <c r="C185" s="14">
        <f t="shared" si="41"/>
        <v>-57477616</v>
      </c>
      <c r="D185" s="14">
        <f t="shared" si="31"/>
        <v>320902.95826940238</v>
      </c>
      <c r="E185" s="117">
        <f t="shared" si="40"/>
        <v>4.462E-2</v>
      </c>
      <c r="F185" s="14">
        <f t="shared" si="39"/>
        <v>-43401004.216629408</v>
      </c>
      <c r="G185" s="14">
        <f t="shared" si="32"/>
        <v>14397514.741639994</v>
      </c>
      <c r="H185" s="118">
        <f t="shared" si="33"/>
        <v>0.75090166666666636</v>
      </c>
      <c r="I185" s="14">
        <f t="shared" si="34"/>
        <v>14076611.783370592</v>
      </c>
      <c r="J185" s="14">
        <f t="shared" si="35"/>
        <v>2956088</v>
      </c>
      <c r="L185" s="257">
        <v>2040</v>
      </c>
      <c r="M185" s="257">
        <v>11</v>
      </c>
      <c r="N185" s="14">
        <f t="shared" si="36"/>
        <v>-19947760</v>
      </c>
      <c r="O185" s="200">
        <f t="shared" si="37"/>
        <v>111405.35625699908</v>
      </c>
      <c r="P185" s="14">
        <f t="shared" si="38"/>
        <v>-23395</v>
      </c>
    </row>
    <row r="186" spans="1:16" x14ac:dyDescent="0.2">
      <c r="A186" s="9">
        <v>2040</v>
      </c>
      <c r="B186" s="9">
        <v>12</v>
      </c>
      <c r="C186" s="14">
        <f t="shared" si="41"/>
        <v>-57798720</v>
      </c>
      <c r="D186" s="14">
        <f t="shared" si="31"/>
        <v>-201.04173059761524</v>
      </c>
      <c r="E186" s="117">
        <f t="shared" si="40"/>
        <v>4.462E-2</v>
      </c>
      <c r="F186" s="14">
        <f t="shared" si="39"/>
        <v>-43615918.376289241</v>
      </c>
      <c r="G186" s="14">
        <f t="shared" si="32"/>
        <v>14182600.581980161</v>
      </c>
      <c r="H186" s="118">
        <f t="shared" si="33"/>
        <v>0.75461999999999974</v>
      </c>
      <c r="I186" s="14">
        <f t="shared" si="34"/>
        <v>14182801.623710759</v>
      </c>
      <c r="J186" s="14">
        <f t="shared" si="35"/>
        <v>2978388</v>
      </c>
      <c r="L186" s="257">
        <v>2040</v>
      </c>
      <c r="M186" s="257">
        <v>12</v>
      </c>
      <c r="N186" s="14">
        <f t="shared" si="36"/>
        <v>-20059200</v>
      </c>
      <c r="O186" s="200">
        <f t="shared" si="37"/>
        <v>-34.643743000924587</v>
      </c>
      <c r="P186" s="14">
        <f t="shared" si="38"/>
        <v>7</v>
      </c>
    </row>
    <row r="187" spans="1:16" x14ac:dyDescent="0.2">
      <c r="C187" s="14"/>
      <c r="D187" s="14"/>
      <c r="E187" s="117"/>
      <c r="F187" s="14"/>
      <c r="G187" s="14"/>
      <c r="H187" s="118"/>
      <c r="I187" s="14"/>
      <c r="J187" s="14"/>
      <c r="N187" s="14"/>
      <c r="O187" s="14"/>
      <c r="P187" s="14"/>
    </row>
    <row r="188" spans="1:16" x14ac:dyDescent="0.2">
      <c r="C188" s="14"/>
      <c r="D188" s="14"/>
      <c r="E188" s="117"/>
      <c r="F188" s="14"/>
      <c r="G188" s="14"/>
      <c r="H188" s="118"/>
      <c r="I188" s="14"/>
      <c r="J188" s="14"/>
      <c r="N188" s="14"/>
      <c r="O188" s="14"/>
      <c r="P188" s="14"/>
    </row>
    <row r="197" spans="1:7" ht="13.5" thickBot="1" x14ac:dyDescent="0.25"/>
    <row r="198" spans="1:7" ht="15" x14ac:dyDescent="0.25">
      <c r="A198" s="25" t="s">
        <v>20</v>
      </c>
      <c r="B198" s="26"/>
      <c r="C198" s="26"/>
      <c r="D198" s="27">
        <v>1</v>
      </c>
      <c r="E198" s="37"/>
      <c r="F198" s="26"/>
      <c r="G198" s="28">
        <v>3.7499999999999999E-2</v>
      </c>
    </row>
    <row r="199" spans="1:7" ht="15" x14ac:dyDescent="0.25">
      <c r="A199" s="29"/>
      <c r="B199"/>
      <c r="C199"/>
      <c r="D199" s="1">
        <v>2</v>
      </c>
      <c r="E199" s="38"/>
      <c r="F199"/>
      <c r="G199" s="30">
        <v>7.2190000000000004E-2</v>
      </c>
    </row>
    <row r="200" spans="1:7" ht="15" x14ac:dyDescent="0.25">
      <c r="A200" s="31"/>
      <c r="B200"/>
      <c r="C200"/>
      <c r="D200" s="2">
        <v>3</v>
      </c>
      <c r="E200" s="39"/>
      <c r="F200"/>
      <c r="G200" s="30">
        <v>6.6769999999999996E-2</v>
      </c>
    </row>
    <row r="201" spans="1:7" ht="15" x14ac:dyDescent="0.25">
      <c r="A201" s="31"/>
      <c r="B201"/>
      <c r="C201"/>
      <c r="D201" s="2">
        <v>4</v>
      </c>
      <c r="E201" s="39"/>
      <c r="F201"/>
      <c r="G201" s="30">
        <v>6.1769999999999999E-2</v>
      </c>
    </row>
    <row r="202" spans="1:7" ht="15" x14ac:dyDescent="0.25">
      <c r="A202" s="31"/>
      <c r="B202"/>
      <c r="C202"/>
      <c r="D202" s="2">
        <v>5</v>
      </c>
      <c r="E202" s="39"/>
      <c r="F202"/>
      <c r="G202" s="30">
        <v>5.713E-2</v>
      </c>
    </row>
    <row r="203" spans="1:7" ht="15" x14ac:dyDescent="0.25">
      <c r="A203" s="31"/>
      <c r="B203"/>
      <c r="C203"/>
      <c r="D203" s="2">
        <v>6</v>
      </c>
      <c r="E203" s="39"/>
      <c r="F203"/>
      <c r="G203" s="30">
        <v>5.2850000000000001E-2</v>
      </c>
    </row>
    <row r="204" spans="1:7" ht="15" x14ac:dyDescent="0.25">
      <c r="A204" s="31"/>
      <c r="B204"/>
      <c r="C204"/>
      <c r="D204" s="2">
        <v>7</v>
      </c>
      <c r="E204" s="39"/>
      <c r="F204"/>
      <c r="G204" s="30">
        <v>4.888E-2</v>
      </c>
    </row>
    <row r="205" spans="1:7" ht="15" x14ac:dyDescent="0.25">
      <c r="A205" s="31"/>
      <c r="B205"/>
      <c r="C205"/>
      <c r="D205" s="2">
        <v>8</v>
      </c>
      <c r="E205" s="39"/>
      <c r="F205"/>
      <c r="G205" s="30">
        <v>4.5220000000000003E-2</v>
      </c>
    </row>
    <row r="206" spans="1:7" ht="15" x14ac:dyDescent="0.25">
      <c r="A206" s="31"/>
      <c r="B206"/>
      <c r="C206"/>
      <c r="D206" s="2">
        <v>9</v>
      </c>
      <c r="E206" s="39"/>
      <c r="F206"/>
      <c r="G206" s="30">
        <v>4.462E-2</v>
      </c>
    </row>
    <row r="207" spans="1:7" ht="15" x14ac:dyDescent="0.25">
      <c r="A207" s="31"/>
      <c r="B207"/>
      <c r="C207"/>
      <c r="D207" s="2">
        <v>10</v>
      </c>
      <c r="E207" s="39"/>
      <c r="F207"/>
      <c r="G207" s="30">
        <v>4.4609999999999997E-2</v>
      </c>
    </row>
    <row r="208" spans="1:7" ht="15" x14ac:dyDescent="0.25">
      <c r="A208" s="31"/>
      <c r="B208"/>
      <c r="C208"/>
      <c r="D208" s="2">
        <v>11</v>
      </c>
      <c r="E208" s="39"/>
      <c r="F208"/>
      <c r="G208" s="30">
        <v>4.462E-2</v>
      </c>
    </row>
    <row r="209" spans="1:7" ht="15" x14ac:dyDescent="0.25">
      <c r="A209" s="31"/>
      <c r="B209"/>
      <c r="C209"/>
      <c r="D209" s="2">
        <v>12</v>
      </c>
      <c r="E209" s="39"/>
      <c r="F209"/>
      <c r="G209" s="30">
        <v>4.4609999999999997E-2</v>
      </c>
    </row>
    <row r="210" spans="1:7" ht="15" x14ac:dyDescent="0.25">
      <c r="A210" s="31"/>
      <c r="B210"/>
      <c r="C210"/>
      <c r="D210" s="2">
        <v>13</v>
      </c>
      <c r="E210" s="39"/>
      <c r="F210"/>
      <c r="G210" s="30">
        <v>4.462E-2</v>
      </c>
    </row>
    <row r="211" spans="1:7" ht="15" x14ac:dyDescent="0.25">
      <c r="A211" s="31"/>
      <c r="B211"/>
      <c r="C211"/>
      <c r="D211" s="2">
        <v>14</v>
      </c>
      <c r="E211" s="39"/>
      <c r="F211"/>
      <c r="G211" s="30">
        <v>4.4609999999999997E-2</v>
      </c>
    </row>
    <row r="212" spans="1:7" ht="15" x14ac:dyDescent="0.25">
      <c r="A212" s="31"/>
      <c r="B212"/>
      <c r="C212"/>
      <c r="D212" s="2">
        <v>15</v>
      </c>
      <c r="E212" s="39"/>
      <c r="F212"/>
      <c r="G212" s="30">
        <v>4.462E-2</v>
      </c>
    </row>
    <row r="213" spans="1:7" ht="15" x14ac:dyDescent="0.25">
      <c r="A213" s="31"/>
      <c r="B213"/>
      <c r="C213"/>
      <c r="D213" s="2">
        <v>16</v>
      </c>
      <c r="E213" s="39"/>
      <c r="F213"/>
      <c r="G213" s="30">
        <v>4.4609999999999997E-2</v>
      </c>
    </row>
    <row r="214" spans="1:7" ht="15" x14ac:dyDescent="0.25">
      <c r="A214" s="31"/>
      <c r="B214"/>
      <c r="C214"/>
      <c r="D214" s="2">
        <v>17</v>
      </c>
      <c r="E214" s="39"/>
      <c r="F214"/>
      <c r="G214" s="30">
        <v>4.462E-2</v>
      </c>
    </row>
    <row r="215" spans="1:7" ht="15" x14ac:dyDescent="0.25">
      <c r="A215" s="31"/>
      <c r="B215"/>
      <c r="C215"/>
      <c r="D215" s="2">
        <v>18</v>
      </c>
      <c r="E215" s="39"/>
      <c r="F215"/>
      <c r="G215" s="30">
        <v>4.4609999999999997E-2</v>
      </c>
    </row>
    <row r="216" spans="1:7" ht="15" x14ac:dyDescent="0.25">
      <c r="A216" s="31"/>
      <c r="B216"/>
      <c r="C216"/>
      <c r="D216" s="2">
        <v>19</v>
      </c>
      <c r="E216" s="39"/>
      <c r="F216"/>
      <c r="G216" s="30">
        <v>4.462E-2</v>
      </c>
    </row>
    <row r="217" spans="1:7" ht="15" x14ac:dyDescent="0.25">
      <c r="A217" s="31"/>
      <c r="B217"/>
      <c r="C217"/>
      <c r="D217" s="2">
        <v>20</v>
      </c>
      <c r="E217" s="39"/>
      <c r="F217"/>
      <c r="G217" s="30">
        <v>4.4609999999999997E-2</v>
      </c>
    </row>
    <row r="218" spans="1:7" ht="15" x14ac:dyDescent="0.25">
      <c r="A218" s="31"/>
      <c r="B218"/>
      <c r="C218"/>
      <c r="D218" s="2">
        <v>21</v>
      </c>
      <c r="E218" s="39"/>
      <c r="F218"/>
      <c r="G218" s="30">
        <v>2.231E-2</v>
      </c>
    </row>
    <row r="219" spans="1:7" ht="15.75" thickBot="1" x14ac:dyDescent="0.3">
      <c r="A219" s="32"/>
      <c r="B219" s="33"/>
      <c r="C219" s="33"/>
      <c r="D219" s="34">
        <v>22</v>
      </c>
      <c r="E219" s="40"/>
      <c r="F219" s="33"/>
      <c r="G219" s="35"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A9557-5EA3-4ABD-AC15-C670A6722163}">
  <dimension ref="A1:K11"/>
  <sheetViews>
    <sheetView workbookViewId="0">
      <selection activeCell="B13" sqref="B13"/>
    </sheetView>
  </sheetViews>
  <sheetFormatPr defaultRowHeight="15" x14ac:dyDescent="0.25"/>
  <cols>
    <col min="1" max="1" width="23.5703125" customWidth="1"/>
    <col min="2" max="2" width="13.5703125" bestFit="1" customWidth="1"/>
    <col min="12" max="12" width="10.85546875" bestFit="1" customWidth="1"/>
    <col min="13" max="13" width="10.140625" bestFit="1" customWidth="1"/>
    <col min="14" max="14" width="10.85546875" bestFit="1" customWidth="1"/>
  </cols>
  <sheetData>
    <row r="1" spans="1:11" ht="15.75" thickBot="1" x14ac:dyDescent="0.3">
      <c r="A1" s="209" t="s">
        <v>226</v>
      </c>
    </row>
    <row r="2" spans="1:11" ht="15.75" thickBot="1" x14ac:dyDescent="0.3">
      <c r="A2" s="206" t="s">
        <v>7</v>
      </c>
      <c r="B2" s="207">
        <v>2026</v>
      </c>
      <c r="C2" s="208">
        <v>2027</v>
      </c>
      <c r="D2" s="208">
        <v>2028</v>
      </c>
      <c r="E2" s="208">
        <v>2029</v>
      </c>
      <c r="F2" s="208">
        <v>2030</v>
      </c>
      <c r="G2" s="208">
        <v>2031</v>
      </c>
      <c r="H2" s="208">
        <v>2032</v>
      </c>
      <c r="I2" s="208">
        <v>2033</v>
      </c>
      <c r="J2" s="208">
        <v>2034</v>
      </c>
      <c r="K2" s="208">
        <v>2035</v>
      </c>
    </row>
    <row r="3" spans="1:11" ht="15.75" thickBot="1" x14ac:dyDescent="0.3">
      <c r="A3" s="209" t="s">
        <v>219</v>
      </c>
      <c r="B3" s="210">
        <v>250</v>
      </c>
      <c r="C3" s="211">
        <v>250</v>
      </c>
      <c r="D3" s="211">
        <v>250</v>
      </c>
      <c r="E3" s="211">
        <v>250</v>
      </c>
      <c r="F3" s="211">
        <v>250</v>
      </c>
      <c r="G3" s="211">
        <v>250</v>
      </c>
      <c r="H3" s="211">
        <v>250</v>
      </c>
      <c r="I3" s="211">
        <v>250</v>
      </c>
      <c r="J3" s="211">
        <v>250</v>
      </c>
      <c r="K3" s="211">
        <v>250</v>
      </c>
    </row>
    <row r="4" spans="1:11" ht="15.75" thickBot="1" x14ac:dyDescent="0.3">
      <c r="A4" s="212" t="s">
        <v>220</v>
      </c>
      <c r="B4" s="213">
        <v>1000</v>
      </c>
      <c r="C4" s="214">
        <v>1000</v>
      </c>
      <c r="D4" s="214">
        <v>1000</v>
      </c>
      <c r="E4" s="214">
        <v>1000</v>
      </c>
      <c r="F4" s="214">
        <v>1000</v>
      </c>
      <c r="G4" s="214">
        <v>1000</v>
      </c>
      <c r="H4" s="214">
        <v>1000</v>
      </c>
      <c r="I4" s="214">
        <v>1000</v>
      </c>
      <c r="J4" s="214">
        <v>1000</v>
      </c>
      <c r="K4" s="214">
        <v>1000</v>
      </c>
    </row>
    <row r="5" spans="1:11" ht="15.75" thickBot="1" x14ac:dyDescent="0.3">
      <c r="A5" s="215" t="s">
        <v>221</v>
      </c>
      <c r="B5" s="210">
        <v>100</v>
      </c>
      <c r="C5" s="211">
        <v>75</v>
      </c>
      <c r="D5" s="211">
        <v>75</v>
      </c>
      <c r="E5" s="211">
        <v>50</v>
      </c>
      <c r="F5" s="211">
        <v>50</v>
      </c>
      <c r="G5" s="211">
        <v>50</v>
      </c>
      <c r="H5" s="211">
        <v>50</v>
      </c>
      <c r="I5" s="211">
        <v>50</v>
      </c>
      <c r="J5" s="211">
        <v>50</v>
      </c>
      <c r="K5" s="211">
        <v>50</v>
      </c>
    </row>
    <row r="6" spans="1:11" ht="15.75" thickBot="1" x14ac:dyDescent="0.3">
      <c r="A6" s="215" t="s">
        <v>222</v>
      </c>
      <c r="B6" s="210">
        <v>0</v>
      </c>
      <c r="C6" s="211">
        <v>100</v>
      </c>
      <c r="D6" s="211">
        <v>0</v>
      </c>
      <c r="E6" s="211">
        <v>0</v>
      </c>
      <c r="F6" s="211">
        <v>100</v>
      </c>
      <c r="G6" s="211">
        <v>0</v>
      </c>
      <c r="H6" s="211">
        <v>0</v>
      </c>
      <c r="I6" s="211">
        <v>0</v>
      </c>
      <c r="J6" s="211">
        <v>0</v>
      </c>
      <c r="K6" s="211">
        <v>0</v>
      </c>
    </row>
    <row r="7" spans="1:11" ht="15.75" thickBot="1" x14ac:dyDescent="0.3">
      <c r="A7" s="212" t="s">
        <v>223</v>
      </c>
      <c r="B7" s="216">
        <f t="shared" ref="B7:K7" si="0">SUM(B3:B6)</f>
        <v>1350</v>
      </c>
      <c r="C7" s="216">
        <f t="shared" si="0"/>
        <v>1425</v>
      </c>
      <c r="D7" s="216">
        <f t="shared" si="0"/>
        <v>1325</v>
      </c>
      <c r="E7" s="216">
        <f t="shared" si="0"/>
        <v>1300</v>
      </c>
      <c r="F7" s="216">
        <f t="shared" si="0"/>
        <v>1400</v>
      </c>
      <c r="G7" s="216">
        <f t="shared" si="0"/>
        <v>1300</v>
      </c>
      <c r="H7" s="216">
        <f t="shared" si="0"/>
        <v>1300</v>
      </c>
      <c r="I7" s="216">
        <f t="shared" si="0"/>
        <v>1300</v>
      </c>
      <c r="J7" s="216">
        <f t="shared" si="0"/>
        <v>1300</v>
      </c>
      <c r="K7" s="216">
        <f t="shared" si="0"/>
        <v>1300</v>
      </c>
    </row>
    <row r="8" spans="1:11" ht="15.75" thickBot="1" x14ac:dyDescent="0.3">
      <c r="A8" s="219"/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1:11" ht="15.75" thickBot="1" x14ac:dyDescent="0.3">
      <c r="A9" s="215"/>
      <c r="B9" s="217">
        <f>B7*1000</f>
        <v>1350000</v>
      </c>
      <c r="C9" s="217">
        <f t="shared" ref="C9:K9" si="1">C7*1000</f>
        <v>1425000</v>
      </c>
      <c r="D9" s="217">
        <f t="shared" si="1"/>
        <v>1325000</v>
      </c>
      <c r="E9" s="217">
        <f t="shared" si="1"/>
        <v>1300000</v>
      </c>
      <c r="F9" s="217">
        <f t="shared" si="1"/>
        <v>1400000</v>
      </c>
      <c r="G9" s="217">
        <f t="shared" si="1"/>
        <v>1300000</v>
      </c>
      <c r="H9" s="217">
        <f t="shared" si="1"/>
        <v>1300000</v>
      </c>
      <c r="I9" s="217">
        <f t="shared" si="1"/>
        <v>1300000</v>
      </c>
      <c r="J9" s="217">
        <f t="shared" si="1"/>
        <v>1300000</v>
      </c>
      <c r="K9" s="217">
        <f t="shared" si="1"/>
        <v>1300000</v>
      </c>
    </row>
    <row r="10" spans="1:11" ht="15.75" thickBot="1" x14ac:dyDescent="0.3">
      <c r="A10" s="215" t="s">
        <v>224</v>
      </c>
      <c r="B10" s="216">
        <f>B9/12</f>
        <v>112500</v>
      </c>
      <c r="C10" s="216">
        <f t="shared" ref="C10:K10" si="2">C9/12</f>
        <v>118750</v>
      </c>
      <c r="D10" s="216">
        <f t="shared" si="2"/>
        <v>110416.66666666667</v>
      </c>
      <c r="E10" s="216">
        <f t="shared" si="2"/>
        <v>108333.33333333333</v>
      </c>
      <c r="F10" s="216">
        <f t="shared" si="2"/>
        <v>116666.66666666667</v>
      </c>
      <c r="G10" s="216">
        <f t="shared" si="2"/>
        <v>108333.33333333333</v>
      </c>
      <c r="H10" s="216">
        <f t="shared" si="2"/>
        <v>108333.33333333333</v>
      </c>
      <c r="I10" s="216">
        <f t="shared" si="2"/>
        <v>108333.33333333333</v>
      </c>
      <c r="J10" s="216">
        <f t="shared" si="2"/>
        <v>108333.33333333333</v>
      </c>
      <c r="K10" s="216">
        <f t="shared" si="2"/>
        <v>108333.33333333333</v>
      </c>
    </row>
    <row r="11" spans="1:11" ht="15.75" thickBot="1" x14ac:dyDescent="0.3">
      <c r="A11" s="218" t="s">
        <v>225</v>
      </c>
      <c r="B11" s="216">
        <f>B10/2</f>
        <v>56250</v>
      </c>
      <c r="C11" s="216">
        <f t="shared" ref="C11:K11" si="3">C10/2</f>
        <v>59375</v>
      </c>
      <c r="D11" s="216">
        <f t="shared" si="3"/>
        <v>55208.333333333336</v>
      </c>
      <c r="E11" s="216">
        <f t="shared" si="3"/>
        <v>54166.666666666664</v>
      </c>
      <c r="F11" s="216">
        <f t="shared" si="3"/>
        <v>58333.333333333336</v>
      </c>
      <c r="G11" s="216">
        <f t="shared" si="3"/>
        <v>54166.666666666664</v>
      </c>
      <c r="H11" s="216">
        <f t="shared" si="3"/>
        <v>54166.666666666664</v>
      </c>
      <c r="I11" s="216">
        <f t="shared" si="3"/>
        <v>54166.666666666664</v>
      </c>
      <c r="J11" s="216">
        <f t="shared" si="3"/>
        <v>54166.666666666664</v>
      </c>
      <c r="K11" s="216">
        <f t="shared" si="3"/>
        <v>54166.666666666664</v>
      </c>
    </row>
  </sheetData>
  <pageMargins left="0.7" right="0.7" top="0.75" bottom="0.75" header="0.3" footer="0.3"/>
  <pageSetup orientation="portrait" horizontalDpi="1200" verticalDpi="1200" r:id="rId1"/>
  <ignoredErrors>
    <ignoredError sqref="B7:K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6"/>
  <sheetViews>
    <sheetView workbookViewId="0">
      <selection activeCell="N15" sqref="N15"/>
    </sheetView>
  </sheetViews>
  <sheetFormatPr defaultRowHeight="15" x14ac:dyDescent="0.25"/>
  <cols>
    <col min="1" max="1" width="15.85546875" customWidth="1"/>
    <col min="7" max="7" width="15.42578125" customWidth="1"/>
  </cols>
  <sheetData>
    <row r="1" spans="1:5" x14ac:dyDescent="0.25">
      <c r="A1" s="392" t="s">
        <v>28</v>
      </c>
      <c r="B1" s="392"/>
      <c r="C1" s="392"/>
      <c r="D1" s="392"/>
      <c r="E1" s="392"/>
    </row>
    <row r="2" spans="1:5" x14ac:dyDescent="0.25">
      <c r="A2" s="392"/>
      <c r="B2" s="392"/>
      <c r="C2" s="392"/>
      <c r="D2" s="392"/>
      <c r="E2" s="392"/>
    </row>
    <row r="3" spans="1:5" x14ac:dyDescent="0.25">
      <c r="A3" s="9"/>
      <c r="B3" s="9"/>
      <c r="C3" s="9"/>
      <c r="D3" s="9"/>
      <c r="E3" s="9"/>
    </row>
    <row r="4" spans="1:5" ht="39" x14ac:dyDescent="0.25">
      <c r="A4" s="10" t="s">
        <v>24</v>
      </c>
      <c r="B4" s="10" t="s">
        <v>7</v>
      </c>
      <c r="C4" s="10" t="s">
        <v>27</v>
      </c>
      <c r="D4" s="10" t="s">
        <v>25</v>
      </c>
      <c r="E4" s="10" t="s">
        <v>26</v>
      </c>
    </row>
    <row r="5" spans="1:5" x14ac:dyDescent="0.25">
      <c r="A5" s="9" t="s">
        <v>15</v>
      </c>
      <c r="B5" s="36">
        <v>2024</v>
      </c>
      <c r="C5" s="252">
        <v>0.97699999999999998</v>
      </c>
      <c r="D5" s="9" t="s">
        <v>16</v>
      </c>
      <c r="E5" s="9" t="s">
        <v>17</v>
      </c>
    </row>
    <row r="6" spans="1:5" x14ac:dyDescent="0.25">
      <c r="A6" s="9" t="s">
        <v>16</v>
      </c>
      <c r="B6" s="36">
        <v>2024</v>
      </c>
      <c r="C6" s="252">
        <v>0.91800000000000004</v>
      </c>
      <c r="D6" s="9" t="s">
        <v>17</v>
      </c>
      <c r="E6" s="9" t="s">
        <v>18</v>
      </c>
    </row>
    <row r="7" spans="1:5" x14ac:dyDescent="0.25">
      <c r="A7" s="9" t="s">
        <v>17</v>
      </c>
      <c r="B7" s="36">
        <v>2024</v>
      </c>
      <c r="C7" s="252">
        <v>0.94</v>
      </c>
      <c r="D7" s="9" t="s">
        <v>18</v>
      </c>
      <c r="E7" s="9" t="s">
        <v>19</v>
      </c>
    </row>
    <row r="8" spans="1:5" x14ac:dyDescent="0.25">
      <c r="A8" s="9" t="s">
        <v>18</v>
      </c>
      <c r="B8" s="36">
        <v>2024</v>
      </c>
      <c r="C8" s="252">
        <v>0.95499999999999996</v>
      </c>
      <c r="D8" s="9" t="s">
        <v>19</v>
      </c>
      <c r="E8" s="9" t="s">
        <v>8</v>
      </c>
    </row>
    <row r="9" spans="1:5" x14ac:dyDescent="0.25">
      <c r="A9" s="9" t="s">
        <v>19</v>
      </c>
      <c r="B9" s="36">
        <v>2024</v>
      </c>
      <c r="C9" s="252">
        <v>0.98599999999999999</v>
      </c>
      <c r="D9" s="9" t="s">
        <v>8</v>
      </c>
      <c r="E9" s="9" t="s">
        <v>9</v>
      </c>
    </row>
    <row r="10" spans="1:5" x14ac:dyDescent="0.25">
      <c r="A10" s="9" t="s">
        <v>8</v>
      </c>
      <c r="B10" s="36">
        <v>2024</v>
      </c>
      <c r="C10" s="252">
        <v>0.96699999999999997</v>
      </c>
      <c r="D10" s="9" t="s">
        <v>9</v>
      </c>
      <c r="E10" s="9" t="s">
        <v>10</v>
      </c>
    </row>
    <row r="11" spans="1:5" x14ac:dyDescent="0.25">
      <c r="A11" s="9" t="s">
        <v>9</v>
      </c>
      <c r="B11" s="36">
        <v>2024</v>
      </c>
      <c r="C11" s="252">
        <v>0.94799999999999995</v>
      </c>
      <c r="D11" s="9" t="s">
        <v>10</v>
      </c>
      <c r="E11" s="9" t="s">
        <v>11</v>
      </c>
    </row>
    <row r="12" spans="1:5" x14ac:dyDescent="0.25">
      <c r="A12" s="9" t="s">
        <v>10</v>
      </c>
      <c r="B12" s="36">
        <v>2024</v>
      </c>
      <c r="C12" s="252">
        <v>0.96899999999999997</v>
      </c>
      <c r="D12" s="9" t="s">
        <v>11</v>
      </c>
      <c r="E12" s="9" t="s">
        <v>12</v>
      </c>
    </row>
    <row r="13" spans="1:5" x14ac:dyDescent="0.25">
      <c r="A13" s="9" t="s">
        <v>11</v>
      </c>
      <c r="B13" s="36">
        <v>2025</v>
      </c>
      <c r="C13" s="252">
        <v>0.96199999999999997</v>
      </c>
      <c r="D13" s="9" t="s">
        <v>12</v>
      </c>
      <c r="E13" s="9" t="s">
        <v>13</v>
      </c>
    </row>
    <row r="14" spans="1:5" x14ac:dyDescent="0.25">
      <c r="A14" s="9" t="s">
        <v>12</v>
      </c>
      <c r="B14" s="36">
        <v>2025</v>
      </c>
      <c r="C14" s="252">
        <v>0.97699999999999998</v>
      </c>
      <c r="D14" s="9" t="s">
        <v>13</v>
      </c>
      <c r="E14" s="9" t="s">
        <v>14</v>
      </c>
    </row>
    <row r="15" spans="1:5" x14ac:dyDescent="0.25">
      <c r="A15" s="9" t="s">
        <v>13</v>
      </c>
      <c r="B15" s="36">
        <v>2025</v>
      </c>
      <c r="C15" s="252">
        <v>0.96799999999999997</v>
      </c>
      <c r="D15" s="9" t="s">
        <v>14</v>
      </c>
      <c r="E15" s="9" t="s">
        <v>15</v>
      </c>
    </row>
    <row r="16" spans="1:5" x14ac:dyDescent="0.25">
      <c r="A16" s="9" t="s">
        <v>14</v>
      </c>
      <c r="B16" s="36">
        <v>2025</v>
      </c>
      <c r="C16" s="252">
        <v>0.95799999999999996</v>
      </c>
      <c r="D16" s="9" t="s">
        <v>15</v>
      </c>
      <c r="E16" s="9" t="s">
        <v>16</v>
      </c>
    </row>
    <row r="17" spans="1:5" x14ac:dyDescent="0.25">
      <c r="A17" s="9"/>
      <c r="B17" s="9"/>
      <c r="C17" s="11"/>
      <c r="D17" s="9"/>
      <c r="E17" s="9"/>
    </row>
    <row r="18" spans="1:5" x14ac:dyDescent="0.25">
      <c r="A18" s="15" t="s">
        <v>50</v>
      </c>
      <c r="B18" s="9"/>
      <c r="C18" s="12">
        <f>AVERAGE(C5:C16)</f>
        <v>0.9604166666666667</v>
      </c>
      <c r="D18" s="9"/>
      <c r="E18" s="9"/>
    </row>
    <row r="21" spans="1:5" x14ac:dyDescent="0.25">
      <c r="A21" s="392" t="s">
        <v>73</v>
      </c>
      <c r="B21" s="392"/>
      <c r="C21" s="392"/>
      <c r="D21" s="392"/>
      <c r="E21" s="392"/>
    </row>
    <row r="22" spans="1:5" x14ac:dyDescent="0.25">
      <c r="A22" s="392"/>
      <c r="B22" s="392"/>
      <c r="C22" s="392"/>
      <c r="D22" s="392"/>
      <c r="E22" s="392"/>
    </row>
    <row r="24" spans="1:5" x14ac:dyDescent="0.25">
      <c r="A24" s="9" t="s">
        <v>74</v>
      </c>
      <c r="B24" s="9"/>
      <c r="C24" s="9"/>
      <c r="D24" s="9"/>
      <c r="E24" s="9">
        <v>1.9835999999999999E-2</v>
      </c>
    </row>
    <row r="25" spans="1:5" x14ac:dyDescent="0.25">
      <c r="A25" s="9" t="s">
        <v>75</v>
      </c>
      <c r="B25" s="9"/>
      <c r="C25" s="9"/>
      <c r="D25" s="9"/>
      <c r="E25" s="9">
        <v>0.6</v>
      </c>
    </row>
    <row r="26" spans="1:5" x14ac:dyDescent="0.25">
      <c r="A26" s="9" t="s">
        <v>76</v>
      </c>
      <c r="B26" s="9"/>
      <c r="C26" s="9"/>
      <c r="D26" s="9"/>
      <c r="E26" s="9">
        <v>0.05</v>
      </c>
    </row>
  </sheetData>
  <mergeCells count="4">
    <mergeCell ref="A1:E1"/>
    <mergeCell ref="A2:E2"/>
    <mergeCell ref="A21:E21"/>
    <mergeCell ref="A22:E2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7A3D6-1ADD-45D1-9A2A-66DAFFB00465}">
  <sheetPr codeName="Sheet14">
    <pageSetUpPr autoPageBreaks="0"/>
  </sheetPr>
  <dimension ref="A1:Y49"/>
  <sheetViews>
    <sheetView showGridLines="0" zoomScaleNormal="100" workbookViewId="0">
      <pane ySplit="6" topLeftCell="A9" activePane="bottomLeft" state="frozen"/>
      <selection activeCell="N33" sqref="N33"/>
      <selection pane="bottomLeft" activeCell="W16" sqref="W16"/>
    </sheetView>
  </sheetViews>
  <sheetFormatPr defaultColWidth="8.7109375" defaultRowHeight="12.75" x14ac:dyDescent="0.2"/>
  <cols>
    <col min="1" max="1" width="2.42578125" style="43" customWidth="1"/>
    <col min="2" max="2" width="5" style="96" bestFit="1" customWidth="1"/>
    <col min="3" max="3" width="0.28515625" style="43" customWidth="1"/>
    <col min="4" max="4" width="12.7109375" style="43" customWidth="1"/>
    <col min="5" max="5" width="0.28515625" style="43" customWidth="1"/>
    <col min="6" max="6" width="15.7109375" style="43" customWidth="1"/>
    <col min="7" max="7" width="0.28515625" style="43" customWidth="1"/>
    <col min="8" max="8" width="12.7109375" style="43" customWidth="1"/>
    <col min="9" max="9" width="0.28515625" style="43" customWidth="1"/>
    <col min="10" max="10" width="12.7109375" style="43" customWidth="1"/>
    <col min="11" max="11" width="3.7109375" style="43" customWidth="1"/>
    <col min="12" max="12" width="0.28515625" style="43" customWidth="1"/>
    <col min="13" max="13" width="12.7109375" style="43" customWidth="1"/>
    <col min="14" max="14" width="1.28515625" style="43" customWidth="1"/>
    <col min="15" max="15" width="10.28515625" style="43" bestFit="1" customWidth="1"/>
    <col min="16" max="16" width="0.28515625" style="43" customWidth="1"/>
    <col min="17" max="17" width="3.7109375" style="43" customWidth="1"/>
    <col min="18" max="18" width="0.28515625" style="43" customWidth="1"/>
    <col min="19" max="19" width="12" style="43" bestFit="1" customWidth="1"/>
    <col min="20" max="20" width="2.42578125" style="43" customWidth="1"/>
    <col min="21" max="16384" width="8.7109375" style="43"/>
  </cols>
  <sheetData>
    <row r="1" spans="1:25" s="107" customFormat="1" x14ac:dyDescent="0.2">
      <c r="A1" s="43"/>
      <c r="B1" s="43"/>
      <c r="C1" s="43"/>
      <c r="D1" s="43"/>
      <c r="E1" s="43"/>
      <c r="F1" s="43"/>
      <c r="G1" s="43"/>
    </row>
    <row r="2" spans="1:25" s="107" customFormat="1" x14ac:dyDescent="0.2">
      <c r="A2" s="108"/>
      <c r="B2" s="393" t="s">
        <v>69</v>
      </c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</row>
    <row r="3" spans="1:25" s="107" customFormat="1" x14ac:dyDescent="0.2">
      <c r="A3" s="108"/>
      <c r="B3" s="393" t="s">
        <v>70</v>
      </c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</row>
    <row r="4" spans="1:25" s="107" customFormat="1" x14ac:dyDescent="0.2">
      <c r="A4" s="109"/>
      <c r="B4" s="394" t="s">
        <v>71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394"/>
      <c r="Q4" s="394"/>
      <c r="R4" s="394"/>
      <c r="S4" s="394"/>
    </row>
    <row r="5" spans="1:25" s="107" customFormat="1" x14ac:dyDescent="0.2">
      <c r="B5" s="110"/>
      <c r="F5" s="111"/>
      <c r="G5" s="111"/>
    </row>
    <row r="6" spans="1:25" s="107" customFormat="1" x14ac:dyDescent="0.2"/>
    <row r="7" spans="1:25" ht="13.5" thickBot="1" x14ac:dyDescent="0.25"/>
    <row r="8" spans="1:25" ht="30" customHeight="1" thickBot="1" x14ac:dyDescent="0.25">
      <c r="B8" s="44" t="s">
        <v>29</v>
      </c>
      <c r="C8" s="45"/>
      <c r="D8" s="46" t="s">
        <v>30</v>
      </c>
      <c r="E8" s="47"/>
      <c r="F8" s="48" t="s">
        <v>31</v>
      </c>
      <c r="G8" s="47"/>
      <c r="H8" s="48" t="s">
        <v>32</v>
      </c>
      <c r="I8" s="47"/>
      <c r="J8" s="48" t="s">
        <v>33</v>
      </c>
      <c r="K8" s="49"/>
      <c r="L8" s="47"/>
      <c r="M8" s="48" t="s">
        <v>34</v>
      </c>
      <c r="N8" s="50"/>
      <c r="O8" s="51" t="s">
        <v>35</v>
      </c>
      <c r="P8" s="50"/>
      <c r="Q8" s="52"/>
      <c r="R8" s="53"/>
      <c r="S8" s="54" t="s">
        <v>36</v>
      </c>
      <c r="T8" s="55"/>
    </row>
    <row r="9" spans="1:25" ht="30" customHeight="1" thickBot="1" x14ac:dyDescent="0.25">
      <c r="B9" s="56"/>
      <c r="C9" s="57"/>
      <c r="D9" s="58"/>
      <c r="E9" s="57"/>
      <c r="F9" s="59" t="s">
        <v>72</v>
      </c>
      <c r="G9" s="57"/>
      <c r="H9" s="58"/>
      <c r="I9" s="57"/>
      <c r="J9" s="58"/>
      <c r="K9" s="60"/>
      <c r="L9" s="57"/>
      <c r="M9" s="58"/>
      <c r="N9" s="61"/>
      <c r="O9" s="62"/>
      <c r="P9" s="61"/>
      <c r="Q9" s="63"/>
      <c r="R9" s="64"/>
      <c r="S9" s="65"/>
      <c r="T9" s="55"/>
    </row>
    <row r="10" spans="1:25" ht="12.75" customHeight="1" x14ac:dyDescent="0.2">
      <c r="B10" s="66"/>
      <c r="C10" s="67"/>
      <c r="D10" s="68"/>
      <c r="E10" s="67"/>
      <c r="F10" s="68"/>
      <c r="G10" s="67"/>
      <c r="H10" s="68"/>
      <c r="I10" s="67"/>
      <c r="J10" s="68"/>
      <c r="K10" s="69"/>
      <c r="L10" s="67"/>
      <c r="M10" s="68"/>
      <c r="N10" s="67"/>
      <c r="O10" s="68"/>
      <c r="P10" s="67"/>
      <c r="Q10" s="68"/>
      <c r="R10" s="67"/>
      <c r="S10" s="70"/>
    </row>
    <row r="11" spans="1:25" ht="15" customHeight="1" x14ac:dyDescent="0.2">
      <c r="B11" s="71">
        <v>1</v>
      </c>
      <c r="C11" s="64"/>
      <c r="D11" s="63" t="s">
        <v>37</v>
      </c>
      <c r="E11" s="64"/>
      <c r="F11" s="72">
        <v>953708560</v>
      </c>
      <c r="G11" s="64"/>
      <c r="H11" s="73">
        <f>ROUND(F11/$F$16,4)</f>
        <v>0.5262</v>
      </c>
      <c r="I11" s="64"/>
      <c r="J11" s="74">
        <v>4.9000000000000002E-2</v>
      </c>
      <c r="K11" s="75"/>
      <c r="L11" s="64"/>
      <c r="M11" s="73">
        <f>ROUND(H11*J11,4)</f>
        <v>2.58E-2</v>
      </c>
      <c r="N11" s="64"/>
      <c r="O11" s="76">
        <f>O38</f>
        <v>1.0055229999999999</v>
      </c>
      <c r="P11" s="64"/>
      <c r="Q11" s="63"/>
      <c r="R11" s="64"/>
      <c r="S11" s="77">
        <f>ROUND(M11*O11,6)</f>
        <v>2.5942E-2</v>
      </c>
      <c r="T11" s="78"/>
      <c r="Y11" s="107"/>
    </row>
    <row r="12" spans="1:25" x14ac:dyDescent="0.2">
      <c r="B12" s="71">
        <f>+B11+1</f>
        <v>2</v>
      </c>
      <c r="C12" s="64"/>
      <c r="D12" s="63" t="s">
        <v>38</v>
      </c>
      <c r="E12" s="64"/>
      <c r="F12" s="72">
        <v>111251046</v>
      </c>
      <c r="G12" s="64"/>
      <c r="H12" s="73">
        <f>ROUND(F12/$F$16,4)</f>
        <v>6.1400000000000003E-2</v>
      </c>
      <c r="I12" s="64"/>
      <c r="J12" s="74">
        <v>3.73E-2</v>
      </c>
      <c r="K12" s="75"/>
      <c r="L12" s="64"/>
      <c r="M12" s="73">
        <f>ROUND(H12*J12,4)</f>
        <v>2.3E-3</v>
      </c>
      <c r="N12" s="64"/>
      <c r="O12" s="76">
        <f>O38</f>
        <v>1.0055229999999999</v>
      </c>
      <c r="P12" s="64"/>
      <c r="Q12" s="63"/>
      <c r="R12" s="64"/>
      <c r="S12" s="77">
        <f>ROUND(M12*O12,6)</f>
        <v>2.313E-3</v>
      </c>
      <c r="T12" s="78"/>
      <c r="Y12" s="107"/>
    </row>
    <row r="13" spans="1:25" ht="25.5" x14ac:dyDescent="0.2">
      <c r="B13" s="71">
        <f>+B12+1</f>
        <v>3</v>
      </c>
      <c r="C13" s="64"/>
      <c r="D13" s="79" t="s">
        <v>39</v>
      </c>
      <c r="E13" s="64"/>
      <c r="F13" s="72">
        <v>0</v>
      </c>
      <c r="G13" s="64"/>
      <c r="H13" s="73">
        <f>ROUND(F13/$F$16,4)</f>
        <v>0</v>
      </c>
      <c r="I13" s="64"/>
      <c r="J13" s="74">
        <v>0</v>
      </c>
      <c r="K13" s="75"/>
      <c r="L13" s="64"/>
      <c r="M13" s="73">
        <f>ROUND(H13*J13,4)</f>
        <v>0</v>
      </c>
      <c r="N13" s="64"/>
      <c r="O13" s="76">
        <f>O38</f>
        <v>1.0055229999999999</v>
      </c>
      <c r="P13" s="64"/>
      <c r="Q13" s="63"/>
      <c r="R13" s="64"/>
      <c r="S13" s="77">
        <f>ROUND(M13*O13,6)</f>
        <v>0</v>
      </c>
      <c r="T13" s="78"/>
      <c r="Y13" s="107"/>
    </row>
    <row r="14" spans="1:25" x14ac:dyDescent="0.2">
      <c r="B14" s="71">
        <f>+B13+1</f>
        <v>4</v>
      </c>
      <c r="C14" s="64"/>
      <c r="D14" s="63" t="s">
        <v>40</v>
      </c>
      <c r="E14" s="64"/>
      <c r="F14" s="72">
        <v>747579969</v>
      </c>
      <c r="G14" s="64"/>
      <c r="H14" s="73">
        <f>ROUND(F14/$F$16,4)</f>
        <v>0.41239999999999999</v>
      </c>
      <c r="I14" s="64"/>
      <c r="J14" s="80">
        <v>9.6500000000000002E-2</v>
      </c>
      <c r="K14" s="71"/>
      <c r="L14" s="64"/>
      <c r="M14" s="73">
        <f>ROUND(H14*J14,4)</f>
        <v>3.9800000000000002E-2</v>
      </c>
      <c r="N14" s="64"/>
      <c r="O14" s="81">
        <f>S38</f>
        <v>1.339896</v>
      </c>
      <c r="P14" s="64"/>
      <c r="Q14" s="62"/>
      <c r="R14" s="64"/>
      <c r="S14" s="77">
        <f>ROUND(M14*O14,6)</f>
        <v>5.3328E-2</v>
      </c>
      <c r="T14" s="78"/>
      <c r="Y14" s="107"/>
    </row>
    <row r="15" spans="1:25" x14ac:dyDescent="0.2">
      <c r="B15" s="71"/>
      <c r="C15" s="64"/>
      <c r="D15" s="63"/>
      <c r="E15" s="64"/>
      <c r="F15" s="72"/>
      <c r="G15" s="64"/>
      <c r="H15" s="82"/>
      <c r="I15" s="64"/>
      <c r="J15" s="83"/>
      <c r="K15" s="75"/>
      <c r="L15" s="64"/>
      <c r="M15" s="73"/>
      <c r="N15" s="64"/>
      <c r="O15" s="62"/>
      <c r="P15" s="64"/>
      <c r="Q15" s="63"/>
      <c r="R15" s="64"/>
      <c r="S15" s="84"/>
      <c r="T15" s="85"/>
    </row>
    <row r="16" spans="1:25" x14ac:dyDescent="0.2">
      <c r="B16" s="71">
        <f>+B14+1</f>
        <v>5</v>
      </c>
      <c r="C16" s="64"/>
      <c r="D16" s="63" t="s">
        <v>41</v>
      </c>
      <c r="E16" s="64"/>
      <c r="F16" s="86">
        <f>SUM(F11:F14)</f>
        <v>1812539575</v>
      </c>
      <c r="G16" s="64"/>
      <c r="H16" s="87">
        <f>SUM(H11:H14)</f>
        <v>1</v>
      </c>
      <c r="I16" s="64"/>
      <c r="J16" s="83"/>
      <c r="K16" s="75"/>
      <c r="L16" s="64"/>
      <c r="M16" s="87">
        <f>ROUND(SUM(M11:M15),4)</f>
        <v>6.7900000000000002E-2</v>
      </c>
      <c r="N16" s="64"/>
      <c r="O16" s="63"/>
      <c r="P16" s="64"/>
      <c r="Q16" s="63"/>
      <c r="R16" s="64"/>
      <c r="S16" s="88">
        <f>ROUND(SUM(S11:S15),4)</f>
        <v>8.1600000000000006E-2</v>
      </c>
      <c r="T16" s="89"/>
    </row>
    <row r="17" spans="2:21" x14ac:dyDescent="0.2">
      <c r="B17" s="71"/>
      <c r="C17" s="64"/>
      <c r="D17" s="63"/>
      <c r="E17" s="64"/>
      <c r="F17" s="63"/>
      <c r="G17" s="64"/>
      <c r="H17" s="63"/>
      <c r="I17" s="64"/>
      <c r="J17" s="63"/>
      <c r="K17" s="75"/>
      <c r="L17" s="64"/>
      <c r="M17" s="63"/>
      <c r="N17" s="64"/>
      <c r="O17" s="63"/>
      <c r="P17" s="64"/>
      <c r="Q17" s="63"/>
      <c r="R17" s="64"/>
      <c r="S17" s="90"/>
    </row>
    <row r="18" spans="2:21" ht="13.5" thickBot="1" x14ac:dyDescent="0.25">
      <c r="B18" s="91"/>
      <c r="C18" s="92"/>
      <c r="D18" s="93"/>
      <c r="E18" s="92"/>
      <c r="F18" s="93"/>
      <c r="G18" s="92"/>
      <c r="H18" s="93"/>
      <c r="I18" s="92"/>
      <c r="J18" s="93"/>
      <c r="K18" s="94"/>
      <c r="L18" s="92"/>
      <c r="M18" s="93"/>
      <c r="N18" s="92"/>
      <c r="O18" s="93"/>
      <c r="P18" s="92"/>
      <c r="Q18" s="93"/>
      <c r="R18" s="92"/>
      <c r="S18" s="95"/>
    </row>
    <row r="19" spans="2:21" x14ac:dyDescent="0.2">
      <c r="N19" s="96"/>
      <c r="P19" s="96"/>
    </row>
    <row r="20" spans="2:21" ht="12" customHeight="1" x14ac:dyDescent="0.2">
      <c r="N20" s="96"/>
      <c r="P20" s="96"/>
    </row>
    <row r="21" spans="2:21" ht="12" customHeight="1" x14ac:dyDescent="0.2">
      <c r="N21" s="97"/>
      <c r="O21" s="97" t="s">
        <v>42</v>
      </c>
      <c r="P21" s="97"/>
      <c r="S21" s="97" t="s">
        <v>43</v>
      </c>
    </row>
    <row r="22" spans="2:21" ht="12" customHeight="1" x14ac:dyDescent="0.2">
      <c r="B22" s="62">
        <v>6</v>
      </c>
      <c r="C22" s="63"/>
      <c r="D22" s="63" t="s">
        <v>44</v>
      </c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98">
        <v>100</v>
      </c>
      <c r="P22" s="63"/>
      <c r="Q22" s="63"/>
      <c r="R22" s="63"/>
      <c r="S22" s="99">
        <f>O22</f>
        <v>100</v>
      </c>
      <c r="T22" s="63"/>
      <c r="U22" s="63"/>
    </row>
    <row r="23" spans="2:21" ht="12" customHeight="1" x14ac:dyDescent="0.2">
      <c r="B23" s="62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100"/>
      <c r="T23" s="63"/>
      <c r="U23" s="63"/>
    </row>
    <row r="24" spans="2:21" x14ac:dyDescent="0.2">
      <c r="B24" s="62">
        <v>7</v>
      </c>
      <c r="C24" s="63"/>
      <c r="D24" s="63" t="s">
        <v>45</v>
      </c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101">
        <v>0.4</v>
      </c>
      <c r="P24" s="63"/>
      <c r="Q24" s="63"/>
      <c r="R24" s="63"/>
      <c r="S24" s="100">
        <f>O24</f>
        <v>0.4</v>
      </c>
      <c r="T24" s="63"/>
      <c r="U24" s="63"/>
    </row>
    <row r="25" spans="2:21" x14ac:dyDescent="0.2">
      <c r="B25" s="62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100"/>
      <c r="T25" s="63"/>
      <c r="U25" s="63"/>
    </row>
    <row r="26" spans="2:21" x14ac:dyDescent="0.2">
      <c r="B26" s="62">
        <v>8</v>
      </c>
      <c r="C26" s="63"/>
      <c r="D26" s="63" t="s">
        <v>46</v>
      </c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>
        <v>0.14929999999999999</v>
      </c>
      <c r="P26" s="63"/>
      <c r="Q26" s="63"/>
      <c r="R26" s="63"/>
      <c r="S26" s="100">
        <f>O26</f>
        <v>0.14929999999999999</v>
      </c>
      <c r="T26" s="63"/>
      <c r="U26" s="63"/>
    </row>
    <row r="27" spans="2:21" x14ac:dyDescent="0.2">
      <c r="B27" s="62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 t="s">
        <v>0</v>
      </c>
      <c r="P27" s="63"/>
      <c r="Q27" s="63"/>
      <c r="R27" s="63"/>
      <c r="S27" s="100"/>
      <c r="T27" s="63"/>
      <c r="U27" s="63"/>
    </row>
    <row r="28" spans="2:21" x14ac:dyDescent="0.2">
      <c r="B28" s="62">
        <v>9</v>
      </c>
      <c r="C28" s="63"/>
      <c r="D28" s="63" t="s">
        <v>47</v>
      </c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101">
        <f>O22-O24-O26</f>
        <v>99.450699999999998</v>
      </c>
      <c r="P28" s="63"/>
      <c r="Q28" s="63"/>
      <c r="R28" s="63"/>
      <c r="S28" s="100">
        <f>S22-S24-S26</f>
        <v>99.450699999999998</v>
      </c>
      <c r="T28" s="63"/>
      <c r="U28" s="63"/>
    </row>
    <row r="29" spans="2:21" x14ac:dyDescent="0.2">
      <c r="B29" s="62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100"/>
      <c r="T29" s="63"/>
      <c r="U29" s="63"/>
    </row>
    <row r="30" spans="2:21" x14ac:dyDescent="0.2">
      <c r="B30" s="62">
        <v>10</v>
      </c>
      <c r="C30" s="63"/>
      <c r="D30" s="63" t="s">
        <v>66</v>
      </c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102">
        <v>5.0064999999999998E-2</v>
      </c>
      <c r="P30" s="63"/>
      <c r="Q30" s="63"/>
      <c r="R30" s="63"/>
      <c r="S30" s="100">
        <f>ROUND(S28*O30,6)</f>
        <v>4.978999</v>
      </c>
      <c r="T30" s="63"/>
      <c r="U30" s="63"/>
    </row>
    <row r="31" spans="2:21" x14ac:dyDescent="0.2">
      <c r="B31" s="62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2"/>
      <c r="P31" s="63"/>
      <c r="Q31" s="63"/>
      <c r="R31" s="63"/>
      <c r="S31" s="100"/>
      <c r="T31" s="63"/>
      <c r="U31" s="63"/>
    </row>
    <row r="32" spans="2:21" x14ac:dyDescent="0.2">
      <c r="B32" s="62">
        <v>11</v>
      </c>
      <c r="C32" s="63"/>
      <c r="D32" s="63" t="s">
        <v>67</v>
      </c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2"/>
      <c r="P32" s="63"/>
      <c r="Q32" s="63"/>
      <c r="R32" s="63"/>
      <c r="S32" s="100">
        <f>S28-S30</f>
        <v>94.471700999999996</v>
      </c>
      <c r="T32" s="63"/>
      <c r="U32" s="63"/>
    </row>
    <row r="33" spans="1:21" x14ac:dyDescent="0.2">
      <c r="B33" s="62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100"/>
      <c r="T33" s="63"/>
      <c r="U33" s="63"/>
    </row>
    <row r="34" spans="1:21" x14ac:dyDescent="0.2">
      <c r="B34" s="62">
        <v>12</v>
      </c>
      <c r="C34" s="63"/>
      <c r="D34" s="63" t="s">
        <v>68</v>
      </c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103">
        <f>S32*0.21</f>
        <v>19.83905721</v>
      </c>
      <c r="T34" s="63"/>
      <c r="U34" s="63"/>
    </row>
    <row r="35" spans="1:21" x14ac:dyDescent="0.2">
      <c r="B35" s="62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100"/>
      <c r="T35" s="63"/>
      <c r="U35" s="63"/>
    </row>
    <row r="36" spans="1:21" x14ac:dyDescent="0.2">
      <c r="B36" s="62">
        <v>13</v>
      </c>
      <c r="C36" s="63"/>
      <c r="D36" s="63" t="s">
        <v>48</v>
      </c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100">
        <f>S32-S34</f>
        <v>74.632643790000003</v>
      </c>
      <c r="T36" s="63"/>
      <c r="U36" s="63"/>
    </row>
    <row r="37" spans="1:21" x14ac:dyDescent="0.2"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104"/>
      <c r="T37" s="63"/>
      <c r="U37" s="63"/>
    </row>
    <row r="38" spans="1:21" x14ac:dyDescent="0.2">
      <c r="B38" s="62">
        <v>14</v>
      </c>
      <c r="C38" s="63"/>
      <c r="D38" s="63" t="s">
        <v>49</v>
      </c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105">
        <f>ROUND(100/O28,6)</f>
        <v>1.0055229999999999</v>
      </c>
      <c r="P38" s="63"/>
      <c r="Q38" s="63"/>
      <c r="R38" s="63"/>
      <c r="S38" s="106">
        <f>ROUND(100/S36,6)</f>
        <v>1.339896</v>
      </c>
      <c r="T38" s="63"/>
      <c r="U38" s="63"/>
    </row>
    <row r="39" spans="1:21" x14ac:dyDescent="0.2">
      <c r="B39" s="62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2"/>
      <c r="O39" s="62"/>
      <c r="P39" s="62"/>
      <c r="Q39" s="62"/>
      <c r="R39" s="62"/>
      <c r="S39" s="62"/>
      <c r="T39" s="63"/>
      <c r="U39" s="63"/>
    </row>
    <row r="40" spans="1:21" x14ac:dyDescent="0.2">
      <c r="B40" s="62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2"/>
      <c r="O40" s="62"/>
      <c r="P40" s="62"/>
      <c r="Q40" s="62"/>
      <c r="R40" s="62"/>
      <c r="S40" s="62"/>
      <c r="T40" s="63"/>
      <c r="U40" s="63"/>
    </row>
    <row r="41" spans="1:21" x14ac:dyDescent="0.2">
      <c r="B41" s="62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2"/>
      <c r="O41" s="62"/>
      <c r="P41" s="62"/>
      <c r="Q41" s="62"/>
      <c r="R41" s="62"/>
      <c r="S41" s="62"/>
      <c r="T41" s="63"/>
      <c r="U41" s="63"/>
    </row>
    <row r="42" spans="1:21" x14ac:dyDescent="0.2">
      <c r="A42" s="112"/>
      <c r="B42" s="62"/>
      <c r="C42" s="63"/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63"/>
      <c r="U42" s="63"/>
    </row>
    <row r="43" spans="1:21" x14ac:dyDescent="0.2">
      <c r="A43" s="112"/>
      <c r="B43" s="62"/>
      <c r="C43" s="6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63"/>
      <c r="U43" s="63"/>
    </row>
    <row r="44" spans="1:21" ht="33" customHeight="1" x14ac:dyDescent="0.2">
      <c r="A44" s="114"/>
      <c r="B44" s="115"/>
      <c r="C44" s="63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63"/>
      <c r="U44" s="63"/>
    </row>
    <row r="45" spans="1:21" x14ac:dyDescent="0.2">
      <c r="B45" s="62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2"/>
      <c r="O45" s="62"/>
      <c r="P45" s="62"/>
      <c r="Q45" s="62"/>
      <c r="R45" s="62"/>
      <c r="S45" s="62"/>
      <c r="T45" s="63"/>
      <c r="U45" s="63"/>
    </row>
    <row r="46" spans="1:21" ht="30" customHeight="1" x14ac:dyDescent="0.2">
      <c r="B46" s="58" t="s">
        <v>0</v>
      </c>
      <c r="C46" s="115"/>
      <c r="D46" s="63"/>
      <c r="E46" s="63"/>
      <c r="F46" s="63"/>
      <c r="G46" s="63"/>
      <c r="H46" s="63"/>
    </row>
    <row r="48" spans="1:21" x14ac:dyDescent="0.2">
      <c r="B48" s="115"/>
      <c r="C48" s="115"/>
      <c r="D48" s="63"/>
      <c r="E48" s="63"/>
      <c r="F48" s="63"/>
      <c r="G48" s="63"/>
      <c r="H48" s="63"/>
    </row>
    <row r="49" spans="2:8" x14ac:dyDescent="0.2">
      <c r="B49" s="62"/>
      <c r="C49" s="63"/>
      <c r="D49" s="63"/>
      <c r="E49" s="63"/>
      <c r="F49" s="63"/>
      <c r="G49" s="63"/>
      <c r="H49" s="63"/>
    </row>
  </sheetData>
  <mergeCells count="5">
    <mergeCell ref="B2:S2"/>
    <mergeCell ref="B3:S3"/>
    <mergeCell ref="B4:S4"/>
    <mergeCell ref="D42:S42"/>
    <mergeCell ref="D44:S44"/>
  </mergeCells>
  <printOptions horizontalCentered="1"/>
  <pageMargins left="0.7" right="0.7" top="0.75" bottom="0.75" header="0.3" footer="0.3"/>
  <pageSetup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CBDB0-0B3B-4D1D-B914-EF3AE1F95551}">
  <dimension ref="A1:M93"/>
  <sheetViews>
    <sheetView workbookViewId="0">
      <pane ySplit="3" topLeftCell="A4" activePane="bottomLeft" state="frozen"/>
      <selection pane="bottomLeft" activeCell="R65" sqref="R65"/>
    </sheetView>
  </sheetViews>
  <sheetFormatPr defaultColWidth="9.140625" defaultRowHeight="12.75" x14ac:dyDescent="0.2"/>
  <cols>
    <col min="1" max="1" width="6.140625" style="9" bestFit="1" customWidth="1"/>
    <col min="2" max="2" width="18.140625" style="9" bestFit="1" customWidth="1"/>
    <col min="3" max="3" width="15.7109375" style="9" customWidth="1"/>
    <col min="4" max="4" width="16.42578125" style="9" bestFit="1" customWidth="1"/>
    <col min="5" max="5" width="12.85546875" style="9" bestFit="1" customWidth="1"/>
    <col min="6" max="6" width="11.28515625" style="9" customWidth="1"/>
    <col min="7" max="7" width="5" style="9" customWidth="1"/>
    <col min="8" max="8" width="10.28515625" style="9" bestFit="1" customWidth="1"/>
    <col min="9" max="9" width="12.42578125" style="9" bestFit="1" customWidth="1"/>
    <col min="10" max="10" width="9.140625" style="9"/>
    <col min="11" max="11" width="12.5703125" style="9" bestFit="1" customWidth="1"/>
    <col min="12" max="16384" width="9.140625" style="9"/>
  </cols>
  <sheetData>
    <row r="1" spans="1:13" s="15" customFormat="1" x14ac:dyDescent="0.2">
      <c r="A1" s="15" t="s">
        <v>86</v>
      </c>
      <c r="K1" s="9"/>
    </row>
    <row r="2" spans="1:13" x14ac:dyDescent="0.2">
      <c r="C2" s="140"/>
      <c r="D2" s="141"/>
      <c r="E2" s="140"/>
      <c r="F2" s="140"/>
      <c r="G2" s="140"/>
    </row>
    <row r="3" spans="1:13" s="144" customFormat="1" ht="25.5" x14ac:dyDescent="0.2">
      <c r="A3" s="142" t="s">
        <v>87</v>
      </c>
      <c r="B3" s="142" t="s">
        <v>87</v>
      </c>
      <c r="C3" s="143" t="s">
        <v>88</v>
      </c>
      <c r="D3" s="143" t="s">
        <v>89</v>
      </c>
      <c r="E3" s="143" t="s">
        <v>90</v>
      </c>
      <c r="F3" s="143" t="s">
        <v>91</v>
      </c>
      <c r="H3" s="144" t="s">
        <v>92</v>
      </c>
      <c r="I3" s="144" t="s">
        <v>93</v>
      </c>
      <c r="J3" s="144" t="s">
        <v>94</v>
      </c>
      <c r="L3" s="144" t="s">
        <v>192</v>
      </c>
    </row>
    <row r="4" spans="1:13" x14ac:dyDescent="0.2">
      <c r="A4" s="9">
        <v>11</v>
      </c>
      <c r="B4" s="9" t="s">
        <v>95</v>
      </c>
      <c r="C4" s="145">
        <v>309433.67</v>
      </c>
      <c r="D4" s="146">
        <v>2140902</v>
      </c>
      <c r="E4" s="147">
        <v>0</v>
      </c>
      <c r="F4" s="146">
        <v>130.833333333333</v>
      </c>
      <c r="K4" s="107"/>
      <c r="L4" s="9">
        <v>11</v>
      </c>
      <c r="M4" s="9" t="str">
        <f>IF(L4=A4,"Yes","No")</f>
        <v>Yes</v>
      </c>
    </row>
    <row r="5" spans="1:13" x14ac:dyDescent="0.2">
      <c r="A5" s="9">
        <v>12</v>
      </c>
      <c r="B5" s="9" t="s">
        <v>96</v>
      </c>
      <c r="C5" s="145">
        <v>26229.87</v>
      </c>
      <c r="D5" s="146">
        <v>187456</v>
      </c>
      <c r="E5" s="147">
        <v>0</v>
      </c>
      <c r="F5" s="146">
        <v>10</v>
      </c>
      <c r="K5" s="107"/>
      <c r="L5" s="9">
        <v>12</v>
      </c>
      <c r="M5" s="9" t="str">
        <f t="shared" ref="M5:M67" si="0">IF(L5=A5,"Yes","No")</f>
        <v>Yes</v>
      </c>
    </row>
    <row r="6" spans="1:13" x14ac:dyDescent="0.2">
      <c r="A6" s="9">
        <v>13</v>
      </c>
      <c r="B6" s="9" t="s">
        <v>97</v>
      </c>
      <c r="C6" s="145">
        <v>2897.52</v>
      </c>
      <c r="D6" s="146">
        <v>20806</v>
      </c>
      <c r="E6" s="147">
        <v>0</v>
      </c>
      <c r="F6" s="146">
        <v>1</v>
      </c>
      <c r="K6" s="107"/>
      <c r="L6" s="9">
        <v>13</v>
      </c>
      <c r="M6" s="9" t="str">
        <f t="shared" si="0"/>
        <v>Yes</v>
      </c>
    </row>
    <row r="7" spans="1:13" x14ac:dyDescent="0.2">
      <c r="A7" s="9">
        <v>14</v>
      </c>
      <c r="B7" s="9" t="s">
        <v>98</v>
      </c>
      <c r="C7" s="145">
        <v>31650.04</v>
      </c>
      <c r="D7" s="146">
        <v>227541</v>
      </c>
      <c r="E7" s="147">
        <v>0</v>
      </c>
      <c r="F7" s="146">
        <v>13.083333333333</v>
      </c>
      <c r="K7" s="107"/>
      <c r="L7" s="9">
        <v>14</v>
      </c>
      <c r="M7" s="9" t="str">
        <f t="shared" si="0"/>
        <v>Yes</v>
      </c>
    </row>
    <row r="8" spans="1:13" x14ac:dyDescent="0.2">
      <c r="A8" s="9">
        <v>15</v>
      </c>
      <c r="B8" s="9" t="s">
        <v>99</v>
      </c>
      <c r="C8" s="145">
        <v>135630079.31</v>
      </c>
      <c r="D8" s="146">
        <v>881090512</v>
      </c>
      <c r="E8" s="147">
        <v>10658.6</v>
      </c>
      <c r="F8" s="146">
        <v>65808.333333333299</v>
      </c>
      <c r="K8" s="107"/>
      <c r="L8" s="9">
        <v>15</v>
      </c>
      <c r="M8" s="9" t="str">
        <f t="shared" si="0"/>
        <v>Yes</v>
      </c>
    </row>
    <row r="9" spans="1:13" x14ac:dyDescent="0.2">
      <c r="A9" s="9">
        <v>17</v>
      </c>
      <c r="B9" s="9" t="s">
        <v>100</v>
      </c>
      <c r="C9" s="145">
        <v>610048.94999999995</v>
      </c>
      <c r="D9" s="146">
        <v>4076371</v>
      </c>
      <c r="E9" s="147">
        <v>0</v>
      </c>
      <c r="F9" s="146">
        <v>235.166666666667</v>
      </c>
      <c r="K9" s="107"/>
      <c r="L9" s="9">
        <v>17</v>
      </c>
      <c r="M9" s="9" t="str">
        <f t="shared" si="0"/>
        <v>Yes</v>
      </c>
    </row>
    <row r="10" spans="1:13" x14ac:dyDescent="0.2">
      <c r="A10" s="9">
        <v>22</v>
      </c>
      <c r="B10" s="9" t="s">
        <v>101</v>
      </c>
      <c r="C10" s="145">
        <v>148085612.90000001</v>
      </c>
      <c r="D10" s="146">
        <v>974135381</v>
      </c>
      <c r="E10" s="147">
        <v>19188</v>
      </c>
      <c r="F10" s="146">
        <v>64397.166666666701</v>
      </c>
      <c r="K10" s="107"/>
      <c r="L10" s="9">
        <v>22</v>
      </c>
      <c r="M10" s="9" t="str">
        <f t="shared" si="0"/>
        <v>Yes</v>
      </c>
    </row>
    <row r="11" spans="1:13" x14ac:dyDescent="0.2">
      <c r="A11" s="9">
        <v>28</v>
      </c>
      <c r="B11" s="9" t="s">
        <v>102</v>
      </c>
      <c r="C11" s="145">
        <v>19422.91</v>
      </c>
      <c r="D11" s="146">
        <v>135750</v>
      </c>
      <c r="E11" s="147">
        <v>0</v>
      </c>
      <c r="F11" s="146">
        <v>6</v>
      </c>
      <c r="K11" s="107"/>
      <c r="L11" s="9">
        <v>28</v>
      </c>
      <c r="M11" s="9" t="str">
        <f t="shared" si="0"/>
        <v>Yes</v>
      </c>
    </row>
    <row r="12" spans="1:13" x14ac:dyDescent="0.2">
      <c r="A12" s="9">
        <v>30</v>
      </c>
      <c r="B12" s="9" t="s">
        <v>103</v>
      </c>
      <c r="C12" s="145">
        <v>190838.58</v>
      </c>
      <c r="D12" s="146">
        <v>1306887</v>
      </c>
      <c r="E12" s="147">
        <v>0</v>
      </c>
      <c r="F12" s="146">
        <v>61.166666666666003</v>
      </c>
      <c r="K12" s="107"/>
      <c r="L12" s="9">
        <v>30</v>
      </c>
      <c r="M12" s="9" t="str">
        <f t="shared" si="0"/>
        <v>Yes</v>
      </c>
    </row>
    <row r="13" spans="1:13" x14ac:dyDescent="0.2">
      <c r="A13" s="9">
        <v>32</v>
      </c>
      <c r="B13" s="9" t="s">
        <v>104</v>
      </c>
      <c r="C13" s="145">
        <v>192453.23</v>
      </c>
      <c r="D13" s="146">
        <v>1299465</v>
      </c>
      <c r="E13" s="147">
        <v>0</v>
      </c>
      <c r="F13" s="146">
        <v>70.166666666666003</v>
      </c>
      <c r="K13" s="107"/>
      <c r="L13" s="9">
        <v>32</v>
      </c>
      <c r="M13" s="9" t="str">
        <f t="shared" si="0"/>
        <v>Yes</v>
      </c>
    </row>
    <row r="14" spans="1:13" x14ac:dyDescent="0.2">
      <c r="A14" s="9">
        <v>34</v>
      </c>
      <c r="B14" s="9" t="s">
        <v>105</v>
      </c>
      <c r="C14" s="145">
        <v>1722.48</v>
      </c>
      <c r="D14" s="9">
        <v>11887</v>
      </c>
      <c r="E14" s="147">
        <v>0</v>
      </c>
      <c r="F14" s="146">
        <v>2</v>
      </c>
      <c r="K14" s="107"/>
      <c r="L14" s="9">
        <v>34</v>
      </c>
      <c r="M14" s="9" t="str">
        <f t="shared" si="0"/>
        <v>Yes</v>
      </c>
    </row>
    <row r="15" spans="1:13" x14ac:dyDescent="0.2">
      <c r="A15" s="9">
        <v>36</v>
      </c>
      <c r="B15" s="9" t="s">
        <v>106</v>
      </c>
      <c r="C15" s="145">
        <v>28416.080000000002</v>
      </c>
      <c r="D15" s="146">
        <v>194116</v>
      </c>
      <c r="E15" s="147">
        <v>0</v>
      </c>
      <c r="F15" s="146">
        <v>7.833333333333</v>
      </c>
      <c r="L15" s="9">
        <v>36</v>
      </c>
      <c r="M15" s="9" t="str">
        <f t="shared" si="0"/>
        <v>Yes</v>
      </c>
    </row>
    <row r="16" spans="1:13" x14ac:dyDescent="0.2">
      <c r="A16" s="148"/>
      <c r="B16" s="148" t="s">
        <v>107</v>
      </c>
      <c r="C16" s="149">
        <f>SUM(C4:C15)</f>
        <v>285128805.54000002</v>
      </c>
      <c r="D16" s="149">
        <f>SUM(D4:D15)</f>
        <v>1864827074</v>
      </c>
      <c r="E16" s="149">
        <f>SUM(E4:E15)</f>
        <v>29846.6</v>
      </c>
      <c r="F16" s="150">
        <f>SUM(F4:F15)</f>
        <v>130742.75000000001</v>
      </c>
      <c r="G16" s="148"/>
      <c r="H16" s="150">
        <f>ROUND((D16/F16)/12,0)</f>
        <v>1189</v>
      </c>
      <c r="I16" s="151">
        <f>(C16/F16)/12</f>
        <v>181.73653066804852</v>
      </c>
      <c r="J16" s="205">
        <f>(E16/F16)/12</f>
        <v>1.902374446511693E-2</v>
      </c>
      <c r="K16" s="107"/>
    </row>
    <row r="17" spans="1:13" x14ac:dyDescent="0.2">
      <c r="A17" s="9">
        <v>93</v>
      </c>
      <c r="B17" s="9" t="s">
        <v>108</v>
      </c>
      <c r="C17" s="152">
        <v>67206.98</v>
      </c>
      <c r="D17" s="146">
        <v>291986</v>
      </c>
      <c r="E17" s="147">
        <v>0</v>
      </c>
      <c r="F17" s="146">
        <v>334.75</v>
      </c>
      <c r="L17" s="9">
        <v>93</v>
      </c>
      <c r="M17" s="9" t="str">
        <f t="shared" si="0"/>
        <v>Yes</v>
      </c>
    </row>
    <row r="18" spans="1:13" x14ac:dyDescent="0.2">
      <c r="A18" s="9">
        <v>94</v>
      </c>
      <c r="B18" s="9" t="s">
        <v>109</v>
      </c>
      <c r="C18" s="152">
        <v>1708993.68</v>
      </c>
      <c r="D18" s="146">
        <v>5498472</v>
      </c>
      <c r="E18" s="147">
        <v>0</v>
      </c>
      <c r="F18" s="146">
        <v>11147.333333333299</v>
      </c>
      <c r="L18" s="9">
        <v>94</v>
      </c>
      <c r="M18" s="9" t="str">
        <f t="shared" si="0"/>
        <v>Yes</v>
      </c>
    </row>
    <row r="19" spans="1:13" x14ac:dyDescent="0.2">
      <c r="A19" s="9">
        <v>95</v>
      </c>
      <c r="B19" s="9" t="s">
        <v>110</v>
      </c>
      <c r="C19" s="152">
        <v>21513.34</v>
      </c>
      <c r="D19" s="146">
        <v>112854</v>
      </c>
      <c r="E19" s="147">
        <v>0</v>
      </c>
      <c r="F19" s="146">
        <v>45.083333333333002</v>
      </c>
      <c r="L19" s="9">
        <v>95</v>
      </c>
      <c r="M19" s="9" t="str">
        <f t="shared" si="0"/>
        <v>Yes</v>
      </c>
    </row>
    <row r="20" spans="1:13" x14ac:dyDescent="0.2">
      <c r="A20" s="9">
        <v>97</v>
      </c>
      <c r="B20" s="9" t="s">
        <v>111</v>
      </c>
      <c r="C20" s="152">
        <v>288033.3</v>
      </c>
      <c r="D20" s="146">
        <v>1287281</v>
      </c>
      <c r="E20" s="147">
        <v>0</v>
      </c>
      <c r="F20" s="146">
        <v>1005.41666666667</v>
      </c>
      <c r="L20" s="9">
        <v>97</v>
      </c>
      <c r="M20" s="9" t="str">
        <f t="shared" si="0"/>
        <v>Yes</v>
      </c>
    </row>
    <row r="21" spans="1:13" x14ac:dyDescent="0.2">
      <c r="A21" s="9">
        <v>98</v>
      </c>
      <c r="B21" s="9" t="s">
        <v>112</v>
      </c>
      <c r="C21" s="152">
        <v>82216.45</v>
      </c>
      <c r="D21" s="146">
        <v>430846</v>
      </c>
      <c r="E21" s="147">
        <v>0</v>
      </c>
      <c r="F21" s="146">
        <v>89.166666666666003</v>
      </c>
      <c r="L21" s="9">
        <v>98</v>
      </c>
      <c r="M21" s="9" t="str">
        <f t="shared" si="0"/>
        <v>Yes</v>
      </c>
    </row>
    <row r="22" spans="1:13" x14ac:dyDescent="0.2">
      <c r="A22" s="9">
        <v>99</v>
      </c>
      <c r="B22" s="9" t="s">
        <v>113</v>
      </c>
      <c r="C22" s="152">
        <v>1088.1199999999999</v>
      </c>
      <c r="D22" s="9">
        <v>4189</v>
      </c>
      <c r="E22" s="147">
        <v>0</v>
      </c>
      <c r="F22" s="146">
        <v>3</v>
      </c>
      <c r="L22" s="9">
        <v>99</v>
      </c>
      <c r="M22" s="9" t="str">
        <f t="shared" si="0"/>
        <v>Yes</v>
      </c>
    </row>
    <row r="23" spans="1:13" x14ac:dyDescent="0.2">
      <c r="A23" s="9">
        <v>103</v>
      </c>
      <c r="B23" s="185" t="s">
        <v>114</v>
      </c>
      <c r="C23" s="152">
        <v>888.91</v>
      </c>
      <c r="D23" s="9">
        <v>3599</v>
      </c>
      <c r="E23" s="147">
        <v>0</v>
      </c>
      <c r="F23" s="146">
        <v>2</v>
      </c>
      <c r="L23" s="9">
        <v>103</v>
      </c>
      <c r="M23" s="9" t="str">
        <f t="shared" si="0"/>
        <v>Yes</v>
      </c>
    </row>
    <row r="24" spans="1:13" x14ac:dyDescent="0.2">
      <c r="A24" s="9">
        <v>107</v>
      </c>
      <c r="B24" s="9" t="s">
        <v>115</v>
      </c>
      <c r="C24" s="152">
        <v>346638.36</v>
      </c>
      <c r="D24" s="146">
        <v>1381667</v>
      </c>
      <c r="E24" s="147">
        <v>0</v>
      </c>
      <c r="F24" s="146">
        <v>1011.5</v>
      </c>
      <c r="L24" s="9">
        <v>107</v>
      </c>
      <c r="M24" s="9" t="str">
        <f t="shared" si="0"/>
        <v>Yes</v>
      </c>
    </row>
    <row r="25" spans="1:13" x14ac:dyDescent="0.2">
      <c r="A25" s="9">
        <v>109</v>
      </c>
      <c r="B25" s="9" t="s">
        <v>116</v>
      </c>
      <c r="C25" s="152">
        <v>1236593.18</v>
      </c>
      <c r="D25" s="146">
        <v>6299424</v>
      </c>
      <c r="E25" s="147">
        <v>0</v>
      </c>
      <c r="F25" s="146">
        <v>1416.8333333333301</v>
      </c>
      <c r="L25" s="9">
        <v>109</v>
      </c>
      <c r="M25" s="9" t="str">
        <f t="shared" si="0"/>
        <v>Yes</v>
      </c>
    </row>
    <row r="26" spans="1:13" x14ac:dyDescent="0.2">
      <c r="A26" s="9">
        <v>110</v>
      </c>
      <c r="B26" s="9" t="s">
        <v>117</v>
      </c>
      <c r="C26" s="152">
        <v>31787.200000000001</v>
      </c>
      <c r="D26" s="146">
        <v>119842</v>
      </c>
      <c r="E26" s="147">
        <v>0</v>
      </c>
      <c r="F26" s="146">
        <v>58.666666666666003</v>
      </c>
      <c r="L26" s="9">
        <v>110</v>
      </c>
      <c r="M26" s="9" t="str">
        <f t="shared" si="0"/>
        <v>Yes</v>
      </c>
    </row>
    <row r="27" spans="1:13" x14ac:dyDescent="0.2">
      <c r="A27" s="9">
        <v>111</v>
      </c>
      <c r="B27" s="9" t="s">
        <v>118</v>
      </c>
      <c r="C27" s="152">
        <v>165681.91</v>
      </c>
      <c r="D27" s="146">
        <v>312839</v>
      </c>
      <c r="E27" s="147">
        <v>0</v>
      </c>
      <c r="F27" s="146">
        <v>196.666666666667</v>
      </c>
      <c r="L27" s="9">
        <v>111</v>
      </c>
      <c r="M27" s="9" t="str">
        <f t="shared" si="0"/>
        <v>Yes</v>
      </c>
    </row>
    <row r="28" spans="1:13" x14ac:dyDescent="0.2">
      <c r="A28" s="9">
        <v>113</v>
      </c>
      <c r="B28" s="9" t="s">
        <v>119</v>
      </c>
      <c r="C28" s="152">
        <v>1853281.43</v>
      </c>
      <c r="D28" s="146">
        <v>7116623</v>
      </c>
      <c r="E28" s="147">
        <v>0</v>
      </c>
      <c r="F28" s="146">
        <v>9617.5833333333303</v>
      </c>
      <c r="L28" s="9">
        <v>113</v>
      </c>
      <c r="M28" s="9" t="str">
        <f t="shared" si="0"/>
        <v>Yes</v>
      </c>
    </row>
    <row r="29" spans="1:13" x14ac:dyDescent="0.2">
      <c r="A29" s="9">
        <v>116</v>
      </c>
      <c r="B29" s="9" t="s">
        <v>120</v>
      </c>
      <c r="C29" s="152">
        <v>275701.3</v>
      </c>
      <c r="D29" s="146">
        <v>1296774</v>
      </c>
      <c r="E29" s="147">
        <v>0</v>
      </c>
      <c r="F29" s="146">
        <v>251.75</v>
      </c>
      <c r="L29" s="9">
        <v>116</v>
      </c>
      <c r="M29" s="9" t="str">
        <f t="shared" si="0"/>
        <v>Yes</v>
      </c>
    </row>
    <row r="30" spans="1:13" x14ac:dyDescent="0.2">
      <c r="A30" s="9">
        <v>120</v>
      </c>
      <c r="B30" s="9" t="s">
        <v>121</v>
      </c>
      <c r="C30" s="152">
        <v>461.82</v>
      </c>
      <c r="D30" s="9">
        <v>1190</v>
      </c>
      <c r="E30" s="147">
        <v>0</v>
      </c>
      <c r="F30" s="146">
        <v>1</v>
      </c>
      <c r="L30" s="9">
        <v>120</v>
      </c>
      <c r="M30" s="9" t="str">
        <f t="shared" si="0"/>
        <v>Yes</v>
      </c>
    </row>
    <row r="31" spans="1:13" x14ac:dyDescent="0.2">
      <c r="A31" s="9">
        <v>122</v>
      </c>
      <c r="B31" s="9" t="s">
        <v>122</v>
      </c>
      <c r="C31" s="152">
        <v>24523.43</v>
      </c>
      <c r="D31" s="146">
        <v>42663</v>
      </c>
      <c r="E31" s="147">
        <v>0</v>
      </c>
      <c r="F31" s="146">
        <v>13.166666666666</v>
      </c>
      <c r="L31" s="9">
        <v>122</v>
      </c>
      <c r="M31" s="9" t="str">
        <f t="shared" si="0"/>
        <v>Yes</v>
      </c>
    </row>
    <row r="32" spans="1:13" x14ac:dyDescent="0.2">
      <c r="A32" s="9">
        <v>126</v>
      </c>
      <c r="B32" s="9" t="s">
        <v>123</v>
      </c>
      <c r="C32" s="152">
        <v>662.04</v>
      </c>
      <c r="D32" s="146">
        <v>2036</v>
      </c>
      <c r="E32" s="147">
        <v>0</v>
      </c>
      <c r="F32" s="146">
        <v>1.083333333333</v>
      </c>
      <c r="L32" s="9">
        <v>126</v>
      </c>
      <c r="M32" s="9" t="str">
        <f t="shared" si="0"/>
        <v>Yes</v>
      </c>
    </row>
    <row r="33" spans="1:13" x14ac:dyDescent="0.2">
      <c r="A33" s="9">
        <v>130</v>
      </c>
      <c r="B33" s="185" t="s">
        <v>124</v>
      </c>
      <c r="C33" s="152">
        <v>8094.09</v>
      </c>
      <c r="D33" s="146">
        <v>25937</v>
      </c>
      <c r="E33" s="147">
        <v>0</v>
      </c>
      <c r="F33" s="146">
        <v>22.416666666666</v>
      </c>
      <c r="L33" s="9">
        <v>130</v>
      </c>
      <c r="M33" s="9" t="str">
        <f t="shared" si="0"/>
        <v>Yes</v>
      </c>
    </row>
    <row r="34" spans="1:13" x14ac:dyDescent="0.2">
      <c r="A34" s="9">
        <v>131</v>
      </c>
      <c r="B34" s="9" t="s">
        <v>125</v>
      </c>
      <c r="C34" s="152">
        <v>42683.22</v>
      </c>
      <c r="D34" s="146">
        <v>253320</v>
      </c>
      <c r="E34" s="147">
        <v>0</v>
      </c>
      <c r="F34" s="146">
        <v>32.083333333333002</v>
      </c>
      <c r="L34" s="9">
        <v>131</v>
      </c>
      <c r="M34" s="9" t="str">
        <f t="shared" si="0"/>
        <v>Yes</v>
      </c>
    </row>
    <row r="35" spans="1:13" x14ac:dyDescent="0.2">
      <c r="A35" s="9">
        <v>136</v>
      </c>
      <c r="B35" s="9" t="s">
        <v>126</v>
      </c>
      <c r="C35" s="152">
        <v>1380.1</v>
      </c>
      <c r="D35" s="146">
        <v>5592</v>
      </c>
      <c r="E35" s="147">
        <v>0</v>
      </c>
      <c r="F35" s="146">
        <v>3</v>
      </c>
      <c r="L35" s="9">
        <v>136</v>
      </c>
      <c r="M35" s="9" t="str">
        <f t="shared" si="0"/>
        <v>Yes</v>
      </c>
    </row>
    <row r="36" spans="1:13" x14ac:dyDescent="0.2">
      <c r="A36" s="9">
        <v>150</v>
      </c>
      <c r="B36" s="152" t="s">
        <v>185</v>
      </c>
      <c r="C36" s="152">
        <v>2444106.5099999998</v>
      </c>
      <c r="D36" s="146">
        <v>6014136</v>
      </c>
      <c r="E36" s="147">
        <v>0</v>
      </c>
      <c r="F36" s="146">
        <v>20310</v>
      </c>
      <c r="L36" s="9">
        <v>150</v>
      </c>
      <c r="M36" s="9" t="str">
        <f t="shared" si="0"/>
        <v>Yes</v>
      </c>
    </row>
    <row r="37" spans="1:13" x14ac:dyDescent="0.2">
      <c r="A37" s="9">
        <v>151</v>
      </c>
      <c r="B37" s="152" t="s">
        <v>186</v>
      </c>
      <c r="C37" s="152">
        <v>943.07</v>
      </c>
      <c r="D37" s="146">
        <v>3202</v>
      </c>
      <c r="E37" s="147">
        <v>0</v>
      </c>
      <c r="F37" s="146">
        <v>7.333333333333</v>
      </c>
      <c r="L37" s="9">
        <v>151</v>
      </c>
      <c r="M37" s="9" t="str">
        <f t="shared" si="0"/>
        <v>Yes</v>
      </c>
    </row>
    <row r="38" spans="1:13" x14ac:dyDescent="0.2">
      <c r="A38" s="9">
        <v>152</v>
      </c>
      <c r="B38" s="152" t="s">
        <v>187</v>
      </c>
      <c r="C38" s="152">
        <v>3080.2</v>
      </c>
      <c r="D38" s="146">
        <v>14661</v>
      </c>
      <c r="E38" s="147">
        <v>0</v>
      </c>
      <c r="F38" s="146">
        <v>17.583333333333002</v>
      </c>
      <c r="L38" s="9">
        <v>152</v>
      </c>
      <c r="M38" s="9" t="str">
        <f t="shared" si="0"/>
        <v>Yes</v>
      </c>
    </row>
    <row r="39" spans="1:13" x14ac:dyDescent="0.2">
      <c r="A39" s="9">
        <v>153</v>
      </c>
      <c r="B39" s="152" t="s">
        <v>188</v>
      </c>
      <c r="C39" s="152">
        <v>3629.1</v>
      </c>
      <c r="D39" s="146">
        <v>18733</v>
      </c>
      <c r="E39" s="147">
        <v>0</v>
      </c>
      <c r="F39" s="146">
        <v>8</v>
      </c>
      <c r="L39" s="9">
        <v>153</v>
      </c>
      <c r="M39" s="9" t="str">
        <f t="shared" si="0"/>
        <v>Yes</v>
      </c>
    </row>
    <row r="40" spans="1:13" x14ac:dyDescent="0.2">
      <c r="A40" s="9">
        <v>160</v>
      </c>
      <c r="B40" s="152" t="s">
        <v>189</v>
      </c>
      <c r="C40" s="152">
        <v>16232.41</v>
      </c>
      <c r="D40" s="146">
        <v>18150</v>
      </c>
      <c r="E40" s="147">
        <v>0</v>
      </c>
      <c r="F40" s="146">
        <v>36.75</v>
      </c>
      <c r="L40" s="9">
        <v>160</v>
      </c>
      <c r="M40" s="9" t="str">
        <f t="shared" si="0"/>
        <v>Yes</v>
      </c>
    </row>
    <row r="41" spans="1:13" x14ac:dyDescent="0.2">
      <c r="A41" s="9">
        <v>165</v>
      </c>
      <c r="B41" s="152" t="s">
        <v>190</v>
      </c>
      <c r="C41" s="152">
        <v>384316.78</v>
      </c>
      <c r="D41" s="146">
        <v>706294</v>
      </c>
      <c r="E41" s="147">
        <v>0</v>
      </c>
      <c r="F41" s="146">
        <v>493.41666666666703</v>
      </c>
      <c r="L41" s="9">
        <v>165</v>
      </c>
      <c r="M41" s="9" t="str">
        <f t="shared" si="0"/>
        <v>Yes</v>
      </c>
    </row>
    <row r="42" spans="1:13" x14ac:dyDescent="0.2">
      <c r="A42" s="9">
        <v>166</v>
      </c>
      <c r="B42" s="152" t="s">
        <v>191</v>
      </c>
      <c r="C42" s="152">
        <v>115226.68</v>
      </c>
      <c r="D42" s="146">
        <v>333518</v>
      </c>
      <c r="E42" s="147">
        <v>0</v>
      </c>
      <c r="F42" s="146">
        <v>90.083333333333002</v>
      </c>
      <c r="L42" s="9">
        <v>166</v>
      </c>
      <c r="M42" s="9" t="str">
        <f t="shared" si="0"/>
        <v>Yes</v>
      </c>
    </row>
    <row r="43" spans="1:13" x14ac:dyDescent="0.2">
      <c r="A43" s="148"/>
      <c r="B43" s="148" t="s">
        <v>127</v>
      </c>
      <c r="C43" s="149">
        <f>SUM(C17:C42)</f>
        <v>9124963.6099999975</v>
      </c>
      <c r="D43" s="149">
        <f>SUM(D17:D42)</f>
        <v>31595828</v>
      </c>
      <c r="E43" s="149">
        <f>SUM(E17:E42)</f>
        <v>0</v>
      </c>
      <c r="F43" s="150">
        <f>SUM(F17:F42)</f>
        <v>46215.666666666628</v>
      </c>
      <c r="G43" s="148"/>
      <c r="H43" s="150">
        <f>ROUND((D43/F43)/12,0)</f>
        <v>57</v>
      </c>
      <c r="I43" s="151">
        <f>(C43/F43)/12</f>
        <v>16.453590070466735</v>
      </c>
      <c r="J43" s="150">
        <f>(E43/F43)/12</f>
        <v>0</v>
      </c>
      <c r="K43" s="107"/>
    </row>
    <row r="44" spans="1:13" x14ac:dyDescent="0.2">
      <c r="A44" s="9">
        <v>204</v>
      </c>
      <c r="B44" s="9" t="s">
        <v>128</v>
      </c>
      <c r="C44" s="152">
        <v>146601.79</v>
      </c>
      <c r="D44" s="146">
        <v>577740</v>
      </c>
      <c r="E44" s="147">
        <v>0</v>
      </c>
      <c r="F44" s="146">
        <v>338.41666666666703</v>
      </c>
      <c r="L44" s="9">
        <v>204</v>
      </c>
      <c r="M44" s="9" t="str">
        <f t="shared" si="0"/>
        <v>Yes</v>
      </c>
    </row>
    <row r="45" spans="1:13" x14ac:dyDescent="0.2">
      <c r="A45" s="9">
        <v>211</v>
      </c>
      <c r="B45" s="9" t="s">
        <v>129</v>
      </c>
      <c r="C45" s="145">
        <v>81581621.120000005</v>
      </c>
      <c r="D45" s="146">
        <v>463095770</v>
      </c>
      <c r="E45" s="147">
        <v>1515973.5</v>
      </c>
      <c r="F45" s="146">
        <v>27362.916666666701</v>
      </c>
      <c r="L45" s="9">
        <v>211</v>
      </c>
      <c r="M45" s="9" t="str">
        <f t="shared" si="0"/>
        <v>Yes</v>
      </c>
    </row>
    <row r="46" spans="1:13" x14ac:dyDescent="0.2">
      <c r="A46" s="9">
        <v>213</v>
      </c>
      <c r="B46" s="9" t="s">
        <v>130</v>
      </c>
      <c r="C46" s="145">
        <v>467147.7</v>
      </c>
      <c r="D46" s="146">
        <v>2058961</v>
      </c>
      <c r="E46" s="147">
        <v>0</v>
      </c>
      <c r="F46" s="146">
        <v>576.16666666666697</v>
      </c>
      <c r="L46" s="9">
        <v>213</v>
      </c>
      <c r="M46" s="9" t="str">
        <f t="shared" si="0"/>
        <v>Yes</v>
      </c>
    </row>
    <row r="47" spans="1:13" x14ac:dyDescent="0.2">
      <c r="A47" s="9">
        <v>214</v>
      </c>
      <c r="B47" s="9" t="s">
        <v>131</v>
      </c>
      <c r="C47" s="145">
        <v>227673.59</v>
      </c>
      <c r="D47" s="146">
        <v>1261848</v>
      </c>
      <c r="E47" s="147">
        <v>31583.5</v>
      </c>
      <c r="F47" s="146">
        <v>87.666666666666003</v>
      </c>
      <c r="L47" s="9">
        <v>214</v>
      </c>
      <c r="M47" s="9" t="str">
        <f t="shared" si="0"/>
        <v>Yes</v>
      </c>
    </row>
    <row r="48" spans="1:13" x14ac:dyDescent="0.2">
      <c r="A48" s="9">
        <v>215</v>
      </c>
      <c r="B48" s="9" t="s">
        <v>132</v>
      </c>
      <c r="C48" s="145">
        <v>19179677.41</v>
      </c>
      <c r="D48" s="146">
        <v>116842940</v>
      </c>
      <c r="E48" s="147">
        <v>480904.5</v>
      </c>
      <c r="F48" s="146">
        <v>1830.0833333333301</v>
      </c>
      <c r="L48" s="9">
        <v>215</v>
      </c>
      <c r="M48" s="9" t="str">
        <f t="shared" si="0"/>
        <v>Yes</v>
      </c>
    </row>
    <row r="49" spans="1:13" x14ac:dyDescent="0.2">
      <c r="A49" s="9">
        <v>217</v>
      </c>
      <c r="B49" s="9" t="s">
        <v>133</v>
      </c>
      <c r="C49" s="145">
        <v>592806.43000000005</v>
      </c>
      <c r="D49" s="146">
        <v>3697989</v>
      </c>
      <c r="E49" s="147">
        <v>16077.5</v>
      </c>
      <c r="F49" s="146">
        <v>31.916666666666</v>
      </c>
      <c r="L49" s="9">
        <v>217</v>
      </c>
      <c r="M49" s="9" t="str">
        <f t="shared" si="0"/>
        <v>Yes</v>
      </c>
    </row>
    <row r="50" spans="1:13" x14ac:dyDescent="0.2">
      <c r="A50" s="9">
        <v>218</v>
      </c>
      <c r="B50" s="9" t="s">
        <v>134</v>
      </c>
      <c r="C50" s="145">
        <v>32310.47</v>
      </c>
      <c r="D50" s="146">
        <v>200397</v>
      </c>
      <c r="E50" s="147">
        <v>714.4</v>
      </c>
      <c r="F50" s="146">
        <v>1</v>
      </c>
      <c r="L50" s="9">
        <v>218</v>
      </c>
      <c r="M50" s="9" t="str">
        <f t="shared" si="0"/>
        <v>Yes</v>
      </c>
    </row>
    <row r="51" spans="1:13" x14ac:dyDescent="0.2">
      <c r="A51" s="9">
        <v>220</v>
      </c>
      <c r="B51" s="9" t="s">
        <v>135</v>
      </c>
      <c r="C51" s="145">
        <v>613809.54</v>
      </c>
      <c r="D51" s="146">
        <v>4007419</v>
      </c>
      <c r="E51" s="147">
        <v>11346.7</v>
      </c>
      <c r="F51" s="146">
        <v>42.583333333333002</v>
      </c>
      <c r="L51" s="9">
        <v>220</v>
      </c>
      <c r="M51" s="9" t="str">
        <f t="shared" si="0"/>
        <v>Yes</v>
      </c>
    </row>
    <row r="52" spans="1:13" ht="13.5" thickBot="1" x14ac:dyDescent="0.25">
      <c r="A52" s="9">
        <v>223</v>
      </c>
      <c r="B52" s="9" t="s">
        <v>136</v>
      </c>
      <c r="C52" s="145">
        <v>132930.13</v>
      </c>
      <c r="D52" s="146">
        <v>805569</v>
      </c>
      <c r="E52" s="147">
        <v>0</v>
      </c>
      <c r="F52" s="146">
        <v>37.083333333333002</v>
      </c>
      <c r="L52" s="9">
        <v>223</v>
      </c>
      <c r="M52" s="9" t="str">
        <f t="shared" si="0"/>
        <v>Yes</v>
      </c>
    </row>
    <row r="53" spans="1:13" x14ac:dyDescent="0.2">
      <c r="A53" s="187">
        <v>225</v>
      </c>
      <c r="B53" s="153" t="s">
        <v>137</v>
      </c>
      <c r="C53" s="154">
        <v>103319.08</v>
      </c>
      <c r="D53" s="188">
        <v>622880</v>
      </c>
      <c r="E53" s="189">
        <v>59.6</v>
      </c>
      <c r="F53" s="188">
        <v>24.333333333333002</v>
      </c>
      <c r="G53" s="153"/>
      <c r="H53" s="153"/>
      <c r="I53" s="153"/>
      <c r="J53" s="155"/>
      <c r="L53" s="9">
        <v>225</v>
      </c>
      <c r="M53" s="9" t="str">
        <f t="shared" si="0"/>
        <v>Yes</v>
      </c>
    </row>
    <row r="54" spans="1:13" x14ac:dyDescent="0.2">
      <c r="A54" s="186">
        <v>227</v>
      </c>
      <c r="B54" s="9" t="s">
        <v>138</v>
      </c>
      <c r="C54" s="152">
        <v>1269598.1200000001</v>
      </c>
      <c r="D54" s="146">
        <v>7213746</v>
      </c>
      <c r="E54" s="147">
        <v>0</v>
      </c>
      <c r="F54" s="146">
        <v>492.58333333333297</v>
      </c>
      <c r="J54" s="156"/>
      <c r="K54" s="107"/>
      <c r="L54" s="9">
        <v>227</v>
      </c>
      <c r="M54" s="9" t="str">
        <f t="shared" si="0"/>
        <v>Yes</v>
      </c>
    </row>
    <row r="55" spans="1:13" x14ac:dyDescent="0.2">
      <c r="A55" s="157"/>
      <c r="B55" s="116" t="s">
        <v>139</v>
      </c>
      <c r="C55" s="158">
        <f>SUM(C53:C54)</f>
        <v>1372917.2000000002</v>
      </c>
      <c r="D55" s="158">
        <f>SUM(D53:D54)</f>
        <v>7836626</v>
      </c>
      <c r="E55" s="158">
        <f>SUM(E53:E54)</f>
        <v>59.6</v>
      </c>
      <c r="F55" s="158">
        <f>SUM(F53:F54)</f>
        <v>516.91666666666595</v>
      </c>
      <c r="G55" s="116"/>
      <c r="H55" s="159">
        <f>ROUND((D55/F55)/12,0)</f>
        <v>1263</v>
      </c>
      <c r="I55" s="160">
        <f>(C55/F55)/12</f>
        <v>221.33116234080319</v>
      </c>
      <c r="J55" s="161">
        <f>(E55/F55)/12</f>
        <v>9.6082540706110085E-3</v>
      </c>
      <c r="K55" s="107"/>
    </row>
    <row r="56" spans="1:13" x14ac:dyDescent="0.2">
      <c r="A56" s="186">
        <v>229</v>
      </c>
      <c r="B56" s="9" t="s">
        <v>140</v>
      </c>
      <c r="C56" s="152">
        <v>1089005.53</v>
      </c>
      <c r="D56" s="146">
        <v>7145544</v>
      </c>
      <c r="E56" s="147">
        <v>3068.5</v>
      </c>
      <c r="F56" s="146">
        <v>141.333333333333</v>
      </c>
      <c r="J56" s="156"/>
      <c r="L56" s="9">
        <v>229</v>
      </c>
      <c r="M56" s="9" t="str">
        <f t="shared" si="0"/>
        <v>Yes</v>
      </c>
    </row>
    <row r="57" spans="1:13" ht="13.5" thickBot="1" x14ac:dyDescent="0.25">
      <c r="A57" s="162"/>
      <c r="B57" s="163" t="s">
        <v>141</v>
      </c>
      <c r="C57" s="164">
        <f>SUM(C56)</f>
        <v>1089005.53</v>
      </c>
      <c r="D57" s="164">
        <f>SUM(D56)</f>
        <v>7145544</v>
      </c>
      <c r="E57" s="164">
        <f>SUM(E56)</f>
        <v>3068.5</v>
      </c>
      <c r="F57" s="165">
        <f>SUM(F56)</f>
        <v>141.333333333333</v>
      </c>
      <c r="G57" s="163"/>
      <c r="H57" s="165">
        <f>ROUND((D57/F57)/12,0)</f>
        <v>4213</v>
      </c>
      <c r="I57" s="166">
        <f>(C57/F57)/12</f>
        <v>642.10231721698267</v>
      </c>
      <c r="J57" s="167">
        <f>(E57/F57)/12</f>
        <v>1.8092570754717023</v>
      </c>
      <c r="K57" s="107"/>
    </row>
    <row r="58" spans="1:13" x14ac:dyDescent="0.2">
      <c r="A58" s="9">
        <v>236</v>
      </c>
      <c r="B58" s="9" t="s">
        <v>142</v>
      </c>
      <c r="C58" s="145">
        <v>52334.31</v>
      </c>
      <c r="D58" s="146">
        <v>260643</v>
      </c>
      <c r="E58" s="147">
        <v>253.9</v>
      </c>
      <c r="F58" s="146">
        <v>4</v>
      </c>
      <c r="L58" s="9">
        <v>236</v>
      </c>
      <c r="M58" s="9" t="str">
        <f t="shared" si="0"/>
        <v>Yes</v>
      </c>
    </row>
    <row r="59" spans="1:13" x14ac:dyDescent="0.2">
      <c r="A59" s="148"/>
      <c r="B59" s="148" t="s">
        <v>143</v>
      </c>
      <c r="C59" s="149">
        <f>SUM(C44:C52,C58)</f>
        <v>103026912.49000002</v>
      </c>
      <c r="D59" s="149">
        <f>SUM(D44:D52,D58)</f>
        <v>592809276</v>
      </c>
      <c r="E59" s="149">
        <f>SUM(E44:E52,E58)</f>
        <v>2056853.9999999998</v>
      </c>
      <c r="F59" s="150">
        <f>SUM(F44:F52,F58)</f>
        <v>30311.833333333358</v>
      </c>
      <c r="G59" s="148"/>
      <c r="H59" s="150">
        <f>ROUND((D59/F59)/12,0)</f>
        <v>1630</v>
      </c>
      <c r="I59" s="151">
        <f>(C59/F59)/12</f>
        <v>283.24172762562461</v>
      </c>
      <c r="J59" s="150">
        <f>(E59/F59)/12</f>
        <v>5.6547058079627819</v>
      </c>
      <c r="K59" s="107"/>
    </row>
    <row r="60" spans="1:13" x14ac:dyDescent="0.2">
      <c r="A60" s="9">
        <v>240</v>
      </c>
      <c r="B60" s="9" t="s">
        <v>144</v>
      </c>
      <c r="C60" s="145">
        <v>39963620.479999997</v>
      </c>
      <c r="D60" s="146">
        <v>277430209</v>
      </c>
      <c r="E60" s="147">
        <v>803198</v>
      </c>
      <c r="F60" s="168">
        <v>347.33333333333297</v>
      </c>
      <c r="L60" s="9">
        <v>240</v>
      </c>
      <c r="M60" s="9" t="str">
        <f t="shared" si="0"/>
        <v>Yes</v>
      </c>
    </row>
    <row r="61" spans="1:13" x14ac:dyDescent="0.2">
      <c r="A61" s="9">
        <v>242</v>
      </c>
      <c r="B61" s="9" t="s">
        <v>145</v>
      </c>
      <c r="C61" s="145">
        <v>866202.94</v>
      </c>
      <c r="D61" s="146">
        <v>6274161</v>
      </c>
      <c r="E61" s="147">
        <v>15871</v>
      </c>
      <c r="F61" s="168">
        <v>7</v>
      </c>
      <c r="L61" s="9">
        <v>242</v>
      </c>
      <c r="M61" s="9" t="str">
        <f t="shared" si="0"/>
        <v>Yes</v>
      </c>
    </row>
    <row r="62" spans="1:13" x14ac:dyDescent="0.2">
      <c r="A62" s="9">
        <v>244</v>
      </c>
      <c r="B62" s="9" t="s">
        <v>146</v>
      </c>
      <c r="C62" s="145">
        <v>11692408.83</v>
      </c>
      <c r="D62" s="146">
        <v>83560203</v>
      </c>
      <c r="E62" s="147">
        <v>292006</v>
      </c>
      <c r="F62" s="168">
        <v>59</v>
      </c>
      <c r="L62" s="9">
        <v>244</v>
      </c>
      <c r="M62" s="9" t="str">
        <f t="shared" si="0"/>
        <v>Yes</v>
      </c>
    </row>
    <row r="63" spans="1:13" x14ac:dyDescent="0.2">
      <c r="A63" s="9">
        <v>246</v>
      </c>
      <c r="B63" s="9" t="s">
        <v>147</v>
      </c>
      <c r="C63" s="152">
        <v>89820.27</v>
      </c>
      <c r="D63" s="146">
        <v>676023</v>
      </c>
      <c r="E63" s="147">
        <v>2072</v>
      </c>
      <c r="F63" s="168">
        <v>1</v>
      </c>
      <c r="L63" s="9">
        <v>246</v>
      </c>
      <c r="M63" s="9" t="str">
        <f t="shared" si="0"/>
        <v>Yes</v>
      </c>
    </row>
    <row r="64" spans="1:13" x14ac:dyDescent="0.2">
      <c r="A64" s="9">
        <v>248</v>
      </c>
      <c r="B64" s="9" t="s">
        <v>148</v>
      </c>
      <c r="C64" s="145">
        <v>721917.6</v>
      </c>
      <c r="D64" s="146">
        <v>6932971</v>
      </c>
      <c r="E64" s="147">
        <v>16843</v>
      </c>
      <c r="F64" s="168">
        <v>7.1666666666659999</v>
      </c>
      <c r="L64" s="9">
        <v>248</v>
      </c>
      <c r="M64" s="9" t="str">
        <f t="shared" si="0"/>
        <v>Yes</v>
      </c>
    </row>
    <row r="65" spans="1:13" x14ac:dyDescent="0.2">
      <c r="A65" s="9">
        <v>250</v>
      </c>
      <c r="B65" s="9" t="s">
        <v>149</v>
      </c>
      <c r="C65" s="145">
        <v>94754.94</v>
      </c>
      <c r="D65" s="146">
        <v>827708</v>
      </c>
      <c r="E65" s="147">
        <v>3260</v>
      </c>
      <c r="F65" s="168">
        <v>0.91666666666600005</v>
      </c>
      <c r="L65" s="9">
        <v>250</v>
      </c>
      <c r="M65" s="9" t="str">
        <f t="shared" si="0"/>
        <v>Yes</v>
      </c>
    </row>
    <row r="66" spans="1:13" x14ac:dyDescent="0.2">
      <c r="A66" s="9">
        <v>251</v>
      </c>
      <c r="B66" s="9" t="s">
        <v>150</v>
      </c>
      <c r="C66" s="145">
        <v>126181.9</v>
      </c>
      <c r="D66" s="146">
        <v>869728</v>
      </c>
      <c r="E66" s="147">
        <v>0</v>
      </c>
      <c r="F66" s="168">
        <v>5</v>
      </c>
      <c r="L66" s="9">
        <v>251</v>
      </c>
      <c r="M66" s="9" t="str">
        <f t="shared" si="0"/>
        <v>Yes</v>
      </c>
    </row>
    <row r="67" spans="1:13" x14ac:dyDescent="0.2">
      <c r="A67" s="9">
        <v>256</v>
      </c>
      <c r="B67" s="9" t="s">
        <v>151</v>
      </c>
      <c r="C67" s="145">
        <v>747043.65</v>
      </c>
      <c r="D67" s="146">
        <v>5777942</v>
      </c>
      <c r="E67" s="147">
        <v>12117</v>
      </c>
      <c r="F67" s="168">
        <v>6.1666666666659999</v>
      </c>
      <c r="L67" s="9">
        <v>256</v>
      </c>
      <c r="M67" s="9" t="str">
        <f t="shared" si="0"/>
        <v>Yes</v>
      </c>
    </row>
    <row r="68" spans="1:13" x14ac:dyDescent="0.2">
      <c r="A68" s="9">
        <v>257</v>
      </c>
      <c r="B68" s="185" t="s">
        <v>152</v>
      </c>
      <c r="C68" s="145">
        <v>410869.35</v>
      </c>
      <c r="D68" s="146">
        <v>3372005</v>
      </c>
      <c r="E68" s="147">
        <v>5330</v>
      </c>
      <c r="F68" s="168">
        <v>2</v>
      </c>
      <c r="L68" s="9">
        <v>257</v>
      </c>
      <c r="M68" s="9" t="str">
        <f t="shared" ref="M68:M82" si="1">IF(L68=A68,"Yes","No")</f>
        <v>Yes</v>
      </c>
    </row>
    <row r="69" spans="1:13" x14ac:dyDescent="0.2">
      <c r="A69" s="9">
        <v>260</v>
      </c>
      <c r="B69" s="9" t="s">
        <v>153</v>
      </c>
      <c r="C69" s="145">
        <v>12602314.640000001</v>
      </c>
      <c r="D69" s="146">
        <v>78866171</v>
      </c>
      <c r="E69" s="147">
        <v>307380</v>
      </c>
      <c r="F69" s="168">
        <v>128.083333333333</v>
      </c>
      <c r="L69" s="9">
        <v>260</v>
      </c>
      <c r="M69" s="9" t="str">
        <f t="shared" si="1"/>
        <v>Yes</v>
      </c>
    </row>
    <row r="70" spans="1:13" x14ac:dyDescent="0.2">
      <c r="A70" s="9">
        <v>264</v>
      </c>
      <c r="B70" s="9" t="s">
        <v>154</v>
      </c>
      <c r="C70" s="145">
        <v>266966.32</v>
      </c>
      <c r="D70" s="146">
        <v>1930302</v>
      </c>
      <c r="E70" s="147">
        <v>6737</v>
      </c>
      <c r="F70" s="168">
        <v>1</v>
      </c>
      <c r="L70" s="9">
        <v>264</v>
      </c>
      <c r="M70" s="9" t="str">
        <f t="shared" si="1"/>
        <v>Yes</v>
      </c>
    </row>
    <row r="71" spans="1:13" x14ac:dyDescent="0.2">
      <c r="A71" s="148"/>
      <c r="B71" s="148" t="s">
        <v>155</v>
      </c>
      <c r="C71" s="149">
        <f>SUM(C60:C70)</f>
        <v>67582100.919999987</v>
      </c>
      <c r="D71" s="149">
        <f>SUM(D60:D70)</f>
        <v>466517423</v>
      </c>
      <c r="E71" s="149">
        <f>SUM(E60:E70)</f>
        <v>1464814</v>
      </c>
      <c r="F71" s="150">
        <f>SUM(F60:F70)</f>
        <v>564.66666666666401</v>
      </c>
      <c r="G71" s="148"/>
      <c r="H71" s="150">
        <f>ROUND((D71/F71)/12,0)</f>
        <v>68848</v>
      </c>
      <c r="I71" s="151">
        <f>(C71/F71)/12</f>
        <v>9973.745708382572</v>
      </c>
      <c r="J71" s="150">
        <f>(E71/F71)/12</f>
        <v>216.17680047225602</v>
      </c>
      <c r="K71" s="107"/>
      <c r="L71" s="169"/>
    </row>
    <row r="72" spans="1:13" x14ac:dyDescent="0.2">
      <c r="A72" s="9">
        <v>330</v>
      </c>
      <c r="B72" s="185" t="s">
        <v>156</v>
      </c>
      <c r="C72" s="145">
        <v>2076344.92</v>
      </c>
      <c r="D72" s="146">
        <v>14614255</v>
      </c>
      <c r="E72" s="147">
        <v>59841</v>
      </c>
      <c r="F72" s="168">
        <v>2</v>
      </c>
      <c r="L72" s="9">
        <v>330</v>
      </c>
      <c r="M72" s="9" t="str">
        <f t="shared" si="1"/>
        <v>Yes</v>
      </c>
    </row>
    <row r="73" spans="1:13" x14ac:dyDescent="0.2">
      <c r="A73" s="9">
        <v>331</v>
      </c>
      <c r="B73" s="9" t="s">
        <v>157</v>
      </c>
      <c r="C73" s="145">
        <v>5868667.3799999999</v>
      </c>
      <c r="D73" s="170">
        <v>110352001</v>
      </c>
      <c r="E73" s="171">
        <v>184372.4</v>
      </c>
      <c r="F73" s="168">
        <v>1</v>
      </c>
      <c r="L73" s="9">
        <v>331</v>
      </c>
      <c r="M73" s="9" t="str">
        <f t="shared" si="1"/>
        <v>Yes</v>
      </c>
    </row>
    <row r="74" spans="1:13" x14ac:dyDescent="0.2">
      <c r="A74" s="9">
        <v>332</v>
      </c>
      <c r="B74" s="9" t="s">
        <v>158</v>
      </c>
      <c r="C74" s="145">
        <v>1486268.96</v>
      </c>
      <c r="D74" s="170">
        <v>15075151</v>
      </c>
      <c r="E74" s="171">
        <v>45318</v>
      </c>
      <c r="F74" s="168">
        <v>1</v>
      </c>
      <c r="L74" s="9">
        <v>332</v>
      </c>
      <c r="M74" s="9" t="str">
        <f t="shared" si="1"/>
        <v>Yes</v>
      </c>
    </row>
    <row r="75" spans="1:13" x14ac:dyDescent="0.2">
      <c r="A75" s="9">
        <v>333</v>
      </c>
      <c r="B75" s="9" t="s">
        <v>159</v>
      </c>
      <c r="C75" s="145">
        <v>3360696.16</v>
      </c>
      <c r="D75" s="170">
        <v>35721600</v>
      </c>
      <c r="E75" s="171">
        <v>113892</v>
      </c>
      <c r="F75" s="168">
        <v>1</v>
      </c>
      <c r="L75" s="9">
        <v>333</v>
      </c>
      <c r="M75" s="9" t="str">
        <f t="shared" si="1"/>
        <v>Yes</v>
      </c>
    </row>
    <row r="76" spans="1:13" x14ac:dyDescent="0.2">
      <c r="A76" s="9">
        <v>356</v>
      </c>
      <c r="B76" s="9" t="s">
        <v>160</v>
      </c>
      <c r="C76" s="145">
        <v>2141431.96</v>
      </c>
      <c r="D76" s="146">
        <v>19117472</v>
      </c>
      <c r="E76" s="147">
        <v>39723</v>
      </c>
      <c r="F76" s="168">
        <v>5</v>
      </c>
      <c r="L76" s="9">
        <v>356</v>
      </c>
      <c r="M76" s="9" t="str">
        <f t="shared" si="1"/>
        <v>Yes</v>
      </c>
    </row>
    <row r="77" spans="1:13" x14ac:dyDescent="0.2">
      <c r="A77" s="9">
        <v>358</v>
      </c>
      <c r="B77" s="9" t="s">
        <v>161</v>
      </c>
      <c r="C77" s="145">
        <v>24834338.899999999</v>
      </c>
      <c r="D77" s="146">
        <v>223564829</v>
      </c>
      <c r="E77" s="147">
        <v>516928</v>
      </c>
      <c r="F77" s="168">
        <v>31</v>
      </c>
      <c r="L77" s="9">
        <v>358</v>
      </c>
      <c r="M77" s="9" t="str">
        <f t="shared" si="1"/>
        <v>Yes</v>
      </c>
    </row>
    <row r="78" spans="1:13" x14ac:dyDescent="0.2">
      <c r="A78" s="9">
        <v>359</v>
      </c>
      <c r="B78" s="9" t="s">
        <v>162</v>
      </c>
      <c r="C78" s="145">
        <v>26987933.530000001</v>
      </c>
      <c r="D78" s="146">
        <v>365043157</v>
      </c>
      <c r="E78" s="147">
        <v>683323</v>
      </c>
      <c r="F78" s="168">
        <v>14.333333333333</v>
      </c>
      <c r="L78" s="9">
        <v>359</v>
      </c>
      <c r="M78" s="9" t="str">
        <f t="shared" si="1"/>
        <v>Yes</v>
      </c>
    </row>
    <row r="79" spans="1:13" x14ac:dyDescent="0.2">
      <c r="A79" s="9">
        <v>360</v>
      </c>
      <c r="B79" s="9" t="s">
        <v>163</v>
      </c>
      <c r="C79" s="145">
        <v>1134750.1000000001</v>
      </c>
      <c r="D79" s="146">
        <v>9384000</v>
      </c>
      <c r="E79" s="147">
        <v>40008</v>
      </c>
      <c r="F79" s="168">
        <v>1</v>
      </c>
      <c r="L79" s="9">
        <v>360</v>
      </c>
      <c r="M79" s="9" t="str">
        <f t="shared" si="1"/>
        <v>Yes</v>
      </c>
    </row>
    <row r="80" spans="1:13" x14ac:dyDescent="0.2">
      <c r="A80" s="9">
        <v>370</v>
      </c>
      <c r="B80" s="9" t="s">
        <v>163</v>
      </c>
      <c r="C80" s="145">
        <v>721659.88</v>
      </c>
      <c r="D80" s="146">
        <v>3902401</v>
      </c>
      <c r="E80" s="147">
        <v>8984</v>
      </c>
      <c r="F80" s="168">
        <v>1</v>
      </c>
      <c r="L80" s="9">
        <v>370</v>
      </c>
      <c r="M80" s="9" t="str">
        <f t="shared" si="1"/>
        <v>Yes</v>
      </c>
    </row>
    <row r="81" spans="1:13" x14ac:dyDescent="0.2">
      <c r="A81" s="9">
        <v>371</v>
      </c>
      <c r="B81" s="9" t="s">
        <v>163</v>
      </c>
      <c r="C81" s="145">
        <v>96770955.739999995</v>
      </c>
      <c r="D81" s="146">
        <v>1267805568</v>
      </c>
      <c r="E81" s="147">
        <v>1900019</v>
      </c>
      <c r="F81" s="168">
        <v>3</v>
      </c>
      <c r="K81" s="107"/>
      <c r="L81" s="9">
        <v>371</v>
      </c>
      <c r="M81" s="9" t="str">
        <f t="shared" si="1"/>
        <v>Yes</v>
      </c>
    </row>
    <row r="82" spans="1:13" x14ac:dyDescent="0.2">
      <c r="A82" s="9">
        <v>372</v>
      </c>
      <c r="B82" s="9" t="s">
        <v>163</v>
      </c>
      <c r="C82" s="145">
        <v>18619801.260000002</v>
      </c>
      <c r="D82" s="146">
        <v>252660440</v>
      </c>
      <c r="E82" s="147">
        <v>390119</v>
      </c>
      <c r="F82" s="168">
        <v>1</v>
      </c>
      <c r="L82" s="9">
        <v>372</v>
      </c>
      <c r="M82" s="9" t="str">
        <f t="shared" si="1"/>
        <v>Yes</v>
      </c>
    </row>
    <row r="83" spans="1:13" x14ac:dyDescent="0.2">
      <c r="A83" s="148"/>
      <c r="B83" s="148" t="s">
        <v>164</v>
      </c>
      <c r="C83" s="149">
        <f>SUM(C72:C82)</f>
        <v>184002848.78999996</v>
      </c>
      <c r="D83" s="149">
        <f>SUM(D72:D82)</f>
        <v>2317240874</v>
      </c>
      <c r="E83" s="149">
        <f>SUM(E72:E82)</f>
        <v>3982527.4</v>
      </c>
      <c r="F83" s="150">
        <f>SUM(F72:F82)</f>
        <v>61.333333333333002</v>
      </c>
      <c r="G83" s="148"/>
      <c r="H83" s="150">
        <f>ROUND((D83/F83)/12,0)</f>
        <v>3148425</v>
      </c>
      <c r="I83" s="151">
        <f>(C83/F83)/12</f>
        <v>250003.87063858824</v>
      </c>
      <c r="J83" s="150">
        <f>(E83/F83)/12</f>
        <v>5411.0426630435077</v>
      </c>
      <c r="K83" s="107"/>
    </row>
    <row r="84" spans="1:13" x14ac:dyDescent="0.2">
      <c r="A84" s="9">
        <v>528</v>
      </c>
      <c r="B84" s="9" t="s">
        <v>165</v>
      </c>
      <c r="C84" s="145">
        <v>1920130.53</v>
      </c>
      <c r="D84" s="146">
        <v>7837812</v>
      </c>
      <c r="E84" s="147">
        <v>0</v>
      </c>
      <c r="F84" s="168">
        <v>11915</v>
      </c>
    </row>
    <row r="85" spans="1:13" x14ac:dyDescent="0.2">
      <c r="A85" s="148"/>
      <c r="B85" s="148" t="s">
        <v>166</v>
      </c>
      <c r="C85" s="149">
        <f>SUM(C84)</f>
        <v>1920130.53</v>
      </c>
      <c r="D85" s="149">
        <f>SUM(D84)</f>
        <v>7837812</v>
      </c>
      <c r="E85" s="149">
        <f>SUM(E84)</f>
        <v>0</v>
      </c>
      <c r="F85" s="150">
        <f>SUM(F84)</f>
        <v>11915</v>
      </c>
      <c r="G85" s="148"/>
      <c r="H85" s="150">
        <f>ROUND((D85/F85)/12,0)</f>
        <v>55</v>
      </c>
      <c r="I85" s="151">
        <f>(C85/F85)/12</f>
        <v>13.429364456567351</v>
      </c>
      <c r="J85" s="150">
        <f>(E85/F85)/12</f>
        <v>0</v>
      </c>
      <c r="K85" s="107"/>
    </row>
    <row r="86" spans="1:13" x14ac:dyDescent="0.2">
      <c r="A86" s="9">
        <v>540</v>
      </c>
      <c r="B86" s="9" t="s">
        <v>167</v>
      </c>
      <c r="C86" s="145">
        <v>242210.52</v>
      </c>
      <c r="D86" s="146">
        <v>1752735</v>
      </c>
      <c r="E86" s="147">
        <v>2619.1999999999998</v>
      </c>
      <c r="F86" s="168">
        <v>8</v>
      </c>
    </row>
    <row r="87" spans="1:13" x14ac:dyDescent="0.2">
      <c r="A87" s="148"/>
      <c r="B87" s="148" t="s">
        <v>168</v>
      </c>
      <c r="C87" s="149">
        <f>SUM(C86)</f>
        <v>242210.52</v>
      </c>
      <c r="D87" s="149">
        <f>SUM(D86)</f>
        <v>1752735</v>
      </c>
      <c r="E87" s="149">
        <f>SUM(E86)</f>
        <v>2619.1999999999998</v>
      </c>
      <c r="F87" s="150">
        <f>SUM(F86)</f>
        <v>8</v>
      </c>
      <c r="G87" s="148"/>
      <c r="H87" s="150">
        <f>ROUND((D87/F87)/12,0)</f>
        <v>18258</v>
      </c>
      <c r="I87" s="151">
        <f>(C87/F87)/12</f>
        <v>2523.0262499999999</v>
      </c>
      <c r="J87" s="150">
        <f>(E87/F87)/12</f>
        <v>27.283333333333331</v>
      </c>
    </row>
    <row r="90" spans="1:13" x14ac:dyDescent="0.2">
      <c r="C90" s="178">
        <f>SUM(C87,C85,C83,C71,C59,C57,C55,C43,C16)</f>
        <v>653489895.13</v>
      </c>
      <c r="D90" s="178">
        <f>SUM(D87,D85,D83,D71,D59,D57,D55,D43,D16)</f>
        <v>5297563192</v>
      </c>
      <c r="E90" s="178">
        <f>SUM(E87,E85,E83,E71,E59,E57,E55,E43,E16)</f>
        <v>7539789.2999999989</v>
      </c>
      <c r="F90" s="178"/>
      <c r="H90" s="169"/>
    </row>
    <row r="91" spans="1:13" x14ac:dyDescent="0.2">
      <c r="C91" s="169"/>
      <c r="D91" s="169"/>
      <c r="E91" s="169"/>
      <c r="F91" s="169"/>
    </row>
    <row r="92" spans="1:13" x14ac:dyDescent="0.2">
      <c r="F92" s="169"/>
    </row>
    <row r="93" spans="1:13" x14ac:dyDescent="0.2">
      <c r="F93" s="169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ED62B-F489-4420-9485-FDD606C8DBA7}">
  <sheetPr>
    <tabColor theme="1"/>
  </sheetPr>
  <dimension ref="A1"/>
  <sheetViews>
    <sheetView workbookViewId="0">
      <selection activeCell="Q38" sqref="Q38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f7ea4ca8b1cc53a041b470f4a992aa98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9c5f73238733ff5c2c24679da2f0da1b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kzNmUyMmQ1LTQ1YTctNGNiNy05NWFiLTFhYThjN2M4ODc4OSIgdmFsdWU9IiIgeG1sbnM9Imh0dHA6Ly93d3cuYm9sZG9uamFtZXMuY29tLzIwMDgvMDEvc2llL2ludGVybmFsL2xhYmVsIiAvPjwvc2lzbD48VXNlck5hbWU+Q09SUFxzMjkwNzkyPC9Vc2VyTmFtZT48RGF0ZVRpbWU+Ni8zMC8yMDI1IDEyOjE3OjQzIFBNPC9EYXRlVGltZT48TGFiZWxTdHJpbmc+VW5jYXRlZ29yaXplZDwvTGFiZWxTdHJpbmc+PC9pdGVtPjwvbGFiZWxIaXN0b3J5Pg==</Value>
</WrappedLabelHistory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936e22d5-45a7-4cb7-95ab-1aa8c7c88789" value=""/>
</sisl>
</file>

<file path=customXml/itemProps1.xml><?xml version="1.0" encoding="utf-8"?>
<ds:datastoreItem xmlns:ds="http://schemas.openxmlformats.org/officeDocument/2006/customXml" ds:itemID="{A4EB06F9-9BEC-4CDA-9E60-D758479306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60348B-7098-4980-9E97-515E3D117B4E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05DEE1FD-D9B7-48EA-86C6-CB9CA934CE9F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4.xml><?xml version="1.0" encoding="utf-8"?>
<ds:datastoreItem xmlns:ds="http://schemas.openxmlformats.org/officeDocument/2006/customXml" ds:itemID="{A71C189C-A52B-456E-AF69-FAC6BDBE93CC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EA7E9E9-29CB-4226-879C-4858FACE57A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Retail Impact</vt:lpstr>
      <vt:lpstr>ELG Rev Req</vt:lpstr>
      <vt:lpstr>Repayment</vt:lpstr>
      <vt:lpstr>Depr and ADFIT</vt:lpstr>
      <vt:lpstr>O&amp;M</vt:lpstr>
      <vt:lpstr>Alloc. Factors and Property Tax</vt:lpstr>
      <vt:lpstr>WACC</vt:lpstr>
      <vt:lpstr>12mos BA</vt:lpstr>
      <vt:lpstr>CCR&gt;&gt;&gt;</vt:lpstr>
      <vt:lpstr>Summary</vt:lpstr>
      <vt:lpstr>Current CCR Est Rev Req</vt:lpstr>
      <vt:lpstr>Modified CCR Est Rev Req</vt:lpstr>
      <vt:lpstr>CCR Depr and ADFIT</vt:lpstr>
      <vt:lpstr>WACC!Print_Area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2025-06-30T12:17:11Z</dcterms:created>
  <dcterms:modified xsi:type="dcterms:W3CDTF">2025-11-13T14:35:32Z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531542bc-911e-4929-b287-95a7ccbe3655</vt:lpwstr>
  </property>
  <property fmtid="{D5CDD505-2E9C-101B-9397-08002B2CF9AE}" pid="3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4" name="bjDocumentLabelXML-0">
    <vt:lpwstr>ames.com/2008/01/sie/internal/label"&gt;&lt;element uid="936e22d5-45a7-4cb7-95ab-1aa8c7c88789" value="" /&gt;&lt;/sisl&gt;</vt:lpwstr>
  </property>
  <property fmtid="{D5CDD505-2E9C-101B-9397-08002B2CF9AE}" pid="5" name="bjDocumentSecurityLabel">
    <vt:lpwstr>Uncategorized</vt:lpwstr>
  </property>
  <property fmtid="{D5CDD505-2E9C-101B-9397-08002B2CF9AE}" pid="6" name="MSIP_Label_574d496c-7ac4-4b13-81fd-698eca66b217_SiteId">
    <vt:lpwstr>15f3c881-6b03-4ff6-8559-77bf5177818f</vt:lpwstr>
  </property>
  <property fmtid="{D5CDD505-2E9C-101B-9397-08002B2CF9AE}" pid="7" name="MSIP_Label_574d496c-7ac4-4b13-81fd-698eca66b217_Name">
    <vt:lpwstr>Uncategorized</vt:lpwstr>
  </property>
  <property fmtid="{D5CDD505-2E9C-101B-9397-08002B2CF9AE}" pid="8" name="MSIP_Label_574d496c-7ac4-4b13-81fd-698eca66b217_Enabled">
    <vt:lpwstr>true</vt:lpwstr>
  </property>
  <property fmtid="{D5CDD505-2E9C-101B-9397-08002B2CF9AE}" pid="9" name="bjClsUserRVM">
    <vt:lpwstr>[]</vt:lpwstr>
  </property>
  <property fmtid="{D5CDD505-2E9C-101B-9397-08002B2CF9AE}" pid="10" name="bjLabelHistoryID">
    <vt:lpwstr>{8160348B-7098-4980-9E97-515E3D117B4E}</vt:lpwstr>
  </property>
  <property fmtid="{D5CDD505-2E9C-101B-9397-08002B2CF9AE}" pid="11" name="ContentTypeId">
    <vt:lpwstr>0x0101004DF805D1E1DA4A49A223477D3B105720</vt:lpwstr>
  </property>
  <property fmtid="{D5CDD505-2E9C-101B-9397-08002B2CF9AE}" pid="12" name="bjSaver">
    <vt:lpwstr>Yzo6iu4RCOp5VcJWjy40zzIEO7NbA0wx</vt:lpwstr>
  </property>
  <property fmtid="{D5CDD505-2E9C-101B-9397-08002B2CF9AE}" pid="13" name="MediaServiceImageTags">
    <vt:lpwstr/>
  </property>
</Properties>
</file>