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pricing\Rate Cases\KPCo\2025 ML ELG Filing\Discovery\AG Attachments\"/>
    </mc:Choice>
  </mc:AlternateContent>
  <xr:revisionPtr revIDLastSave="0" documentId="13_ncr:1_{A74F7251-53BD-4B71-B226-585BE881063F}" xr6:coauthVersionLast="47" xr6:coauthVersionMax="47" xr10:uidLastSave="{00000000-0000-0000-0000-000000000000}"/>
  <bookViews>
    <workbookView xWindow="28680" yWindow="0" windowWidth="29040" windowHeight="15720" tabRatio="941" xr2:uid="{00000000-000D-0000-FFFF-FFFF00000000}"/>
  </bookViews>
  <sheets>
    <sheet name="2029 NBV Starting Point" sheetId="25" r:id="rId1"/>
    <sheet name="20 Yrs - 100% Gas" sheetId="28" r:id="rId2"/>
    <sheet name="Retire in 2038" sheetId="27" r:id="rId3"/>
  </sheets>
  <calcPr calcId="191029" iterate="1" calcOnSave="0"/>
  <customWorkbookViews>
    <customWorkbookView name="circular reference" guid="{7D85062D-FDEE-4642-8FDC-849A020D085B}" maximized="1" windowWidth="1276" windowHeight="795" tabRatio="494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5" l="1"/>
  <c r="D5" i="25"/>
  <c r="B64" i="27" l="1"/>
  <c r="B65" i="27" l="1"/>
  <c r="B11" i="25"/>
  <c r="B10" i="25"/>
  <c r="E5" i="25" l="1"/>
  <c r="F7" i="25"/>
  <c r="F6" i="25"/>
  <c r="C7" i="28" l="1"/>
  <c r="C8" i="27"/>
  <c r="C6" i="28"/>
  <c r="C7" i="27"/>
  <c r="F5" i="25"/>
  <c r="C49" i="27" l="1"/>
  <c r="C25" i="27"/>
  <c r="C37" i="27" s="1"/>
  <c r="D49" i="27" s="1"/>
  <c r="C5" i="28"/>
  <c r="C6" i="27"/>
  <c r="C48" i="27"/>
  <c r="C24" i="27"/>
  <c r="C47" i="28"/>
  <c r="C23" i="28"/>
  <c r="D23" i="28" s="1"/>
  <c r="E23" i="28" s="1"/>
  <c r="F23" i="28" s="1"/>
  <c r="G23" i="28" s="1"/>
  <c r="H23" i="28" s="1"/>
  <c r="I23" i="28" s="1"/>
  <c r="J23" i="28" s="1"/>
  <c r="K23" i="28" s="1"/>
  <c r="L23" i="28" s="1"/>
  <c r="M23" i="28" s="1"/>
  <c r="N23" i="28" s="1"/>
  <c r="O23" i="28" s="1"/>
  <c r="P23" i="28" s="1"/>
  <c r="Q23" i="28" s="1"/>
  <c r="R23" i="28" s="1"/>
  <c r="S23" i="28" s="1"/>
  <c r="T23" i="28" s="1"/>
  <c r="U23" i="28" s="1"/>
  <c r="V23" i="28" s="1"/>
  <c r="C48" i="28"/>
  <c r="C24" i="28"/>
  <c r="D24" i="28" s="1"/>
  <c r="E24" i="28" s="1"/>
  <c r="F24" i="28" s="1"/>
  <c r="G24" i="28" s="1"/>
  <c r="H24" i="28" s="1"/>
  <c r="I24" i="28" s="1"/>
  <c r="D36" i="28"/>
  <c r="E48" i="28" s="1"/>
  <c r="E60" i="28" s="1"/>
  <c r="C36" i="28" l="1"/>
  <c r="D48" i="28" s="1"/>
  <c r="D60" i="28" s="1"/>
  <c r="O35" i="28"/>
  <c r="P47" i="28" s="1"/>
  <c r="U35" i="28"/>
  <c r="V47" i="28" s="1"/>
  <c r="V59" i="28" s="1"/>
  <c r="L35" i="28"/>
  <c r="M47" i="28" s="1"/>
  <c r="M59" i="28" s="1"/>
  <c r="Q35" i="28"/>
  <c r="R47" i="28" s="1"/>
  <c r="G35" i="28"/>
  <c r="H47" i="28" s="1"/>
  <c r="H59" i="28" s="1"/>
  <c r="E35" i="28"/>
  <c r="F47" i="28" s="1"/>
  <c r="F59" i="28" s="1"/>
  <c r="M35" i="28"/>
  <c r="N47" i="28" s="1"/>
  <c r="N59" i="28" s="1"/>
  <c r="N35" i="28"/>
  <c r="O47" i="28" s="1"/>
  <c r="O59" i="28" s="1"/>
  <c r="D35" i="28"/>
  <c r="E47" i="28" s="1"/>
  <c r="H36" i="28"/>
  <c r="I48" i="28" s="1"/>
  <c r="F36" i="28"/>
  <c r="G48" i="28" s="1"/>
  <c r="G60" i="28" s="1"/>
  <c r="W23" i="28"/>
  <c r="C35" i="28"/>
  <c r="D47" i="28" s="1"/>
  <c r="D59" i="28" s="1"/>
  <c r="E36" i="28"/>
  <c r="F48" i="28" s="1"/>
  <c r="F60" i="28" s="1"/>
  <c r="R59" i="28"/>
  <c r="C47" i="27"/>
  <c r="C23" i="27"/>
  <c r="D23" i="27" s="1"/>
  <c r="E23" i="27" s="1"/>
  <c r="F23" i="27" s="1"/>
  <c r="G23" i="27" s="1"/>
  <c r="H23" i="27" s="1"/>
  <c r="I23" i="27" s="1"/>
  <c r="J23" i="27" s="1"/>
  <c r="K23" i="27" s="1"/>
  <c r="D35" i="27"/>
  <c r="E35" i="27"/>
  <c r="P59" i="28"/>
  <c r="C60" i="27"/>
  <c r="D24" i="27"/>
  <c r="C22" i="28"/>
  <c r="D22" i="28" s="1"/>
  <c r="E22" i="28" s="1"/>
  <c r="F22" i="28" s="1"/>
  <c r="G22" i="28" s="1"/>
  <c r="H22" i="28" s="1"/>
  <c r="I22" i="28" s="1"/>
  <c r="J22" i="28" s="1"/>
  <c r="K22" i="28" s="1"/>
  <c r="L22" i="28" s="1"/>
  <c r="M22" i="28" s="1"/>
  <c r="N22" i="28" s="1"/>
  <c r="O22" i="28" s="1"/>
  <c r="P22" i="28" s="1"/>
  <c r="Q22" i="28" s="1"/>
  <c r="R22" i="28" s="1"/>
  <c r="S22" i="28" s="1"/>
  <c r="T22" i="28" s="1"/>
  <c r="U22" i="28" s="1"/>
  <c r="V22" i="28" s="1"/>
  <c r="C46" i="28"/>
  <c r="V35" i="28"/>
  <c r="S35" i="28"/>
  <c r="T47" i="28" s="1"/>
  <c r="E46" i="28"/>
  <c r="E59" i="28"/>
  <c r="P35" i="28"/>
  <c r="Q47" i="28" s="1"/>
  <c r="I60" i="28"/>
  <c r="J24" i="28"/>
  <c r="T35" i="28"/>
  <c r="U47" i="28" s="1"/>
  <c r="I36" i="28"/>
  <c r="J48" i="28" s="1"/>
  <c r="I35" i="28"/>
  <c r="J47" i="28" s="1"/>
  <c r="C61" i="27"/>
  <c r="D25" i="27"/>
  <c r="K35" i="28"/>
  <c r="L47" i="28" s="1"/>
  <c r="C59" i="28"/>
  <c r="C60" i="28"/>
  <c r="J35" i="28"/>
  <c r="K47" i="28" s="1"/>
  <c r="G36" i="28"/>
  <c r="H48" i="28" s="1"/>
  <c r="H60" i="28" s="1"/>
  <c r="H35" i="28"/>
  <c r="I47" i="28" s="1"/>
  <c r="R35" i="28"/>
  <c r="S47" i="28" s="1"/>
  <c r="F35" i="28"/>
  <c r="G47" i="28" s="1"/>
  <c r="C36" i="27"/>
  <c r="D48" i="27" s="1"/>
  <c r="D46" i="28" l="1"/>
  <c r="K35" i="27"/>
  <c r="L23" i="27"/>
  <c r="F35" i="27"/>
  <c r="C59" i="27"/>
  <c r="H46" i="28"/>
  <c r="H58" i="28" s="1"/>
  <c r="F46" i="28"/>
  <c r="F58" i="28" s="1"/>
  <c r="K24" i="28"/>
  <c r="J36" i="28"/>
  <c r="K48" i="28" s="1"/>
  <c r="K46" i="28" s="1"/>
  <c r="K58" i="28" s="1"/>
  <c r="I34" i="28"/>
  <c r="D58" i="28"/>
  <c r="S59" i="28"/>
  <c r="G34" i="28"/>
  <c r="I59" i="28"/>
  <c r="I46" i="28"/>
  <c r="I58" i="28" s="1"/>
  <c r="F34" i="28"/>
  <c r="E24" i="27"/>
  <c r="T59" i="28"/>
  <c r="H34" i="28"/>
  <c r="G59" i="28"/>
  <c r="G46" i="28"/>
  <c r="G58" i="28" s="1"/>
  <c r="P34" i="28"/>
  <c r="K36" i="28"/>
  <c r="L48" i="28" s="1"/>
  <c r="L46" i="28" s="1"/>
  <c r="L58" i="28" s="1"/>
  <c r="V34" i="28"/>
  <c r="Q59" i="28"/>
  <c r="N34" i="28"/>
  <c r="L59" i="28"/>
  <c r="D36" i="27"/>
  <c r="E48" i="27" s="1"/>
  <c r="U34" i="28"/>
  <c r="M34" i="28"/>
  <c r="E34" i="28"/>
  <c r="J35" i="27"/>
  <c r="Q34" i="28"/>
  <c r="W22" i="28"/>
  <c r="E58" i="28"/>
  <c r="T34" i="28"/>
  <c r="L34" i="28"/>
  <c r="D34" i="28"/>
  <c r="H35" i="27"/>
  <c r="E25" i="27"/>
  <c r="F25" i="27" s="1"/>
  <c r="G25" i="27" s="1"/>
  <c r="H25" i="27" s="1"/>
  <c r="I25" i="27" s="1"/>
  <c r="J25" i="27" s="1"/>
  <c r="K25" i="27" s="1"/>
  <c r="J37" i="27"/>
  <c r="K49" i="27" s="1"/>
  <c r="K61" i="27" s="1"/>
  <c r="O34" i="28"/>
  <c r="D37" i="27"/>
  <c r="E49" i="27" s="1"/>
  <c r="D61" i="27"/>
  <c r="S34" i="28"/>
  <c r="K34" i="28"/>
  <c r="C58" i="28"/>
  <c r="G35" i="27"/>
  <c r="U59" i="28"/>
  <c r="K59" i="28"/>
  <c r="J59" i="28"/>
  <c r="J46" i="28"/>
  <c r="J58" i="28" s="1"/>
  <c r="D47" i="27"/>
  <c r="D59" i="27" s="1"/>
  <c r="D60" i="27"/>
  <c r="J60" i="28"/>
  <c r="R34" i="28"/>
  <c r="J34" i="28"/>
  <c r="C34" i="28"/>
  <c r="I35" i="27"/>
  <c r="C35" i="27"/>
  <c r="E61" i="27" l="1"/>
  <c r="K37" i="27"/>
  <c r="F37" i="27"/>
  <c r="G49" i="27" s="1"/>
  <c r="G61" i="27" s="1"/>
  <c r="I37" i="27"/>
  <c r="J49" i="27" s="1"/>
  <c r="J61" i="27" s="1"/>
  <c r="L25" i="27"/>
  <c r="E37" i="27"/>
  <c r="F49" i="27" s="1"/>
  <c r="F61" i="27" s="1"/>
  <c r="H37" i="27"/>
  <c r="I49" i="27" s="1"/>
  <c r="I61" i="27" s="1"/>
  <c r="K60" i="28"/>
  <c r="F24" i="27"/>
  <c r="E47" i="27"/>
  <c r="E59" i="27" s="1"/>
  <c r="E60" i="27"/>
  <c r="F36" i="27"/>
  <c r="G48" i="27" s="1"/>
  <c r="E36" i="27"/>
  <c r="F48" i="27" s="1"/>
  <c r="G37" i="27"/>
  <c r="H49" i="27" s="1"/>
  <c r="H61" i="27" s="1"/>
  <c r="L24" i="28"/>
  <c r="G47" i="27" l="1"/>
  <c r="G59" i="27" s="1"/>
  <c r="M24" i="28"/>
  <c r="L36" i="28"/>
  <c r="M48" i="28" s="1"/>
  <c r="F60" i="27"/>
  <c r="F47" i="27"/>
  <c r="F59" i="27" s="1"/>
  <c r="L60" i="28"/>
  <c r="G24" i="27"/>
  <c r="M60" i="28" l="1"/>
  <c r="M46" i="28"/>
  <c r="M58" i="28" s="1"/>
  <c r="N24" i="28"/>
  <c r="H24" i="27"/>
  <c r="G36" i="27"/>
  <c r="H48" i="27" s="1"/>
  <c r="H36" i="27"/>
  <c r="I48" i="27" s="1"/>
  <c r="M36" i="28"/>
  <c r="N48" i="28" s="1"/>
  <c r="G60" i="27"/>
  <c r="H47" i="27" l="1"/>
  <c r="H59" i="27" s="1"/>
  <c r="H60" i="27"/>
  <c r="O24" i="28"/>
  <c r="N36" i="28"/>
  <c r="O48" i="28" s="1"/>
  <c r="N60" i="28"/>
  <c r="N46" i="28"/>
  <c r="N58" i="28" s="1"/>
  <c r="I47" i="27"/>
  <c r="I59" i="27" s="1"/>
  <c r="I24" i="27"/>
  <c r="J24" i="27" l="1"/>
  <c r="I36" i="27"/>
  <c r="J48" i="27" s="1"/>
  <c r="P24" i="28"/>
  <c r="I60" i="27"/>
  <c r="O60" i="28"/>
  <c r="O46" i="28"/>
  <c r="O58" i="28" s="1"/>
  <c r="O36" i="28"/>
  <c r="P48" i="28" s="1"/>
  <c r="J47" i="27" l="1"/>
  <c r="J59" i="27" s="1"/>
  <c r="J60" i="27"/>
  <c r="P60" i="28"/>
  <c r="P46" i="28"/>
  <c r="P58" i="28" s="1"/>
  <c r="Q24" i="28"/>
  <c r="P36" i="28"/>
  <c r="Q48" i="28" s="1"/>
  <c r="K24" i="27"/>
  <c r="L24" i="27" s="1"/>
  <c r="J36" i="27"/>
  <c r="K48" i="27" s="1"/>
  <c r="K36" i="27" l="1"/>
  <c r="K47" i="27"/>
  <c r="K59" i="27" s="1"/>
  <c r="K60" i="27"/>
  <c r="Q60" i="28"/>
  <c r="Q46" i="28"/>
  <c r="Q58" i="28" s="1"/>
  <c r="R24" i="28"/>
  <c r="Q36" i="28"/>
  <c r="R48" i="28" s="1"/>
  <c r="R60" i="28" l="1"/>
  <c r="R46" i="28"/>
  <c r="R58" i="28" s="1"/>
  <c r="S24" i="28"/>
  <c r="R36" i="28"/>
  <c r="S48" i="28" s="1"/>
  <c r="S60" i="28" l="1"/>
  <c r="S46" i="28"/>
  <c r="S58" i="28" s="1"/>
  <c r="T24" i="28"/>
  <c r="S36" i="28"/>
  <c r="T48" i="28" s="1"/>
  <c r="T60" i="28" l="1"/>
  <c r="T46" i="28"/>
  <c r="T58" i="28" s="1"/>
  <c r="U24" i="28"/>
  <c r="T36" i="28"/>
  <c r="U48" i="28" s="1"/>
  <c r="U60" i="28" l="1"/>
  <c r="U46" i="28"/>
  <c r="U58" i="28" s="1"/>
  <c r="V24" i="28"/>
  <c r="U36" i="28"/>
  <c r="V48" i="28" s="1"/>
  <c r="V60" i="28" l="1"/>
  <c r="V46" i="28"/>
  <c r="V58" i="28" s="1"/>
  <c r="V36" i="28"/>
  <c r="W24" i="28"/>
</calcChain>
</file>

<file path=xl/sharedStrings.xml><?xml version="1.0" encoding="utf-8"?>
<sst xmlns="http://schemas.openxmlformats.org/spreadsheetml/2006/main" count="68" uniqueCount="19">
  <si>
    <t>KPCO</t>
  </si>
  <si>
    <t>WPCO</t>
  </si>
  <si>
    <t>Net Book Value</t>
  </si>
  <si>
    <t>Figures as of 12/31/2024</t>
  </si>
  <si>
    <t>Annual Depreciation</t>
  </si>
  <si>
    <t>Capital Forecast</t>
  </si>
  <si>
    <t>2025-2029</t>
  </si>
  <si>
    <t>Estimated NBV</t>
  </si>
  <si>
    <t>APCO/WPCO WACC</t>
  </si>
  <si>
    <t>KPCO WACC</t>
  </si>
  <si>
    <t>ICAP</t>
  </si>
  <si>
    <t>Mitchell Plant</t>
  </si>
  <si>
    <t>Depreciation Expense</t>
  </si>
  <si>
    <t>check sum</t>
  </si>
  <si>
    <t>End of Period Ratebase</t>
  </si>
  <si>
    <t>Annual Return On Ratebase</t>
  </si>
  <si>
    <t>Total Annual Return</t>
  </si>
  <si>
    <t>Check Sum</t>
  </si>
  <si>
    <t>Pre-Tax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</si>
</sst>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72" formatCode="0.0%"/>
    <numFmt numFmtId="173" formatCode="_(* #,##0.000_);_(* \(#,##0.00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b/>
      <sz val="10"/>
      <name val="MS Sans Serif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6" fillId="0" borderId="1">
      <alignment horizontal="center"/>
    </xf>
    <xf numFmtId="3" fontId="5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10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  <xf numFmtId="9" fontId="1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0" fillId="0" borderId="0" xfId="0" applyAlignment="1">
      <alignment horizontal="center"/>
    </xf>
    <xf numFmtId="165" fontId="0" fillId="0" borderId="0" xfId="6" applyNumberFormat="1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0" fillId="0" borderId="0" xfId="6" applyNumberFormat="1" applyFont="1" applyFill="1"/>
    <xf numFmtId="43" fontId="12" fillId="0" borderId="0" xfId="1" applyFont="1" applyFill="1"/>
    <xf numFmtId="0" fontId="12" fillId="0" borderId="0" xfId="0" applyFont="1" applyFill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65" fontId="0" fillId="0" borderId="0" xfId="0" applyNumberFormat="1" applyFill="1"/>
    <xf numFmtId="172" fontId="12" fillId="0" borderId="0" xfId="25" applyNumberFormat="1" applyFont="1" applyFill="1"/>
    <xf numFmtId="173" fontId="12" fillId="0" borderId="0" xfId="1" applyNumberFormat="1" applyFont="1" applyFill="1"/>
    <xf numFmtId="0" fontId="2" fillId="0" borderId="2" xfId="0" applyFont="1" applyFill="1" applyBorder="1"/>
  </cellXfs>
  <cellStyles count="26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8" xr:uid="{82386AB4-A428-4D4C-82F6-4533907D18C3}"/>
    <cellStyle name="Percent" xfId="25" builtinId="5"/>
    <cellStyle name="Percent 2" xfId="11" xr:uid="{00000000-0005-0000-0000-00000B000000}"/>
    <cellStyle name="PSChar" xfId="12" xr:uid="{00000000-0005-0000-0000-00000C000000}"/>
    <cellStyle name="PSChar 2" xfId="19" xr:uid="{0CB61273-CA43-4EAD-A418-2E8D97031B7E}"/>
    <cellStyle name="PSDate" xfId="13" xr:uid="{00000000-0005-0000-0000-00000D000000}"/>
    <cellStyle name="PSDate 2" xfId="20" xr:uid="{93C0E48F-2AC0-4B6F-8BBA-DE9EEDE62532}"/>
    <cellStyle name="PSDec" xfId="14" xr:uid="{00000000-0005-0000-0000-00000E000000}"/>
    <cellStyle name="PSDec 2" xfId="21" xr:uid="{92D3B5A5-5850-4916-865C-7F7786E9854F}"/>
    <cellStyle name="PSHeading" xfId="15" xr:uid="{00000000-0005-0000-0000-00000F000000}"/>
    <cellStyle name="PSHeading 2" xfId="22" xr:uid="{4BE709E2-3089-4C66-9D0F-91380A7FEEB0}"/>
    <cellStyle name="PSInt" xfId="16" xr:uid="{00000000-0005-0000-0000-000010000000}"/>
    <cellStyle name="PSInt 2" xfId="23" xr:uid="{974C1C86-EF39-4840-8BA9-73EA46971AB1}"/>
    <cellStyle name="PSSpacer" xfId="17" xr:uid="{00000000-0005-0000-0000-000011000000}"/>
    <cellStyle name="PSSpacer 2" xfId="24" xr:uid="{97DCD387-08CE-459A-AC35-EC81572E6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5C5D-14C8-4562-A631-8ADF20E3D1B4}">
  <dimension ref="A1:J11"/>
  <sheetViews>
    <sheetView tabSelected="1" workbookViewId="0">
      <selection activeCell="D27" sqref="D27"/>
    </sheetView>
  </sheetViews>
  <sheetFormatPr defaultRowHeight="12.5" x14ac:dyDescent="0.25"/>
  <cols>
    <col min="1" max="1" width="18.36328125" customWidth="1"/>
    <col min="2" max="2" width="16.453125" customWidth="1"/>
    <col min="3" max="3" width="18.26953125" customWidth="1"/>
    <col min="4" max="4" width="19.36328125" customWidth="1"/>
    <col min="5" max="5" width="16.08984375" customWidth="1"/>
    <col min="6" max="6" width="14.453125" customWidth="1"/>
    <col min="7" max="7" width="2.453125" customWidth="1"/>
  </cols>
  <sheetData>
    <row r="1" spans="1:10" ht="14" x14ac:dyDescent="0.3">
      <c r="A1" s="5" t="s">
        <v>3</v>
      </c>
      <c r="B1" s="5"/>
    </row>
    <row r="3" spans="1:10" ht="13" x14ac:dyDescent="0.3">
      <c r="B3" s="9"/>
      <c r="C3" s="10">
        <v>45657</v>
      </c>
      <c r="D3" s="9"/>
      <c r="E3" s="9" t="s">
        <v>5</v>
      </c>
      <c r="F3" s="9" t="s">
        <v>7</v>
      </c>
      <c r="G3" s="9"/>
      <c r="H3" s="6"/>
      <c r="I3" s="6"/>
      <c r="J3" s="6"/>
    </row>
    <row r="4" spans="1:10" ht="13" x14ac:dyDescent="0.3">
      <c r="B4" s="9" t="s">
        <v>10</v>
      </c>
      <c r="C4" s="9" t="s">
        <v>2</v>
      </c>
      <c r="D4" s="9" t="s">
        <v>4</v>
      </c>
      <c r="E4" s="9" t="s">
        <v>6</v>
      </c>
      <c r="F4" s="9">
        <v>2029</v>
      </c>
      <c r="G4" s="9"/>
      <c r="H4" s="6"/>
      <c r="I4" s="6"/>
      <c r="J4" s="6"/>
    </row>
    <row r="5" spans="1:10" x14ac:dyDescent="0.25">
      <c r="A5" t="s">
        <v>11</v>
      </c>
      <c r="B5" s="8"/>
      <c r="C5" s="7">
        <f t="shared" ref="C5:D5" si="0">SUM(C6:C7)</f>
        <v>1304910116.99</v>
      </c>
      <c r="D5" s="7">
        <f t="shared" si="0"/>
        <v>69867455.640000001</v>
      </c>
      <c r="E5" s="7">
        <f>SUM(E6:E7)</f>
        <v>247739648.27800006</v>
      </c>
      <c r="F5" s="7">
        <f>SUM(F6:F7)</f>
        <v>1203312487.0680001</v>
      </c>
      <c r="G5" s="7"/>
    </row>
    <row r="6" spans="1:10" x14ac:dyDescent="0.25">
      <c r="A6" t="s">
        <v>0</v>
      </c>
      <c r="B6" s="8">
        <v>770</v>
      </c>
      <c r="C6" s="7">
        <v>547264845.86000001</v>
      </c>
      <c r="D6" s="7">
        <v>30724614</v>
      </c>
      <c r="E6" s="7">
        <v>30918869.070000008</v>
      </c>
      <c r="F6" s="7">
        <f>C6+(E6-(D6*5))</f>
        <v>424560644.93000001</v>
      </c>
      <c r="G6" s="7"/>
    </row>
    <row r="7" spans="1:10" x14ac:dyDescent="0.25">
      <c r="A7" t="s">
        <v>1</v>
      </c>
      <c r="B7" s="8">
        <v>790</v>
      </c>
      <c r="C7" s="7">
        <v>757645271.13</v>
      </c>
      <c r="D7" s="7">
        <v>39142841.640000001</v>
      </c>
      <c r="E7" s="7">
        <v>216820779.20800003</v>
      </c>
      <c r="F7" s="7">
        <f>C7+(E7-(D7*5))</f>
        <v>778751842.13800001</v>
      </c>
      <c r="G7" s="7"/>
    </row>
    <row r="8" spans="1:10" x14ac:dyDescent="0.25">
      <c r="C8" s="7"/>
      <c r="D8" s="7"/>
      <c r="E8" s="7"/>
      <c r="F8" s="7"/>
      <c r="G8" s="7"/>
    </row>
    <row r="9" spans="1:10" x14ac:dyDescent="0.25">
      <c r="A9" t="s">
        <v>18</v>
      </c>
      <c r="C9" s="7"/>
      <c r="D9" s="7"/>
      <c r="E9" s="7"/>
      <c r="F9" s="7"/>
      <c r="G9" s="7"/>
    </row>
    <row r="10" spans="1:10" x14ac:dyDescent="0.25">
      <c r="A10" t="s">
        <v>8</v>
      </c>
      <c r="B10" s="18">
        <f>1+'20 Yrs - 100% Gas'!B63</f>
        <v>1.08704042610275</v>
      </c>
    </row>
    <row r="11" spans="1:10" x14ac:dyDescent="0.25">
      <c r="A11" t="s">
        <v>9</v>
      </c>
      <c r="B11" s="18">
        <f>1+'20 Yrs - 100% Gas'!B64</f>
        <v>1.0821622139035645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0AC8-7AC7-4C61-BB98-45A275A2DA67}">
  <dimension ref="A1:W64"/>
  <sheetViews>
    <sheetView topLeftCell="A24" zoomScaleNormal="100" workbookViewId="0">
      <selection activeCell="C37" sqref="C37"/>
    </sheetView>
  </sheetViews>
  <sheetFormatPr defaultRowHeight="12.5" x14ac:dyDescent="0.25"/>
  <cols>
    <col min="1" max="1" width="24.36328125" style="1" bestFit="1" customWidth="1"/>
    <col min="2" max="2" width="8.7265625" style="1"/>
    <col min="3" max="22" width="17.36328125" style="1" customWidth="1"/>
    <col min="23" max="23" width="14.81640625" style="1" bestFit="1" customWidth="1"/>
    <col min="24" max="16384" width="8.7265625" style="1"/>
  </cols>
  <sheetData>
    <row r="1" spans="1:23" ht="14" x14ac:dyDescent="0.3">
      <c r="A1" s="5" t="s">
        <v>3</v>
      </c>
      <c r="B1" s="5"/>
    </row>
    <row r="3" spans="1:23" ht="13" x14ac:dyDescent="0.3">
      <c r="B3" s="2"/>
      <c r="C3" s="2" t="s">
        <v>2</v>
      </c>
    </row>
    <row r="4" spans="1:23" x14ac:dyDescent="0.25">
      <c r="B4" s="3"/>
      <c r="C4" s="11"/>
    </row>
    <row r="5" spans="1:23" x14ac:dyDescent="0.25">
      <c r="A5" s="1" t="s">
        <v>11</v>
      </c>
      <c r="B5" s="3"/>
      <c r="C5" s="11">
        <f>'2029 NBV Starting Point'!F5</f>
        <v>1203312487.0680001</v>
      </c>
    </row>
    <row r="6" spans="1:23" x14ac:dyDescent="0.25">
      <c r="A6" s="1" t="s">
        <v>0</v>
      </c>
      <c r="B6" s="3">
        <v>770</v>
      </c>
      <c r="C6" s="11">
        <f>'2029 NBV Starting Point'!F6</f>
        <v>424560644.93000001</v>
      </c>
    </row>
    <row r="7" spans="1:23" x14ac:dyDescent="0.25">
      <c r="A7" s="1" t="s">
        <v>1</v>
      </c>
      <c r="B7" s="3">
        <v>790</v>
      </c>
      <c r="C7" s="11">
        <f>'2029 NBV Starting Point'!F7</f>
        <v>778751842.13800001</v>
      </c>
    </row>
    <row r="8" spans="1:23" x14ac:dyDescent="0.25">
      <c r="C8" s="11"/>
    </row>
    <row r="9" spans="1:23" x14ac:dyDescent="0.25">
      <c r="C9" s="11"/>
    </row>
    <row r="10" spans="1:23" x14ac:dyDescent="0.25">
      <c r="A10" s="1" t="s">
        <v>8</v>
      </c>
      <c r="B10" s="12">
        <v>1.08</v>
      </c>
    </row>
    <row r="11" spans="1:23" x14ac:dyDescent="0.25">
      <c r="A11" s="1" t="s">
        <v>9</v>
      </c>
      <c r="B11" s="13">
        <v>1.08</v>
      </c>
    </row>
    <row r="14" spans="1:23" x14ac:dyDescent="0.25">
      <c r="A14" s="14" t="s">
        <v>12</v>
      </c>
      <c r="B14" s="14"/>
      <c r="C14" s="15">
        <v>2030</v>
      </c>
      <c r="D14" s="15">
        <v>2031</v>
      </c>
      <c r="E14" s="15">
        <v>2032</v>
      </c>
      <c r="F14" s="15">
        <v>2033</v>
      </c>
      <c r="G14" s="15">
        <v>2034</v>
      </c>
      <c r="H14" s="15">
        <v>2035</v>
      </c>
      <c r="I14" s="15">
        <v>2036</v>
      </c>
      <c r="J14" s="15">
        <v>2037</v>
      </c>
      <c r="K14" s="15">
        <v>2038</v>
      </c>
      <c r="L14" s="15">
        <v>2039</v>
      </c>
      <c r="M14" s="15">
        <v>2040</v>
      </c>
      <c r="N14" s="15">
        <v>2041</v>
      </c>
      <c r="O14" s="15">
        <v>2042</v>
      </c>
      <c r="P14" s="15">
        <v>2043</v>
      </c>
      <c r="Q14" s="15">
        <v>2044</v>
      </c>
      <c r="R14" s="15">
        <v>2045</v>
      </c>
      <c r="S14" s="15">
        <v>2046</v>
      </c>
      <c r="T14" s="15">
        <v>2047</v>
      </c>
      <c r="U14" s="15">
        <v>2048</v>
      </c>
      <c r="V14" s="15">
        <v>2048</v>
      </c>
      <c r="W14" s="1" t="s">
        <v>17</v>
      </c>
    </row>
    <row r="15" spans="1:23" x14ac:dyDescent="0.25"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x14ac:dyDescent="0.25"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x14ac:dyDescent="0.2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x14ac:dyDescent="0.2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20" spans="1:23" x14ac:dyDescent="0.25"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2" spans="1:23" x14ac:dyDescent="0.25">
      <c r="A22" s="1" t="s">
        <v>11</v>
      </c>
      <c r="C22" s="16">
        <f>C5/20</f>
        <v>60165624.353400007</v>
      </c>
      <c r="D22" s="16">
        <f>C22</f>
        <v>60165624.353400007</v>
      </c>
      <c r="E22" s="16">
        <f t="shared" ref="E22:K22" si="0">D22</f>
        <v>60165624.353400007</v>
      </c>
      <c r="F22" s="16">
        <f t="shared" si="0"/>
        <v>60165624.353400007</v>
      </c>
      <c r="G22" s="16">
        <f t="shared" si="0"/>
        <v>60165624.353400007</v>
      </c>
      <c r="H22" s="16">
        <f t="shared" si="0"/>
        <v>60165624.353400007</v>
      </c>
      <c r="I22" s="16">
        <f t="shared" si="0"/>
        <v>60165624.353400007</v>
      </c>
      <c r="J22" s="16">
        <f t="shared" si="0"/>
        <v>60165624.353400007</v>
      </c>
      <c r="K22" s="16">
        <f t="shared" si="0"/>
        <v>60165624.353400007</v>
      </c>
      <c r="L22" s="16">
        <f t="shared" ref="L22:V22" si="1">K22</f>
        <v>60165624.353400007</v>
      </c>
      <c r="M22" s="16">
        <f t="shared" si="1"/>
        <v>60165624.353400007</v>
      </c>
      <c r="N22" s="16">
        <f t="shared" si="1"/>
        <v>60165624.353400007</v>
      </c>
      <c r="O22" s="16">
        <f t="shared" si="1"/>
        <v>60165624.353400007</v>
      </c>
      <c r="P22" s="16">
        <f t="shared" si="1"/>
        <v>60165624.353400007</v>
      </c>
      <c r="Q22" s="16">
        <f t="shared" si="1"/>
        <v>60165624.353400007</v>
      </c>
      <c r="R22" s="16">
        <f t="shared" si="1"/>
        <v>60165624.353400007</v>
      </c>
      <c r="S22" s="16">
        <f t="shared" si="1"/>
        <v>60165624.353400007</v>
      </c>
      <c r="T22" s="16">
        <f t="shared" si="1"/>
        <v>60165624.353400007</v>
      </c>
      <c r="U22" s="16">
        <f t="shared" si="1"/>
        <v>60165624.353400007</v>
      </c>
      <c r="V22" s="16">
        <f t="shared" si="1"/>
        <v>60165624.353400007</v>
      </c>
      <c r="W22" s="16">
        <f>SUM(C22:V22)-C5</f>
        <v>0</v>
      </c>
    </row>
    <row r="23" spans="1:23" x14ac:dyDescent="0.25">
      <c r="A23" s="1" t="s">
        <v>0</v>
      </c>
      <c r="C23" s="16">
        <f>C6/20</f>
        <v>21228032.2465</v>
      </c>
      <c r="D23" s="16">
        <f t="shared" ref="D23:K24" si="2">C23</f>
        <v>21228032.2465</v>
      </c>
      <c r="E23" s="16">
        <f t="shared" si="2"/>
        <v>21228032.2465</v>
      </c>
      <c r="F23" s="16">
        <f t="shared" si="2"/>
        <v>21228032.2465</v>
      </c>
      <c r="G23" s="16">
        <f t="shared" si="2"/>
        <v>21228032.2465</v>
      </c>
      <c r="H23" s="16">
        <f t="shared" si="2"/>
        <v>21228032.2465</v>
      </c>
      <c r="I23" s="16">
        <f t="shared" si="2"/>
        <v>21228032.2465</v>
      </c>
      <c r="J23" s="16">
        <f t="shared" si="2"/>
        <v>21228032.2465</v>
      </c>
      <c r="K23" s="16">
        <f t="shared" si="2"/>
        <v>21228032.2465</v>
      </c>
      <c r="L23" s="16">
        <f t="shared" ref="L23:V23" si="3">K23</f>
        <v>21228032.2465</v>
      </c>
      <c r="M23" s="16">
        <f t="shared" si="3"/>
        <v>21228032.2465</v>
      </c>
      <c r="N23" s="16">
        <f t="shared" si="3"/>
        <v>21228032.2465</v>
      </c>
      <c r="O23" s="16">
        <f t="shared" si="3"/>
        <v>21228032.2465</v>
      </c>
      <c r="P23" s="16">
        <f t="shared" si="3"/>
        <v>21228032.2465</v>
      </c>
      <c r="Q23" s="16">
        <f t="shared" si="3"/>
        <v>21228032.2465</v>
      </c>
      <c r="R23" s="16">
        <f t="shared" si="3"/>
        <v>21228032.2465</v>
      </c>
      <c r="S23" s="16">
        <f t="shared" si="3"/>
        <v>21228032.2465</v>
      </c>
      <c r="T23" s="16">
        <f t="shared" si="3"/>
        <v>21228032.2465</v>
      </c>
      <c r="U23" s="16">
        <f t="shared" si="3"/>
        <v>21228032.2465</v>
      </c>
      <c r="V23" s="16">
        <f t="shared" si="3"/>
        <v>21228032.2465</v>
      </c>
      <c r="W23" s="16">
        <f t="shared" ref="W23:W24" si="4">SUM(C23:V23)-C6</f>
        <v>0</v>
      </c>
    </row>
    <row r="24" spans="1:23" x14ac:dyDescent="0.25">
      <c r="A24" s="1" t="s">
        <v>1</v>
      </c>
      <c r="C24" s="16">
        <f>C7/20</f>
        <v>38937592.106899999</v>
      </c>
      <c r="D24" s="16">
        <f t="shared" si="2"/>
        <v>38937592.106899999</v>
      </c>
      <c r="E24" s="16">
        <f t="shared" si="2"/>
        <v>38937592.106899999</v>
      </c>
      <c r="F24" s="16">
        <f t="shared" si="2"/>
        <v>38937592.106899999</v>
      </c>
      <c r="G24" s="16">
        <f t="shared" si="2"/>
        <v>38937592.106899999</v>
      </c>
      <c r="H24" s="16">
        <f t="shared" si="2"/>
        <v>38937592.106899999</v>
      </c>
      <c r="I24" s="16">
        <f t="shared" si="2"/>
        <v>38937592.106899999</v>
      </c>
      <c r="J24" s="16">
        <f t="shared" si="2"/>
        <v>38937592.106899999</v>
      </c>
      <c r="K24" s="16">
        <f t="shared" si="2"/>
        <v>38937592.106899999</v>
      </c>
      <c r="L24" s="16">
        <f t="shared" ref="L24:V24" si="5">K24</f>
        <v>38937592.106899999</v>
      </c>
      <c r="M24" s="16">
        <f t="shared" si="5"/>
        <v>38937592.106899999</v>
      </c>
      <c r="N24" s="16">
        <f t="shared" si="5"/>
        <v>38937592.106899999</v>
      </c>
      <c r="O24" s="16">
        <f t="shared" si="5"/>
        <v>38937592.106899999</v>
      </c>
      <c r="P24" s="16">
        <f t="shared" si="5"/>
        <v>38937592.106899999</v>
      </c>
      <c r="Q24" s="16">
        <f t="shared" si="5"/>
        <v>38937592.106899999</v>
      </c>
      <c r="R24" s="16">
        <f t="shared" si="5"/>
        <v>38937592.106899999</v>
      </c>
      <c r="S24" s="16">
        <f t="shared" si="5"/>
        <v>38937592.106899999</v>
      </c>
      <c r="T24" s="16">
        <f t="shared" si="5"/>
        <v>38937592.106899999</v>
      </c>
      <c r="U24" s="16">
        <f t="shared" si="5"/>
        <v>38937592.106899999</v>
      </c>
      <c r="V24" s="16">
        <f t="shared" si="5"/>
        <v>38937592.106899999</v>
      </c>
      <c r="W24" s="16">
        <f t="shared" si="4"/>
        <v>0</v>
      </c>
    </row>
    <row r="26" spans="1:23" x14ac:dyDescent="0.25">
      <c r="A26" s="14" t="s">
        <v>14</v>
      </c>
      <c r="B26" s="14"/>
      <c r="C26" s="15">
        <v>2030</v>
      </c>
      <c r="D26" s="15">
        <v>2031</v>
      </c>
      <c r="E26" s="15">
        <v>2032</v>
      </c>
      <c r="F26" s="15">
        <v>2033</v>
      </c>
      <c r="G26" s="15">
        <v>2034</v>
      </c>
      <c r="H26" s="15">
        <v>2035</v>
      </c>
      <c r="I26" s="15">
        <v>2036</v>
      </c>
      <c r="J26" s="15">
        <v>2037</v>
      </c>
      <c r="K26" s="15">
        <v>2038</v>
      </c>
      <c r="L26" s="15">
        <v>2039</v>
      </c>
      <c r="M26" s="15">
        <v>2040</v>
      </c>
      <c r="N26" s="15">
        <v>2041</v>
      </c>
      <c r="O26" s="15">
        <v>2042</v>
      </c>
      <c r="P26" s="15">
        <v>2043</v>
      </c>
      <c r="Q26" s="15">
        <v>2044</v>
      </c>
      <c r="R26" s="15">
        <v>2045</v>
      </c>
      <c r="S26" s="15">
        <v>2046</v>
      </c>
      <c r="T26" s="15">
        <v>2047</v>
      </c>
      <c r="U26" s="15">
        <v>2048</v>
      </c>
      <c r="V26" s="15">
        <v>2048</v>
      </c>
    </row>
    <row r="27" spans="1:23" x14ac:dyDescent="0.25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3" x14ac:dyDescent="0.2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3" x14ac:dyDescent="0.25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1:23" x14ac:dyDescent="0.2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3" x14ac:dyDescent="0.25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3" x14ac:dyDescent="0.25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22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</row>
    <row r="34" spans="1:22" x14ac:dyDescent="0.25">
      <c r="A34" s="1" t="s">
        <v>11</v>
      </c>
      <c r="C34" s="11">
        <f>C5-C22</f>
        <v>1143146862.7146001</v>
      </c>
      <c r="D34" s="11">
        <f>$C5-SUM($C22:D22)</f>
        <v>1082981238.3612001</v>
      </c>
      <c r="E34" s="11">
        <f>$C5-SUM($C22:E22)</f>
        <v>1022815614.0078001</v>
      </c>
      <c r="F34" s="11">
        <f>$C5-SUM($C22:F22)</f>
        <v>962649989.65440011</v>
      </c>
      <c r="G34" s="11">
        <f>$C5-SUM($C22:G22)</f>
        <v>902484365.30100012</v>
      </c>
      <c r="H34" s="11">
        <f>$C5-SUM($C22:H22)</f>
        <v>842318740.94760013</v>
      </c>
      <c r="I34" s="11">
        <f>$C5-SUM($C22:I22)</f>
        <v>782153116.59420013</v>
      </c>
      <c r="J34" s="11">
        <f>$C5-SUM($C22:J22)</f>
        <v>721987492.24080014</v>
      </c>
      <c r="K34" s="11">
        <f>$C5-SUM($C22:K22)</f>
        <v>661821867.88740003</v>
      </c>
      <c r="L34" s="11">
        <f>$C5-SUM($C22:L22)</f>
        <v>601656243.53400004</v>
      </c>
      <c r="M34" s="11">
        <f>$C5-SUM($C22:M22)</f>
        <v>541490619.18060005</v>
      </c>
      <c r="N34" s="11">
        <f>$C5-SUM($C22:N22)</f>
        <v>481324994.82720006</v>
      </c>
      <c r="O34" s="11">
        <f>$C5-SUM($C22:O22)</f>
        <v>421159370.47380006</v>
      </c>
      <c r="P34" s="11">
        <f>$C5-SUM($C22:P22)</f>
        <v>360993746.12040007</v>
      </c>
      <c r="Q34" s="11">
        <f>$C5-SUM($C22:Q22)</f>
        <v>300828121.76700008</v>
      </c>
      <c r="R34" s="11">
        <f>$C5-SUM($C22:R22)</f>
        <v>240662497.41360009</v>
      </c>
      <c r="S34" s="11">
        <f>$C5-SUM($C22:S22)</f>
        <v>180496873.0602001</v>
      </c>
      <c r="T34" s="11">
        <f>$C5-SUM($C22:T22)</f>
        <v>120331248.70679998</v>
      </c>
      <c r="U34" s="11">
        <f>$C5-SUM($C22:U22)</f>
        <v>60165624.353399992</v>
      </c>
      <c r="V34" s="11">
        <f>$C5-SUM($C22:V22)</f>
        <v>0</v>
      </c>
    </row>
    <row r="35" spans="1:22" x14ac:dyDescent="0.25">
      <c r="A35" s="1" t="s">
        <v>0</v>
      </c>
      <c r="C35" s="11">
        <f t="shared" ref="C35:C36" si="6">C6-C23</f>
        <v>403332612.68349999</v>
      </c>
      <c r="D35" s="11">
        <f>$C6-SUM($C23:D23)</f>
        <v>382104580.43700004</v>
      </c>
      <c r="E35" s="11">
        <f>$C6-SUM($C23:E23)</f>
        <v>360876548.19050002</v>
      </c>
      <c r="F35" s="11">
        <f>$C6-SUM($C23:F23)</f>
        <v>339648515.94400001</v>
      </c>
      <c r="G35" s="11">
        <f>$C6-SUM($C23:G23)</f>
        <v>318420483.69749999</v>
      </c>
      <c r="H35" s="11">
        <f>$C6-SUM($C23:H23)</f>
        <v>297192451.45099998</v>
      </c>
      <c r="I35" s="11">
        <f>$C6-SUM($C23:I23)</f>
        <v>275964419.20450002</v>
      </c>
      <c r="J35" s="11">
        <f>$C6-SUM($C23:J23)</f>
        <v>254736386.958</v>
      </c>
      <c r="K35" s="11">
        <f>$C6-SUM($C23:K23)</f>
        <v>233508354.71149999</v>
      </c>
      <c r="L35" s="11">
        <f>$C6-SUM($C23:L23)</f>
        <v>212280322.46499997</v>
      </c>
      <c r="M35" s="11">
        <f>$C6-SUM($C23:M23)</f>
        <v>191052290.21849996</v>
      </c>
      <c r="N35" s="11">
        <f>$C6-SUM($C23:N23)</f>
        <v>169824257.97199994</v>
      </c>
      <c r="O35" s="11">
        <f>$C6-SUM($C23:O23)</f>
        <v>148596225.72549993</v>
      </c>
      <c r="P35" s="11">
        <f>$C6-SUM($C23:P23)</f>
        <v>127368193.47899991</v>
      </c>
      <c r="Q35" s="11">
        <f>$C6-SUM($C23:Q23)</f>
        <v>106140161.2324999</v>
      </c>
      <c r="R35" s="11">
        <f>$C6-SUM($C23:R23)</f>
        <v>84912128.985999882</v>
      </c>
      <c r="S35" s="11">
        <f>$C6-SUM($C23:S23)</f>
        <v>63684096.739499867</v>
      </c>
      <c r="T35" s="11">
        <f>$C6-SUM($C23:T23)</f>
        <v>42456064.492999852</v>
      </c>
      <c r="U35" s="11">
        <f>$C6-SUM($C23:U23)</f>
        <v>21228032.246499836</v>
      </c>
      <c r="V35" s="11">
        <f>$C6-SUM($C23:V23)</f>
        <v>0</v>
      </c>
    </row>
    <row r="36" spans="1:22" x14ac:dyDescent="0.25">
      <c r="A36" s="1" t="s">
        <v>1</v>
      </c>
      <c r="C36" s="11">
        <f t="shared" si="6"/>
        <v>739814250.03110003</v>
      </c>
      <c r="D36" s="11">
        <f>$C7-SUM($C24:D24)</f>
        <v>700876657.92420006</v>
      </c>
      <c r="E36" s="11">
        <f>$C7-SUM($C24:E24)</f>
        <v>661939065.81730008</v>
      </c>
      <c r="F36" s="11">
        <f>$C7-SUM($C24:F24)</f>
        <v>623001473.71039999</v>
      </c>
      <c r="G36" s="11">
        <f>$C7-SUM($C24:G24)</f>
        <v>584063881.60350001</v>
      </c>
      <c r="H36" s="11">
        <f>$C7-SUM($C24:H24)</f>
        <v>545126289.49660003</v>
      </c>
      <c r="I36" s="11">
        <f>$C7-SUM($C24:I24)</f>
        <v>506188697.3897</v>
      </c>
      <c r="J36" s="11">
        <f>$C7-SUM($C24:J24)</f>
        <v>467251105.28280002</v>
      </c>
      <c r="K36" s="11">
        <f>$C7-SUM($C24:K24)</f>
        <v>428313513.17590004</v>
      </c>
      <c r="L36" s="11">
        <f>$C7-SUM($C24:L24)</f>
        <v>389375921.06900007</v>
      </c>
      <c r="M36" s="11">
        <f>$C7-SUM($C24:M24)</f>
        <v>350438328.96210009</v>
      </c>
      <c r="N36" s="11">
        <f>$C7-SUM($C24:N24)</f>
        <v>311500736.85520011</v>
      </c>
      <c r="O36" s="11">
        <f>$C7-SUM($C24:O24)</f>
        <v>272563144.74830014</v>
      </c>
      <c r="P36" s="11">
        <f>$C7-SUM($C24:P24)</f>
        <v>233625552.6414001</v>
      </c>
      <c r="Q36" s="11">
        <f>$C7-SUM($C24:Q24)</f>
        <v>194687960.53450012</v>
      </c>
      <c r="R36" s="11">
        <f>$C7-SUM($C24:R24)</f>
        <v>155750368.42760015</v>
      </c>
      <c r="S36" s="11">
        <f>$C7-SUM($C24:S24)</f>
        <v>116812776.32070017</v>
      </c>
      <c r="T36" s="11">
        <f>$C7-SUM($C24:T24)</f>
        <v>77875184.213800192</v>
      </c>
      <c r="U36" s="11">
        <f>$C7-SUM($C24:U24)</f>
        <v>38937592.106900215</v>
      </c>
      <c r="V36" s="11">
        <f>$C7-SUM($C24:V24)</f>
        <v>0</v>
      </c>
    </row>
    <row r="38" spans="1:22" x14ac:dyDescent="0.25">
      <c r="A38" s="14" t="s">
        <v>15</v>
      </c>
      <c r="B38" s="14"/>
      <c r="C38" s="15">
        <v>2030</v>
      </c>
      <c r="D38" s="15">
        <v>2031</v>
      </c>
      <c r="E38" s="15">
        <v>2032</v>
      </c>
      <c r="F38" s="15">
        <v>2033</v>
      </c>
      <c r="G38" s="15">
        <v>2034</v>
      </c>
      <c r="H38" s="15">
        <v>2035</v>
      </c>
      <c r="I38" s="15">
        <v>2036</v>
      </c>
      <c r="J38" s="15">
        <v>2037</v>
      </c>
      <c r="K38" s="15">
        <v>2038</v>
      </c>
      <c r="L38" s="15">
        <v>2039</v>
      </c>
      <c r="M38" s="15">
        <v>2040</v>
      </c>
      <c r="N38" s="15">
        <v>2041</v>
      </c>
      <c r="O38" s="15">
        <v>2042</v>
      </c>
      <c r="P38" s="15">
        <v>2043</v>
      </c>
      <c r="Q38" s="15">
        <v>2044</v>
      </c>
      <c r="R38" s="15">
        <v>2045</v>
      </c>
      <c r="S38" s="15">
        <v>2046</v>
      </c>
      <c r="T38" s="15">
        <v>2047</v>
      </c>
      <c r="U38" s="15">
        <v>2048</v>
      </c>
      <c r="V38" s="15">
        <v>2048</v>
      </c>
    </row>
    <row r="39" spans="1:22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25">
      <c r="A46" s="1" t="s">
        <v>11</v>
      </c>
      <c r="C46" s="11">
        <f>C5*$B$63</f>
        <v>104736831.60915859</v>
      </c>
      <c r="D46" s="11">
        <f>SUM(D47:D48)</f>
        <v>97532447.957178637</v>
      </c>
      <c r="E46" s="11">
        <f t="shared" ref="E46:K46" si="7">SUM(E47:E48)</f>
        <v>92399161.222590297</v>
      </c>
      <c r="F46" s="11">
        <f t="shared" si="7"/>
        <v>87265874.488001943</v>
      </c>
      <c r="G46" s="11">
        <f t="shared" si="7"/>
        <v>82132587.753413588</v>
      </c>
      <c r="H46" s="11">
        <f t="shared" si="7"/>
        <v>76999301.018825233</v>
      </c>
      <c r="I46" s="11">
        <f t="shared" si="7"/>
        <v>71866014.284236878</v>
      </c>
      <c r="J46" s="11">
        <f t="shared" si="7"/>
        <v>66732727.549648538</v>
      </c>
      <c r="K46" s="11">
        <f t="shared" si="7"/>
        <v>61599440.815060191</v>
      </c>
      <c r="L46" s="11">
        <f t="shared" ref="L46" si="8">SUM(L47:L48)</f>
        <v>56466154.080471843</v>
      </c>
      <c r="M46" s="11">
        <f t="shared" ref="M46" si="9">SUM(M47:M48)</f>
        <v>51332867.345883496</v>
      </c>
      <c r="N46" s="11">
        <f t="shared" ref="N46" si="10">SUM(N47:N48)</f>
        <v>46199580.611295149</v>
      </c>
      <c r="O46" s="11">
        <f t="shared" ref="O46" si="11">SUM(O47:O48)</f>
        <v>41066293.876706794</v>
      </c>
      <c r="P46" s="11">
        <f t="shared" ref="P46" si="12">SUM(P47:P48)</f>
        <v>35933007.142118454</v>
      </c>
      <c r="Q46" s="11">
        <f t="shared" ref="Q46" si="13">SUM(Q47:Q48)</f>
        <v>30799720.407530095</v>
      </c>
      <c r="R46" s="11">
        <f t="shared" ref="R46" si="14">SUM(R47:R48)</f>
        <v>25666433.672941748</v>
      </c>
      <c r="S46" s="11">
        <f t="shared" ref="S46" si="15">SUM(S47:S48)</f>
        <v>20533146.938353401</v>
      </c>
      <c r="T46" s="11">
        <f t="shared" ref="T46" si="16">SUM(T47:T48)</f>
        <v>15399860.203765051</v>
      </c>
      <c r="U46" s="11">
        <f t="shared" ref="U46" si="17">SUM(U47:U48)</f>
        <v>10266573.469176702</v>
      </c>
      <c r="V46" s="11">
        <f t="shared" ref="V46" si="18">SUM(V47:V48)</f>
        <v>5133286.7345883548</v>
      </c>
    </row>
    <row r="47" spans="1:22" x14ac:dyDescent="0.25">
      <c r="A47" s="1" t="s">
        <v>0</v>
      </c>
      <c r="C47" s="11">
        <f t="shared" ref="C47:C48" si="19">C6*$B$63</f>
        <v>36953939.441165552</v>
      </c>
      <c r="D47" s="11">
        <f>C35*$B$64</f>
        <v>33138700.397585258</v>
      </c>
      <c r="E47" s="11">
        <f t="shared" ref="E47:K47" si="20">D35*$B$64</f>
        <v>31394558.271396562</v>
      </c>
      <c r="F47" s="11">
        <f t="shared" si="20"/>
        <v>29650416.145207863</v>
      </c>
      <c r="G47" s="11">
        <f t="shared" si="20"/>
        <v>27906274.019019164</v>
      </c>
      <c r="H47" s="11">
        <f t="shared" si="20"/>
        <v>26162131.892830465</v>
      </c>
      <c r="I47" s="11">
        <f t="shared" si="20"/>
        <v>24417989.766641766</v>
      </c>
      <c r="J47" s="11">
        <f t="shared" si="20"/>
        <v>22673847.640453074</v>
      </c>
      <c r="K47" s="11">
        <f t="shared" si="20"/>
        <v>20929705.514264375</v>
      </c>
      <c r="L47" s="11">
        <f t="shared" ref="L47:V47" si="21">K35*$B$64</f>
        <v>19185563.388075676</v>
      </c>
      <c r="M47" s="11">
        <f t="shared" si="21"/>
        <v>17441421.261886977</v>
      </c>
      <c r="N47" s="11">
        <f t="shared" si="21"/>
        <v>15697279.135698278</v>
      </c>
      <c r="O47" s="11">
        <f t="shared" si="21"/>
        <v>13953137.009509578</v>
      </c>
      <c r="P47" s="11">
        <f t="shared" si="21"/>
        <v>12208994.883320879</v>
      </c>
      <c r="Q47" s="11">
        <f t="shared" si="21"/>
        <v>10464852.75713218</v>
      </c>
      <c r="R47" s="11">
        <f t="shared" si="21"/>
        <v>8720710.6309434809</v>
      </c>
      <c r="S47" s="11">
        <f t="shared" si="21"/>
        <v>6976568.5047547817</v>
      </c>
      <c r="T47" s="11">
        <f t="shared" si="21"/>
        <v>5232426.3785660826</v>
      </c>
      <c r="U47" s="11">
        <f t="shared" si="21"/>
        <v>3488284.2523773834</v>
      </c>
      <c r="V47" s="11">
        <f t="shared" si="21"/>
        <v>1744142.1261886845</v>
      </c>
    </row>
    <row r="48" spans="1:22" x14ac:dyDescent="0.25">
      <c r="A48" s="1" t="s">
        <v>1</v>
      </c>
      <c r="C48" s="11">
        <f t="shared" si="19"/>
        <v>67782892.167993024</v>
      </c>
      <c r="D48" s="11">
        <f t="shared" ref="D48:K48" si="22">C36*$B$63</f>
        <v>64393747.559593379</v>
      </c>
      <c r="E48" s="11">
        <f t="shared" si="22"/>
        <v>61004602.951193728</v>
      </c>
      <c r="F48" s="11">
        <f t="shared" si="22"/>
        <v>57615458.342794083</v>
      </c>
      <c r="G48" s="11">
        <f t="shared" si="22"/>
        <v>54226313.734394424</v>
      </c>
      <c r="H48" s="11">
        <f t="shared" si="22"/>
        <v>50837169.125994772</v>
      </c>
      <c r="I48" s="11">
        <f t="shared" si="22"/>
        <v>47448024.51759512</v>
      </c>
      <c r="J48" s="11">
        <f t="shared" si="22"/>
        <v>44058879.909195468</v>
      </c>
      <c r="K48" s="11">
        <f t="shared" si="22"/>
        <v>40669735.300795816</v>
      </c>
      <c r="L48" s="11">
        <f t="shared" ref="L48:V48" si="23">K36*$B$63</f>
        <v>37280590.692396171</v>
      </c>
      <c r="M48" s="11">
        <f t="shared" si="23"/>
        <v>33891446.083996519</v>
      </c>
      <c r="N48" s="11">
        <f t="shared" si="23"/>
        <v>30502301.475596871</v>
      </c>
      <c r="O48" s="11">
        <f t="shared" si="23"/>
        <v>27113156.867197219</v>
      </c>
      <c r="P48" s="11">
        <f t="shared" si="23"/>
        <v>23724012.258797571</v>
      </c>
      <c r="Q48" s="11">
        <f t="shared" si="23"/>
        <v>20334867.650397915</v>
      </c>
      <c r="R48" s="11">
        <f t="shared" si="23"/>
        <v>16945723.041998267</v>
      </c>
      <c r="S48" s="11">
        <f t="shared" si="23"/>
        <v>13556578.433598619</v>
      </c>
      <c r="T48" s="11">
        <f t="shared" si="23"/>
        <v>10167433.825198969</v>
      </c>
      <c r="U48" s="11">
        <f t="shared" si="23"/>
        <v>6778289.2167993197</v>
      </c>
      <c r="V48" s="11">
        <f t="shared" si="23"/>
        <v>3389144.6083996701</v>
      </c>
    </row>
    <row r="50" spans="1:22" ht="13" x14ac:dyDescent="0.3">
      <c r="A50" s="19" t="s">
        <v>16</v>
      </c>
      <c r="B50" s="14"/>
      <c r="C50" s="15">
        <v>2030</v>
      </c>
      <c r="D50" s="15">
        <v>2031</v>
      </c>
      <c r="E50" s="15">
        <v>2032</v>
      </c>
      <c r="F50" s="15">
        <v>2033</v>
      </c>
      <c r="G50" s="15">
        <v>2034</v>
      </c>
      <c r="H50" s="15">
        <v>2035</v>
      </c>
      <c r="I50" s="15">
        <v>2036</v>
      </c>
      <c r="J50" s="15">
        <v>2037</v>
      </c>
      <c r="K50" s="15">
        <v>2038</v>
      </c>
      <c r="L50" s="15">
        <v>2039</v>
      </c>
      <c r="M50" s="15">
        <v>2040</v>
      </c>
      <c r="N50" s="15">
        <v>2041</v>
      </c>
      <c r="O50" s="15">
        <v>2042</v>
      </c>
      <c r="P50" s="15">
        <v>2043</v>
      </c>
      <c r="Q50" s="15">
        <v>2044</v>
      </c>
      <c r="R50" s="15">
        <v>2045</v>
      </c>
      <c r="S50" s="15">
        <v>2046</v>
      </c>
      <c r="T50" s="15">
        <v>2047</v>
      </c>
      <c r="U50" s="15">
        <v>2048</v>
      </c>
      <c r="V50" s="15">
        <v>2048</v>
      </c>
    </row>
    <row r="51" spans="1:22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pans="1:22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</row>
    <row r="54" spans="1:22" x14ac:dyDescent="0.25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22" x14ac:dyDescent="0.25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</row>
    <row r="57" spans="1:22" x14ac:dyDescent="0.25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</row>
    <row r="58" spans="1:22" x14ac:dyDescent="0.25">
      <c r="A58" s="1" t="s">
        <v>11</v>
      </c>
      <c r="C58" s="16">
        <f t="shared" ref="C52:K60" si="24">C46+C22</f>
        <v>164902455.9625586</v>
      </c>
      <c r="D58" s="16">
        <f t="shared" si="24"/>
        <v>157698072.31057864</v>
      </c>
      <c r="E58" s="16">
        <f t="shared" si="24"/>
        <v>152564785.57599032</v>
      </c>
      <c r="F58" s="16">
        <f t="shared" si="24"/>
        <v>147431498.84140193</v>
      </c>
      <c r="G58" s="16">
        <f t="shared" si="24"/>
        <v>142298212.10681361</v>
      </c>
      <c r="H58" s="16">
        <f t="shared" si="24"/>
        <v>137164925.37222522</v>
      </c>
      <c r="I58" s="16">
        <f t="shared" si="24"/>
        <v>132031638.63763689</v>
      </c>
      <c r="J58" s="16">
        <f t="shared" si="24"/>
        <v>126898351.90304855</v>
      </c>
      <c r="K58" s="16">
        <f t="shared" si="24"/>
        <v>121765065.16846019</v>
      </c>
      <c r="L58" s="16">
        <f t="shared" ref="L58:V58" si="25">L46+L22</f>
        <v>116631778.43387185</v>
      </c>
      <c r="M58" s="16">
        <f t="shared" si="25"/>
        <v>111498491.69928351</v>
      </c>
      <c r="N58" s="16">
        <f t="shared" si="25"/>
        <v>106365204.96469516</v>
      </c>
      <c r="O58" s="16">
        <f t="shared" si="25"/>
        <v>101231918.2301068</v>
      </c>
      <c r="P58" s="16">
        <f t="shared" si="25"/>
        <v>96098631.495518461</v>
      </c>
      <c r="Q58" s="16">
        <f t="shared" si="25"/>
        <v>90965344.760930106</v>
      </c>
      <c r="R58" s="16">
        <f t="shared" si="25"/>
        <v>85832058.026341751</v>
      </c>
      <c r="S58" s="16">
        <f t="shared" si="25"/>
        <v>80698771.291753411</v>
      </c>
      <c r="T58" s="16">
        <f t="shared" si="25"/>
        <v>75565484.557165056</v>
      </c>
      <c r="U58" s="16">
        <f t="shared" si="25"/>
        <v>70432197.822576702</v>
      </c>
      <c r="V58" s="16">
        <f t="shared" si="25"/>
        <v>65298911.087988362</v>
      </c>
    </row>
    <row r="59" spans="1:22" x14ac:dyDescent="0.25">
      <c r="A59" s="1" t="s">
        <v>0</v>
      </c>
      <c r="C59" s="16">
        <f t="shared" si="24"/>
        <v>58181971.687665552</v>
      </c>
      <c r="D59" s="16">
        <f t="shared" si="24"/>
        <v>54366732.644085258</v>
      </c>
      <c r="E59" s="16">
        <f t="shared" si="24"/>
        <v>52622590.517896563</v>
      </c>
      <c r="F59" s="16">
        <f t="shared" si="24"/>
        <v>50878448.391707867</v>
      </c>
      <c r="G59" s="16">
        <f t="shared" si="24"/>
        <v>49134306.265519165</v>
      </c>
      <c r="H59" s="16">
        <f t="shared" si="24"/>
        <v>47390164.139330462</v>
      </c>
      <c r="I59" s="16">
        <f t="shared" si="24"/>
        <v>45646022.013141766</v>
      </c>
      <c r="J59" s="16">
        <f t="shared" si="24"/>
        <v>43901879.886953071</v>
      </c>
      <c r="K59" s="16">
        <f t="shared" si="24"/>
        <v>42157737.760764375</v>
      </c>
      <c r="L59" s="16">
        <f t="shared" ref="L59:V59" si="26">L47+L23</f>
        <v>40413595.63457568</v>
      </c>
      <c r="M59" s="16">
        <f t="shared" si="26"/>
        <v>38669453.508386977</v>
      </c>
      <c r="N59" s="16">
        <f t="shared" si="26"/>
        <v>36925311.382198274</v>
      </c>
      <c r="O59" s="16">
        <f t="shared" si="26"/>
        <v>35181169.256009579</v>
      </c>
      <c r="P59" s="16">
        <f t="shared" si="26"/>
        <v>33437027.12982088</v>
      </c>
      <c r="Q59" s="16">
        <f t="shared" si="26"/>
        <v>31692885.00363218</v>
      </c>
      <c r="R59" s="16">
        <f t="shared" si="26"/>
        <v>29948742.877443481</v>
      </c>
      <c r="S59" s="16">
        <f t="shared" si="26"/>
        <v>28204600.751254782</v>
      </c>
      <c r="T59" s="16">
        <f t="shared" si="26"/>
        <v>26460458.625066083</v>
      </c>
      <c r="U59" s="16">
        <f t="shared" si="26"/>
        <v>24716316.498877384</v>
      </c>
      <c r="V59" s="16">
        <f t="shared" si="26"/>
        <v>22972174.372688685</v>
      </c>
    </row>
    <row r="60" spans="1:22" x14ac:dyDescent="0.25">
      <c r="A60" s="1" t="s">
        <v>1</v>
      </c>
      <c r="C60" s="16">
        <f t="shared" si="24"/>
        <v>106720484.27489302</v>
      </c>
      <c r="D60" s="16">
        <f t="shared" si="24"/>
        <v>103331339.66649339</v>
      </c>
      <c r="E60" s="16">
        <f t="shared" si="24"/>
        <v>99942195.058093727</v>
      </c>
      <c r="F60" s="16">
        <f t="shared" si="24"/>
        <v>96553050.449694082</v>
      </c>
      <c r="G60" s="16">
        <f t="shared" si="24"/>
        <v>93163905.841294423</v>
      </c>
      <c r="H60" s="16">
        <f t="shared" si="24"/>
        <v>89774761.232894778</v>
      </c>
      <c r="I60" s="16">
        <f t="shared" si="24"/>
        <v>86385616.624495119</v>
      </c>
      <c r="J60" s="16">
        <f t="shared" si="24"/>
        <v>82996472.016095459</v>
      </c>
      <c r="K60" s="16">
        <f t="shared" si="24"/>
        <v>79607327.407695815</v>
      </c>
      <c r="L60" s="16">
        <f t="shared" ref="L60:V60" si="27">L48+L24</f>
        <v>76218182.79929617</v>
      </c>
      <c r="M60" s="16">
        <f t="shared" si="27"/>
        <v>72829038.190896511</v>
      </c>
      <c r="N60" s="16">
        <f t="shared" si="27"/>
        <v>69439893.582496867</v>
      </c>
      <c r="O60" s="16">
        <f t="shared" si="27"/>
        <v>66050748.974097222</v>
      </c>
      <c r="P60" s="16">
        <f t="shared" si="27"/>
        <v>62661604.36569757</v>
      </c>
      <c r="Q60" s="16">
        <f t="shared" si="27"/>
        <v>59272459.757297918</v>
      </c>
      <c r="R60" s="16">
        <f t="shared" si="27"/>
        <v>55883315.148898266</v>
      </c>
      <c r="S60" s="16">
        <f t="shared" si="27"/>
        <v>52494170.540498614</v>
      </c>
      <c r="T60" s="16">
        <f t="shared" si="27"/>
        <v>49105025.93209897</v>
      </c>
      <c r="U60" s="16">
        <f t="shared" si="27"/>
        <v>45715881.323699318</v>
      </c>
      <c r="V60" s="16">
        <f t="shared" si="27"/>
        <v>42326736.715299666</v>
      </c>
    </row>
    <row r="61" spans="1:22" x14ac:dyDescent="0.25">
      <c r="C61" s="16"/>
      <c r="D61" s="16"/>
      <c r="E61" s="16"/>
      <c r="F61" s="16"/>
      <c r="G61" s="16"/>
      <c r="H61" s="16"/>
      <c r="I61" s="16"/>
      <c r="J61" s="16"/>
      <c r="K61" s="16"/>
    </row>
    <row r="62" spans="1:22" x14ac:dyDescent="0.25">
      <c r="A62" s="1" t="s">
        <v>18</v>
      </c>
      <c r="C62" s="16"/>
      <c r="D62" s="16"/>
      <c r="E62" s="16"/>
      <c r="F62" s="16"/>
      <c r="G62" s="16"/>
      <c r="H62" s="16"/>
      <c r="I62" s="16"/>
      <c r="J62" s="16"/>
      <c r="K62" s="16"/>
    </row>
    <row r="63" spans="1:22" x14ac:dyDescent="0.25">
      <c r="A63" s="1" t="s">
        <v>8</v>
      </c>
      <c r="B63" s="17">
        <v>8.7040426102750007E-2</v>
      </c>
    </row>
    <row r="64" spans="1:22" x14ac:dyDescent="0.25">
      <c r="A64" s="1" t="s">
        <v>9</v>
      </c>
      <c r="B64" s="17">
        <v>8.2162213903564499E-2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F1E3-3AC0-4A18-B8EA-B71DA357E226}">
  <dimension ref="A1:L65"/>
  <sheetViews>
    <sheetView topLeftCell="A18" workbookViewId="0">
      <selection activeCell="E9" sqref="E9:E10"/>
    </sheetView>
  </sheetViews>
  <sheetFormatPr defaultRowHeight="12.5" x14ac:dyDescent="0.25"/>
  <cols>
    <col min="1" max="1" width="24.36328125" style="1" bestFit="1" customWidth="1"/>
    <col min="2" max="2" width="8.7265625" style="1"/>
    <col min="3" max="3" width="16.453125" style="1" customWidth="1"/>
    <col min="4" max="6" width="17.453125" style="1" bestFit="1" customWidth="1"/>
    <col min="7" max="10" width="15.81640625" style="1" bestFit="1" customWidth="1"/>
    <col min="11" max="11" width="13.26953125" style="1" bestFit="1" customWidth="1"/>
    <col min="12" max="16384" width="8.7265625" style="1"/>
  </cols>
  <sheetData>
    <row r="1" spans="1:12" ht="14" x14ac:dyDescent="0.3">
      <c r="A1" s="5" t="s">
        <v>3</v>
      </c>
      <c r="B1" s="5"/>
    </row>
    <row r="3" spans="1:12" ht="13" x14ac:dyDescent="0.3">
      <c r="B3" s="2"/>
      <c r="C3" s="2" t="s">
        <v>2</v>
      </c>
    </row>
    <row r="4" spans="1:12" ht="13" x14ac:dyDescent="0.3">
      <c r="B4" s="2" t="s">
        <v>10</v>
      </c>
      <c r="C4" s="4">
        <v>2029</v>
      </c>
    </row>
    <row r="5" spans="1:12" x14ac:dyDescent="0.25">
      <c r="B5" s="3"/>
      <c r="C5" s="11"/>
    </row>
    <row r="6" spans="1:12" x14ac:dyDescent="0.25">
      <c r="A6" s="1" t="s">
        <v>11</v>
      </c>
      <c r="B6" s="3"/>
      <c r="C6" s="11">
        <f>'2029 NBV Starting Point'!F5</f>
        <v>1203312487.0680001</v>
      </c>
    </row>
    <row r="7" spans="1:12" x14ac:dyDescent="0.25">
      <c r="A7" s="1" t="s">
        <v>0</v>
      </c>
      <c r="B7" s="3">
        <v>770</v>
      </c>
      <c r="C7" s="11">
        <f>'2029 NBV Starting Point'!F6</f>
        <v>424560644.93000001</v>
      </c>
    </row>
    <row r="8" spans="1:12" x14ac:dyDescent="0.25">
      <c r="A8" s="1" t="s">
        <v>1</v>
      </c>
      <c r="B8" s="3">
        <v>790</v>
      </c>
      <c r="C8" s="11">
        <f>'2029 NBV Starting Point'!F7</f>
        <v>778751842.13800001</v>
      </c>
    </row>
    <row r="9" spans="1:12" x14ac:dyDescent="0.25">
      <c r="C9" s="11"/>
    </row>
    <row r="10" spans="1:12" x14ac:dyDescent="0.25">
      <c r="C10" s="11"/>
    </row>
    <row r="11" spans="1:12" x14ac:dyDescent="0.25">
      <c r="A11" s="1" t="s">
        <v>8</v>
      </c>
      <c r="B11" s="12">
        <v>1.08</v>
      </c>
    </row>
    <row r="12" spans="1:12" x14ac:dyDescent="0.25">
      <c r="A12" s="1" t="s">
        <v>9</v>
      </c>
      <c r="B12" s="13">
        <v>1.08</v>
      </c>
    </row>
    <row r="15" spans="1:12" x14ac:dyDescent="0.25">
      <c r="A15" s="14" t="s">
        <v>12</v>
      </c>
      <c r="B15" s="14"/>
      <c r="C15" s="15">
        <v>2030</v>
      </c>
      <c r="D15" s="15">
        <v>2031</v>
      </c>
      <c r="E15" s="15">
        <v>2032</v>
      </c>
      <c r="F15" s="15">
        <v>2033</v>
      </c>
      <c r="G15" s="15">
        <v>2034</v>
      </c>
      <c r="H15" s="15">
        <v>2035</v>
      </c>
      <c r="I15" s="15">
        <v>2036</v>
      </c>
      <c r="J15" s="15">
        <v>2037</v>
      </c>
      <c r="K15" s="15">
        <v>2038</v>
      </c>
      <c r="L15" s="1" t="s">
        <v>13</v>
      </c>
    </row>
    <row r="16" spans="1:12" x14ac:dyDescent="0.25"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x14ac:dyDescent="0.25">
      <c r="L20" s="16"/>
    </row>
    <row r="21" spans="1:12" x14ac:dyDescent="0.25"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L22" s="16"/>
    </row>
    <row r="23" spans="1:12" x14ac:dyDescent="0.25">
      <c r="A23" s="1" t="s">
        <v>11</v>
      </c>
      <c r="C23" s="16">
        <f>C6/9</f>
        <v>133701387.45200001</v>
      </c>
      <c r="D23" s="16">
        <f>C23</f>
        <v>133701387.45200001</v>
      </c>
      <c r="E23" s="16">
        <f t="shared" ref="E23:K23" si="0">D23</f>
        <v>133701387.45200001</v>
      </c>
      <c r="F23" s="16">
        <f t="shared" si="0"/>
        <v>133701387.45200001</v>
      </c>
      <c r="G23" s="16">
        <f t="shared" si="0"/>
        <v>133701387.45200001</v>
      </c>
      <c r="H23" s="16">
        <f t="shared" si="0"/>
        <v>133701387.45200001</v>
      </c>
      <c r="I23" s="16">
        <f t="shared" si="0"/>
        <v>133701387.45200001</v>
      </c>
      <c r="J23" s="16">
        <f t="shared" si="0"/>
        <v>133701387.45200001</v>
      </c>
      <c r="K23" s="16">
        <f t="shared" si="0"/>
        <v>133701387.45200001</v>
      </c>
      <c r="L23" s="16">
        <f>SUM(C23:K23)-C6</f>
        <v>0</v>
      </c>
    </row>
    <row r="24" spans="1:12" x14ac:dyDescent="0.25">
      <c r="A24" s="1" t="s">
        <v>0</v>
      </c>
      <c r="C24" s="16">
        <f t="shared" ref="C24:C25" si="1">C7/9</f>
        <v>47173404.99222222</v>
      </c>
      <c r="D24" s="16">
        <f t="shared" ref="D24:K25" si="2">C24</f>
        <v>47173404.99222222</v>
      </c>
      <c r="E24" s="16">
        <f t="shared" si="2"/>
        <v>47173404.99222222</v>
      </c>
      <c r="F24" s="16">
        <f t="shared" si="2"/>
        <v>47173404.99222222</v>
      </c>
      <c r="G24" s="16">
        <f t="shared" si="2"/>
        <v>47173404.99222222</v>
      </c>
      <c r="H24" s="16">
        <f t="shared" si="2"/>
        <v>47173404.99222222</v>
      </c>
      <c r="I24" s="16">
        <f t="shared" si="2"/>
        <v>47173404.99222222</v>
      </c>
      <c r="J24" s="16">
        <f t="shared" si="2"/>
        <v>47173404.99222222</v>
      </c>
      <c r="K24" s="16">
        <f t="shared" si="2"/>
        <v>47173404.99222222</v>
      </c>
      <c r="L24" s="16">
        <f t="shared" ref="L24:L25" si="3">SUM(C24:K24)-C7</f>
        <v>0</v>
      </c>
    </row>
    <row r="25" spans="1:12" x14ac:dyDescent="0.25">
      <c r="A25" s="1" t="s">
        <v>1</v>
      </c>
      <c r="C25" s="16">
        <f t="shared" si="1"/>
        <v>86527982.459777772</v>
      </c>
      <c r="D25" s="16">
        <f t="shared" si="2"/>
        <v>86527982.459777772</v>
      </c>
      <c r="E25" s="16">
        <f t="shared" si="2"/>
        <v>86527982.459777772</v>
      </c>
      <c r="F25" s="16">
        <f t="shared" si="2"/>
        <v>86527982.459777772</v>
      </c>
      <c r="G25" s="16">
        <f t="shared" si="2"/>
        <v>86527982.459777772</v>
      </c>
      <c r="H25" s="16">
        <f t="shared" si="2"/>
        <v>86527982.459777772</v>
      </c>
      <c r="I25" s="16">
        <f t="shared" si="2"/>
        <v>86527982.459777772</v>
      </c>
      <c r="J25" s="16">
        <f t="shared" si="2"/>
        <v>86527982.459777772</v>
      </c>
      <c r="K25" s="16">
        <f t="shared" si="2"/>
        <v>86527982.459777772</v>
      </c>
      <c r="L25" s="16">
        <f t="shared" si="3"/>
        <v>0</v>
      </c>
    </row>
    <row r="27" spans="1:12" x14ac:dyDescent="0.25">
      <c r="A27" s="14" t="s">
        <v>14</v>
      </c>
      <c r="B27" s="14"/>
      <c r="C27" s="15">
        <v>2030</v>
      </c>
      <c r="D27" s="15">
        <v>2031</v>
      </c>
      <c r="E27" s="15">
        <v>2032</v>
      </c>
      <c r="F27" s="15">
        <v>2033</v>
      </c>
      <c r="G27" s="15">
        <v>2034</v>
      </c>
      <c r="H27" s="15">
        <v>2035</v>
      </c>
      <c r="I27" s="15">
        <v>2036</v>
      </c>
      <c r="J27" s="15">
        <v>2037</v>
      </c>
      <c r="K27" s="15">
        <v>2038</v>
      </c>
    </row>
    <row r="28" spans="1:12" x14ac:dyDescent="0.25">
      <c r="C28" s="11"/>
      <c r="D28" s="11"/>
      <c r="E28" s="11"/>
      <c r="F28" s="11"/>
      <c r="G28" s="11"/>
      <c r="H28" s="11"/>
      <c r="I28" s="11"/>
      <c r="J28" s="11"/>
      <c r="K28" s="11"/>
    </row>
    <row r="29" spans="1:12" x14ac:dyDescent="0.25">
      <c r="C29" s="11"/>
      <c r="D29" s="11"/>
      <c r="E29" s="11"/>
      <c r="F29" s="11"/>
      <c r="G29" s="11"/>
      <c r="H29" s="11"/>
      <c r="I29" s="11"/>
      <c r="J29" s="11"/>
      <c r="K29" s="11"/>
    </row>
    <row r="30" spans="1:12" x14ac:dyDescent="0.25">
      <c r="C30" s="11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C31" s="11"/>
      <c r="D31" s="11"/>
      <c r="E31" s="11"/>
      <c r="F31" s="11"/>
      <c r="G31" s="11"/>
      <c r="H31" s="11"/>
      <c r="I31" s="11"/>
      <c r="J31" s="11"/>
      <c r="K31" s="11"/>
    </row>
    <row r="32" spans="1:12" x14ac:dyDescent="0.25"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5">
      <c r="C33" s="11"/>
      <c r="D33" s="11"/>
      <c r="E33" s="11"/>
      <c r="F33" s="11"/>
      <c r="G33" s="11"/>
      <c r="H33" s="11"/>
      <c r="I33" s="11"/>
      <c r="J33" s="11"/>
      <c r="K33" s="11"/>
    </row>
    <row r="34" spans="1:11" x14ac:dyDescent="0.25"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1" t="s">
        <v>11</v>
      </c>
      <c r="C35" s="11">
        <f>C6-C23</f>
        <v>1069611099.6160001</v>
      </c>
      <c r="D35" s="11">
        <f>$C6-SUM($C23:D23)</f>
        <v>935909712.16400003</v>
      </c>
      <c r="E35" s="11">
        <f>$C6-SUM($C23:E23)</f>
        <v>802208324.71200013</v>
      </c>
      <c r="F35" s="11">
        <f>$C6-SUM($C23:F23)</f>
        <v>668506937.25999999</v>
      </c>
      <c r="G35" s="11">
        <f>$C6-SUM($C23:G23)</f>
        <v>534805549.80800009</v>
      </c>
      <c r="H35" s="11">
        <f>$C6-SUM($C23:H23)</f>
        <v>401104162.35600007</v>
      </c>
      <c r="I35" s="11">
        <f>$C6-SUM($C23:I23)</f>
        <v>267402774.90400004</v>
      </c>
      <c r="J35" s="11">
        <f>$C6-SUM($C23:J23)</f>
        <v>133701387.45200002</v>
      </c>
      <c r="K35" s="11">
        <f>$C6-SUM($C23:K23)</f>
        <v>0</v>
      </c>
    </row>
    <row r="36" spans="1:11" x14ac:dyDescent="0.25">
      <c r="A36" s="1" t="s">
        <v>0</v>
      </c>
      <c r="C36" s="11">
        <f t="shared" ref="C36:C37" si="4">C7-C24</f>
        <v>377387239.93777776</v>
      </c>
      <c r="D36" s="11">
        <f>$C7-SUM($C24:D24)</f>
        <v>330213834.94555557</v>
      </c>
      <c r="E36" s="11">
        <f>$C7-SUM($C24:E24)</f>
        <v>283040429.95333338</v>
      </c>
      <c r="F36" s="11">
        <f>$C7-SUM($C24:F24)</f>
        <v>235867024.96111113</v>
      </c>
      <c r="G36" s="11">
        <f>$C7-SUM($C24:G24)</f>
        <v>188693619.96888891</v>
      </c>
      <c r="H36" s="11">
        <f>$C7-SUM($C24:H24)</f>
        <v>141520214.97666669</v>
      </c>
      <c r="I36" s="11">
        <f>$C7-SUM($C24:I24)</f>
        <v>94346809.984444439</v>
      </c>
      <c r="J36" s="11">
        <f>$C7-SUM($C24:J24)</f>
        <v>47173404.99222225</v>
      </c>
      <c r="K36" s="11">
        <f>$C7-SUM($C24:K24)</f>
        <v>0</v>
      </c>
    </row>
    <row r="37" spans="1:11" x14ac:dyDescent="0.25">
      <c r="A37" s="1" t="s">
        <v>1</v>
      </c>
      <c r="C37" s="11">
        <f t="shared" si="4"/>
        <v>692223859.67822218</v>
      </c>
      <c r="D37" s="11">
        <f>$C8-SUM($C25:D25)</f>
        <v>605695877.21844447</v>
      </c>
      <c r="E37" s="11">
        <f>$C8-SUM($C25:E25)</f>
        <v>519167894.75866669</v>
      </c>
      <c r="F37" s="11">
        <f>$C8-SUM($C25:F25)</f>
        <v>432639912.29888892</v>
      </c>
      <c r="G37" s="11">
        <f>$C8-SUM($C25:G25)</f>
        <v>346111929.83911115</v>
      </c>
      <c r="H37" s="11">
        <f>$C8-SUM($C25:H25)</f>
        <v>259583947.37933338</v>
      </c>
      <c r="I37" s="11">
        <f>$C8-SUM($C25:I25)</f>
        <v>173055964.91955566</v>
      </c>
      <c r="J37" s="11">
        <f>$C8-SUM($C25:J25)</f>
        <v>86527982.459777832</v>
      </c>
      <c r="K37" s="11">
        <f>$C8-SUM($C25:K25)</f>
        <v>0</v>
      </c>
    </row>
    <row r="39" spans="1:11" x14ac:dyDescent="0.25">
      <c r="A39" s="14" t="s">
        <v>15</v>
      </c>
      <c r="B39" s="14"/>
      <c r="C39" s="15">
        <v>2030</v>
      </c>
      <c r="D39" s="15">
        <v>2031</v>
      </c>
      <c r="E39" s="15">
        <v>2032</v>
      </c>
      <c r="F39" s="15">
        <v>2033</v>
      </c>
      <c r="G39" s="15">
        <v>2034</v>
      </c>
      <c r="H39" s="15">
        <v>2035</v>
      </c>
      <c r="I39" s="15">
        <v>2036</v>
      </c>
      <c r="J39" s="15">
        <v>2037</v>
      </c>
      <c r="K39" s="15">
        <v>2038</v>
      </c>
    </row>
    <row r="40" spans="1:11" x14ac:dyDescent="0.25"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" t="s">
        <v>11</v>
      </c>
      <c r="C47" s="11">
        <f>C6*$B$64</f>
        <v>104736831.60915859</v>
      </c>
      <c r="D47" s="11">
        <f>SUM(D48:D49)</f>
        <v>91258430.837126195</v>
      </c>
      <c r="E47" s="11">
        <f t="shared" ref="E47:K47" si="5">SUM(E48:E49)</f>
        <v>79851126.982485428</v>
      </c>
      <c r="F47" s="11">
        <f t="shared" si="5"/>
        <v>68443823.127844661</v>
      </c>
      <c r="G47" s="11">
        <f t="shared" si="5"/>
        <v>57036519.27320388</v>
      </c>
      <c r="H47" s="11">
        <f t="shared" si="5"/>
        <v>45629215.418563113</v>
      </c>
      <c r="I47" s="11">
        <f t="shared" si="5"/>
        <v>34221911.563922331</v>
      </c>
      <c r="J47" s="11">
        <f t="shared" si="5"/>
        <v>22814607.70928156</v>
      </c>
      <c r="K47" s="11">
        <f t="shared" si="5"/>
        <v>11407303.854640782</v>
      </c>
    </row>
    <row r="48" spans="1:11" x14ac:dyDescent="0.25">
      <c r="A48" s="1" t="s">
        <v>0</v>
      </c>
      <c r="C48" s="11">
        <f t="shared" ref="C48:C49" si="6">C7*$B$64</f>
        <v>36953939.441165552</v>
      </c>
      <c r="D48" s="11">
        <f>C36*$B$65</f>
        <v>31006971.132243514</v>
      </c>
      <c r="E48" s="11">
        <f t="shared" ref="E48:K48" si="7">D36*$B$65</f>
        <v>27131099.740713079</v>
      </c>
      <c r="F48" s="11">
        <f t="shared" si="7"/>
        <v>23255228.349182643</v>
      </c>
      <c r="G48" s="11">
        <f t="shared" si="7"/>
        <v>19379356.9576522</v>
      </c>
      <c r="H48" s="11">
        <f t="shared" si="7"/>
        <v>15503485.566121761</v>
      </c>
      <c r="I48" s="11">
        <f t="shared" si="7"/>
        <v>11627614.174591321</v>
      </c>
      <c r="J48" s="11">
        <f t="shared" si="7"/>
        <v>7751742.7830608785</v>
      </c>
      <c r="K48" s="11">
        <f t="shared" si="7"/>
        <v>3875871.3915304421</v>
      </c>
    </row>
    <row r="49" spans="1:11" x14ac:dyDescent="0.25">
      <c r="A49" s="1" t="s">
        <v>1</v>
      </c>
      <c r="C49" s="11">
        <f t="shared" si="6"/>
        <v>67782892.167993024</v>
      </c>
      <c r="D49" s="11">
        <f t="shared" ref="D49:K49" si="8">C37*$B$64</f>
        <v>60251459.704882689</v>
      </c>
      <c r="E49" s="11">
        <f t="shared" si="8"/>
        <v>52720027.241772354</v>
      </c>
      <c r="F49" s="11">
        <f t="shared" si="8"/>
        <v>45188594.778662018</v>
      </c>
      <c r="G49" s="11">
        <f t="shared" si="8"/>
        <v>37657162.315551683</v>
      </c>
      <c r="H49" s="11">
        <f t="shared" si="8"/>
        <v>30125729.852441348</v>
      </c>
      <c r="I49" s="11">
        <f t="shared" si="8"/>
        <v>22594297.389331013</v>
      </c>
      <c r="J49" s="11">
        <f t="shared" si="8"/>
        <v>15062864.926220682</v>
      </c>
      <c r="K49" s="11">
        <f t="shared" si="8"/>
        <v>7531432.4631103408</v>
      </c>
    </row>
    <row r="51" spans="1:11" x14ac:dyDescent="0.25">
      <c r="A51" s="14" t="s">
        <v>16</v>
      </c>
      <c r="B51" s="14"/>
      <c r="C51" s="15">
        <v>2030</v>
      </c>
      <c r="D51" s="15">
        <v>2031</v>
      </c>
      <c r="E51" s="15">
        <v>2032</v>
      </c>
      <c r="F51" s="15">
        <v>2033</v>
      </c>
      <c r="G51" s="15">
        <v>2034</v>
      </c>
      <c r="H51" s="15">
        <v>2035</v>
      </c>
      <c r="I51" s="15">
        <v>2036</v>
      </c>
      <c r="J51" s="15">
        <v>2037</v>
      </c>
      <c r="K51" s="15">
        <v>2038</v>
      </c>
    </row>
    <row r="52" spans="1:11" x14ac:dyDescent="0.25"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C56" s="16"/>
      <c r="D56" s="16"/>
      <c r="E56" s="16"/>
      <c r="F56" s="16"/>
      <c r="G56" s="16"/>
      <c r="H56" s="16"/>
      <c r="I56" s="16"/>
      <c r="J56" s="16"/>
      <c r="K56" s="16"/>
    </row>
    <row r="57" spans="1:11" x14ac:dyDescent="0.25"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5">
      <c r="A59" s="1" t="s">
        <v>11</v>
      </c>
      <c r="C59" s="16">
        <f t="shared" ref="C53:K61" si="9">C47+C23</f>
        <v>238438219.0611586</v>
      </c>
      <c r="D59" s="16">
        <f t="shared" si="9"/>
        <v>224959818.28912622</v>
      </c>
      <c r="E59" s="16">
        <f t="shared" si="9"/>
        <v>213552514.43448544</v>
      </c>
      <c r="F59" s="16">
        <f t="shared" si="9"/>
        <v>202145210.57984465</v>
      </c>
      <c r="G59" s="16">
        <f t="shared" si="9"/>
        <v>190737906.72520387</v>
      </c>
      <c r="H59" s="16">
        <f t="shared" si="9"/>
        <v>179330602.87056312</v>
      </c>
      <c r="I59" s="16">
        <f t="shared" si="9"/>
        <v>167923299.01592234</v>
      </c>
      <c r="J59" s="16">
        <f t="shared" si="9"/>
        <v>156515995.16128156</v>
      </c>
      <c r="K59" s="16">
        <f t="shared" si="9"/>
        <v>145108691.3066408</v>
      </c>
    </row>
    <row r="60" spans="1:11" x14ac:dyDescent="0.25">
      <c r="A60" s="1" t="s">
        <v>0</v>
      </c>
      <c r="C60" s="16">
        <f t="shared" si="9"/>
        <v>84127344.433387771</v>
      </c>
      <c r="D60" s="16">
        <f t="shared" si="9"/>
        <v>78180376.124465734</v>
      </c>
      <c r="E60" s="16">
        <f t="shared" si="9"/>
        <v>74304504.732935295</v>
      </c>
      <c r="F60" s="16">
        <f t="shared" si="9"/>
        <v>70428633.341404855</v>
      </c>
      <c r="G60" s="16">
        <f t="shared" si="9"/>
        <v>66552761.949874416</v>
      </c>
      <c r="H60" s="16">
        <f t="shared" si="9"/>
        <v>62676890.558343977</v>
      </c>
      <c r="I60" s="16">
        <f t="shared" si="9"/>
        <v>58801019.166813537</v>
      </c>
      <c r="J60" s="16">
        <f t="shared" si="9"/>
        <v>54925147.775283098</v>
      </c>
      <c r="K60" s="16">
        <f t="shared" si="9"/>
        <v>51049276.383752659</v>
      </c>
    </row>
    <row r="61" spans="1:11" x14ac:dyDescent="0.25">
      <c r="A61" s="1" t="s">
        <v>1</v>
      </c>
      <c r="C61" s="16">
        <f t="shared" si="9"/>
        <v>154310874.62777078</v>
      </c>
      <c r="D61" s="16">
        <f t="shared" si="9"/>
        <v>146779442.16466045</v>
      </c>
      <c r="E61" s="16">
        <f t="shared" si="9"/>
        <v>139248009.70155013</v>
      </c>
      <c r="F61" s="16">
        <f t="shared" si="9"/>
        <v>131716577.2384398</v>
      </c>
      <c r="G61" s="16">
        <f t="shared" si="9"/>
        <v>124185144.77532946</v>
      </c>
      <c r="H61" s="16">
        <f t="shared" si="9"/>
        <v>116653712.31221911</v>
      </c>
      <c r="I61" s="16">
        <f t="shared" si="9"/>
        <v>109122279.84910879</v>
      </c>
      <c r="J61" s="16">
        <f t="shared" si="9"/>
        <v>101590847.38599846</v>
      </c>
      <c r="K61" s="16">
        <f t="shared" si="9"/>
        <v>94059414.922888115</v>
      </c>
    </row>
    <row r="62" spans="1:11" x14ac:dyDescent="0.25">
      <c r="C62" s="16"/>
      <c r="D62" s="16"/>
      <c r="E62" s="16"/>
      <c r="F62" s="16"/>
      <c r="G62" s="16"/>
      <c r="H62" s="16"/>
      <c r="I62" s="16"/>
      <c r="J62" s="16"/>
      <c r="K62" s="16"/>
    </row>
    <row r="63" spans="1:11" x14ac:dyDescent="0.25">
      <c r="A63" s="1" t="s">
        <v>18</v>
      </c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5">
      <c r="A64" s="1" t="s">
        <v>8</v>
      </c>
      <c r="B64" s="17">
        <f>'20 Yrs - 100% Gas'!B63</f>
        <v>8.7040426102750007E-2</v>
      </c>
    </row>
    <row r="65" spans="1:2" x14ac:dyDescent="0.25">
      <c r="A65" s="1" t="s">
        <v>9</v>
      </c>
      <c r="B65" s="17">
        <f>'20 Yrs - 100% Gas'!B64</f>
        <v>8.2162213903564499E-2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OTk4MTMwPC9Vc2VyTmFtZT48RGF0ZVRpbWU+Ny8xMC8yMDIyIDU6NTE6MTQ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OTk4MTMwPC9Vc2VyTmFtZT48RGF0ZVRpbWU+Ny8xMS8yMDIyIDY6NDE6MzI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Props1.xml><?xml version="1.0" encoding="utf-8"?>
<ds:datastoreItem xmlns:ds="http://schemas.openxmlformats.org/officeDocument/2006/customXml" ds:itemID="{16D06225-4010-4ECA-93B2-0FF2B2FABCC9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8491508-FFD5-4258-BB30-EBA42830436C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ED136F46-336A-4B0B-9A0A-4E1B46778B88}"/>
</file>

<file path=customXml/itemProps4.xml><?xml version="1.0" encoding="utf-8"?>
<ds:datastoreItem xmlns:ds="http://schemas.openxmlformats.org/officeDocument/2006/customXml" ds:itemID="{15CD819F-FAAC-4CDC-8EA2-FFDE17A61D50}"/>
</file>

<file path=customXml/itemProps5.xml><?xml version="1.0" encoding="utf-8"?>
<ds:datastoreItem xmlns:ds="http://schemas.openxmlformats.org/officeDocument/2006/customXml" ds:itemID="{F1B8C811-B77F-4E4C-8929-B4BF1B231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2029 NBV Starting Point</vt:lpstr>
      <vt:lpstr>20 Yrs - 100% Gas</vt:lpstr>
      <vt:lpstr>Retire in 2038</vt:lpstr>
    </vt:vector>
  </TitlesOfParts>
  <Company>AEP-SS-IT-WE-7/1/6-(8-835-3050)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Alex E Vaughan</cp:lastModifiedBy>
  <cp:lastPrinted>2024-07-11T20:38:00Z</cp:lastPrinted>
  <dcterms:created xsi:type="dcterms:W3CDTF">2011-05-13T13:25:30Z</dcterms:created>
  <dcterms:modified xsi:type="dcterms:W3CDTF">2025-08-22T16:53:45Z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29cb4196-6aee-4707-962b-045c24662c27</vt:lpwstr>
  </property>
  <property fmtid="{D5CDD505-2E9C-101B-9397-08002B2CF9AE}" pid="3" name="bjSaver">
    <vt:lpwstr>MSLcv1Deu+j/oxKLp9zJIfjP3BgDQ2g+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{16D06225-4010-4ECA-93B2-0FF2B2FABCC9}</vt:lpwstr>
  </property>
  <property fmtid="{D5CDD505-2E9C-101B-9397-08002B2CF9AE}" pid="13" name="ContentTypeId">
    <vt:lpwstr>0x0101004DF805D1E1DA4A49A223477D3B105720</vt:lpwstr>
  </property>
</Properties>
</file>