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Certificate Filings/2025-00175 Mitchell ELG/05 Discovery/AG/Workpapers (AG_1_1 response)/"/>
    </mc:Choice>
  </mc:AlternateContent>
  <xr:revisionPtr revIDLastSave="2" documentId="13_ncr:1_{FB8188DA-12A7-4870-ADC0-CA43892C070F}" xr6:coauthVersionLast="47" xr6:coauthVersionMax="47" xr10:uidLastSave="{D273512D-9A5B-407D-941C-F0E0DF0BD558}"/>
  <bookViews>
    <workbookView xWindow="28680" yWindow="-120" windowWidth="24240" windowHeight="13020" tabRatio="756" xr2:uid="{00000000-000D-0000-FFFF-FFFF00000000}"/>
  </bookViews>
  <sheets>
    <sheet name="Input" sheetId="25" r:id="rId1"/>
    <sheet name="NEC Forecast Inputs" sheetId="51" r:id="rId2"/>
    <sheet name="GRCF" sheetId="43" r:id="rId3"/>
    <sheet name="Allocators" sheetId="44" r:id="rId4"/>
    <sheet name="CAP Structure" sheetId="26" r:id="rId5"/>
    <sheet name="Rate Base - coal" sheetId="48" r:id="rId6"/>
    <sheet name="OPCO Rev Req" sheetId="9" r:id="rId7"/>
    <sheet name="Retail Rev Req" sheetId="45" state="hidden" r:id="rId8"/>
    <sheet name="SIT" sheetId="28" r:id="rId9"/>
    <sheet name="FIT" sheetId="27" r:id="rId10"/>
    <sheet name="MACRS" sheetId="49" state="hidden" r:id="rId11"/>
    <sheet name="DropDowns" sheetId="46" state="hidden" r:id="rId12"/>
  </sheets>
  <definedNames>
    <definedName name="_Order1" hidden="1">255</definedName>
    <definedName name="_Order2" hidden="1">255</definedName>
    <definedName name="A">#REF!</definedName>
    <definedName name="AEP">#REF!</definedName>
    <definedName name="Allocator">Input!$E$13</definedName>
    <definedName name="EquityWeighting">Input!$E$17</definedName>
    <definedName name="GRCF">Input!$E$12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GSALT">#REF!</definedName>
    <definedName name="NvsASD">"V2008-12-31"</definedName>
    <definedName name="NvsAutoDrillOk">"VN"</definedName>
    <definedName name="NvsElapsedTime">0.000486111108330078</definedName>
    <definedName name="NvsEndTime">39823.5989351852</definedName>
    <definedName name="NvsInstLang">"VENG"</definedName>
    <definedName name="NvsInstSpec">"%,FBUSINESS_UNIT,TGL_PRPT_CONS,NAPCO_CORP_CONSOL"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"V2000-06-01"</definedName>
    <definedName name="NvsPanelSetid">"VAEP"</definedName>
    <definedName name="NvsReqBU">"VX997"</definedName>
    <definedName name="NvsReqBUOnly">"VN"</definedName>
    <definedName name="NvsTransLed">"VN"</definedName>
    <definedName name="NvsTreeASD">"V2008-12-31"</definedName>
    <definedName name="NvsValTbl.CURRENCY_CD">"CURRENCY_CD_TBL"</definedName>
    <definedName name="peaks">#REF!</definedName>
    <definedName name="_xlnm.Print_Area" localSheetId="6">'OPCO Rev Req'!$A$2:$V$25</definedName>
    <definedName name="_xlnm.Print_Area" localSheetId="5">'Rate Base - coal'!$A$1:$W$70</definedName>
    <definedName name="_xlnm.Print_Area">#REF!</definedName>
    <definedName name="Print_Area_0">#REF!</definedName>
    <definedName name="_xlnm.Print_Titles" localSheetId="5">'Rate Base - coal'!$A:$A,'Rate Base - coal'!$1:$3</definedName>
    <definedName name="_xlnm.Print_Titles">#REF!</definedName>
    <definedName name="_xlnm.Recorder">#REF!</definedName>
    <definedName name="ROE">Input!$E$15</definedName>
    <definedName name="RSLM95">#REF!</definedName>
    <definedName name="TRAN1">#REF!</definedName>
    <definedName name="TRAN2">#REF!</definedName>
    <definedName name="WACC">Input!$E$14</definedName>
    <definedName name="WACD">Input!$E$16</definedName>
    <definedName name="Z_B2261136_1BD6_4EB8_80BC_AC5217B292C2_.wvu.PrintArea" localSheetId="6" hidden="1">'OPCO Rev Req'!$A$2:$L$29</definedName>
    <definedName name="Z_B2261136_1BD6_4EB8_80BC_AC5217B292C2_.wvu.PrintArea" localSheetId="5" hidden="1">'Rate Base - coal'!$A$1:$M$69</definedName>
    <definedName name="Z_B2261136_1BD6_4EB8_80BC_AC5217B292C2_.wvu.PrintTitles" localSheetId="5" hidden="1">'Rate Base - coal'!$A:$A,'Rate Base - coal'!$1:$3</definedName>
  </definedNames>
  <calcPr calcId="191029"/>
  <customWorkbookViews>
    <customWorkbookView name="Katharine I Walsh - Personal View" guid="{B2261136-1BD6-4EB8-80BC-AC5217B292C2}" mergeInterval="0" personalView="1" maximized="1" windowWidth="1600" windowHeight="627" tabRatio="81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25" l="1"/>
  <c r="M19" i="48" l="1"/>
  <c r="N19" i="48" s="1"/>
  <c r="K4" i="51"/>
  <c r="L4" i="51"/>
  <c r="K5" i="51"/>
  <c r="L5" i="51"/>
  <c r="K6" i="51"/>
  <c r="L6" i="51"/>
  <c r="K7" i="51"/>
  <c r="L7" i="51"/>
  <c r="K8" i="51"/>
  <c r="L8" i="51"/>
  <c r="K9" i="51"/>
  <c r="L9" i="51"/>
  <c r="K10" i="51"/>
  <c r="L10" i="51"/>
  <c r="B43" i="25" a="1"/>
  <c r="B43" i="25" s="1"/>
  <c r="B42" i="25" a="1"/>
  <c r="B42" i="25" s="1"/>
  <c r="B41" i="25" a="1"/>
  <c r="B41" i="25" s="1"/>
  <c r="B40" i="25" a="1"/>
  <c r="B40" i="25" s="1"/>
  <c r="B37" i="25" a="1"/>
  <c r="B37" i="25" s="1"/>
  <c r="B36" i="25" a="1"/>
  <c r="B36" i="25" s="1"/>
  <c r="J10" i="51"/>
  <c r="G10" i="51"/>
  <c r="D10" i="51"/>
  <c r="J9" i="51"/>
  <c r="G9" i="51"/>
  <c r="D9" i="51"/>
  <c r="J8" i="51"/>
  <c r="G8" i="51"/>
  <c r="D8" i="51"/>
  <c r="J7" i="51"/>
  <c r="G7" i="51"/>
  <c r="D7" i="51"/>
  <c r="J6" i="51"/>
  <c r="G6" i="51"/>
  <c r="D6" i="51"/>
  <c r="J5" i="51"/>
  <c r="G5" i="51"/>
  <c r="D5" i="51"/>
  <c r="J4" i="51"/>
  <c r="G4" i="51"/>
  <c r="D4" i="51"/>
  <c r="C51" i="25"/>
  <c r="D51" i="25"/>
  <c r="E51" i="25"/>
  <c r="F51" i="25"/>
  <c r="G51" i="25"/>
  <c r="H51" i="25"/>
  <c r="I51" i="25"/>
  <c r="J51" i="25"/>
  <c r="K51" i="25"/>
  <c r="L51" i="25"/>
  <c r="M51" i="25"/>
  <c r="C47" i="25"/>
  <c r="D47" i="25"/>
  <c r="E47" i="25"/>
  <c r="F47" i="25"/>
  <c r="G47" i="25"/>
  <c r="H47" i="25"/>
  <c r="I47" i="25"/>
  <c r="J47" i="25"/>
  <c r="K47" i="25"/>
  <c r="L47" i="25"/>
  <c r="M47" i="25"/>
  <c r="B51" i="25"/>
  <c r="B47" i="25"/>
  <c r="M8" i="51" l="1"/>
  <c r="M7" i="51"/>
  <c r="M9" i="51"/>
  <c r="M4" i="51"/>
  <c r="M6" i="51"/>
  <c r="M5" i="51"/>
  <c r="M10" i="51"/>
  <c r="D64" i="25"/>
  <c r="E64" i="25" s="1"/>
  <c r="F64" i="25" s="1"/>
  <c r="G64" i="25" s="1"/>
  <c r="H64" i="25" s="1"/>
  <c r="I64" i="25" s="1"/>
  <c r="J64" i="25" s="1"/>
  <c r="K64" i="25" s="1"/>
  <c r="L64" i="25" s="1"/>
  <c r="A64" i="25"/>
  <c r="C56" i="25"/>
  <c r="D56" i="25" s="1"/>
  <c r="E56" i="25" s="1"/>
  <c r="F56" i="25" s="1"/>
  <c r="G56" i="25" s="1"/>
  <c r="H56" i="25" s="1"/>
  <c r="I56" i="25" s="1"/>
  <c r="J56" i="25" s="1"/>
  <c r="K56" i="25" s="1"/>
  <c r="L56" i="25" s="1"/>
  <c r="M56" i="25" s="1"/>
  <c r="B58" i="25"/>
  <c r="C58" i="25" s="1"/>
  <c r="D58" i="25" s="1"/>
  <c r="E58" i="25" s="1"/>
  <c r="D46" i="25"/>
  <c r="E46" i="25" s="1"/>
  <c r="F46" i="25" s="1"/>
  <c r="G46" i="25" s="1"/>
  <c r="H46" i="25" s="1"/>
  <c r="I46" i="25" s="1"/>
  <c r="J46" i="25" s="1"/>
  <c r="K46" i="25" s="1"/>
  <c r="L46" i="25" s="1"/>
  <c r="M46" i="25" s="1"/>
  <c r="C49" i="25"/>
  <c r="D49" i="25"/>
  <c r="E49" i="25"/>
  <c r="F49" i="25"/>
  <c r="G49" i="25"/>
  <c r="H49" i="25"/>
  <c r="I49" i="25"/>
  <c r="J49" i="25"/>
  <c r="K49" i="25"/>
  <c r="L49" i="25"/>
  <c r="M49" i="25"/>
  <c r="C54" i="25"/>
  <c r="D54" i="25"/>
  <c r="E54" i="25"/>
  <c r="F54" i="25"/>
  <c r="G54" i="25"/>
  <c r="H54" i="25"/>
  <c r="I54" i="25"/>
  <c r="J54" i="25"/>
  <c r="K54" i="25"/>
  <c r="L54" i="25"/>
  <c r="M54" i="25"/>
  <c r="E15" i="25"/>
  <c r="B32" i="9" l="1" a="1"/>
  <c r="B32" i="9" s="1"/>
  <c r="C61" i="25"/>
  <c r="F58" i="25"/>
  <c r="E61" i="25"/>
  <c r="D61" i="25"/>
  <c r="G58" i="25" l="1"/>
  <c r="F61" i="25"/>
  <c r="L38" i="25"/>
  <c r="L39" i="25"/>
  <c r="L44" i="25"/>
  <c r="L45" i="25" l="1"/>
  <c r="H58" i="25"/>
  <c r="G61" i="25"/>
  <c r="A10" i="9"/>
  <c r="I58" i="25" l="1"/>
  <c r="H61" i="25"/>
  <c r="D16" i="26"/>
  <c r="E17" i="25" s="1"/>
  <c r="D14" i="26"/>
  <c r="D12" i="26"/>
  <c r="J58" i="25" l="1"/>
  <c r="I61" i="25"/>
  <c r="F16" i="26"/>
  <c r="H16" i="26" s="1"/>
  <c r="F14" i="26"/>
  <c r="H14" i="26" s="1"/>
  <c r="D18" i="26"/>
  <c r="K58" i="25" l="1"/>
  <c r="J61" i="25"/>
  <c r="F12" i="26"/>
  <c r="E16" i="25" s="1"/>
  <c r="K44" i="25"/>
  <c r="K61" i="25" l="1"/>
  <c r="L58" i="25"/>
  <c r="F18" i="26"/>
  <c r="E14" i="25" s="1"/>
  <c r="H12" i="26"/>
  <c r="H18" i="26" s="1"/>
  <c r="M58" i="25" l="1"/>
  <c r="M61" i="25" s="1"/>
  <c r="L61" i="25"/>
  <c r="C39" i="25"/>
  <c r="D39" i="25"/>
  <c r="E39" i="25"/>
  <c r="F39" i="25"/>
  <c r="G39" i="25"/>
  <c r="H39" i="25"/>
  <c r="I39" i="25"/>
  <c r="J39" i="25"/>
  <c r="K39" i="25"/>
  <c r="B39" i="25"/>
  <c r="C38" i="25"/>
  <c r="D38" i="25"/>
  <c r="E38" i="25"/>
  <c r="F38" i="25"/>
  <c r="G38" i="25"/>
  <c r="H38" i="25"/>
  <c r="I38" i="25"/>
  <c r="J38" i="25"/>
  <c r="K38" i="25"/>
  <c r="L31" i="9"/>
  <c r="B38" i="25"/>
  <c r="I31" i="9" l="1"/>
  <c r="G45" i="25"/>
  <c r="F31" i="9"/>
  <c r="F45" i="25"/>
  <c r="B31" i="9"/>
  <c r="B45" i="25"/>
  <c r="E31" i="9"/>
  <c r="E45" i="25"/>
  <c r="K31" i="9"/>
  <c r="K45" i="25"/>
  <c r="D31" i="9"/>
  <c r="D45" i="25"/>
  <c r="C31" i="9"/>
  <c r="C45" i="25"/>
  <c r="J31" i="9"/>
  <c r="J45" i="25"/>
  <c r="I45" i="25"/>
  <c r="H31" i="9"/>
  <c r="H45" i="25"/>
  <c r="G31" i="9"/>
  <c r="E6" i="25"/>
  <c r="M45" i="25" l="1"/>
  <c r="J25" i="48"/>
  <c r="K25" i="48"/>
  <c r="L25" i="48"/>
  <c r="M25" i="48"/>
  <c r="N25" i="48"/>
  <c r="G7" i="9"/>
  <c r="H7" i="9"/>
  <c r="I7" i="9"/>
  <c r="J7" i="9"/>
  <c r="K7" i="9"/>
  <c r="L7" i="9"/>
  <c r="G9" i="9"/>
  <c r="H9" i="9"/>
  <c r="I9" i="9"/>
  <c r="J9" i="9"/>
  <c r="K9" i="9"/>
  <c r="L9" i="9"/>
  <c r="G10" i="9"/>
  <c r="H10" i="9"/>
  <c r="I10" i="9"/>
  <c r="J10" i="9"/>
  <c r="K10" i="9"/>
  <c r="L10" i="9"/>
  <c r="G11" i="9"/>
  <c r="H11" i="9"/>
  <c r="I11" i="9"/>
  <c r="J11" i="9"/>
  <c r="K11" i="9"/>
  <c r="L11" i="9"/>
  <c r="G12" i="9"/>
  <c r="H12" i="9"/>
  <c r="I12" i="9"/>
  <c r="J12" i="9"/>
  <c r="K12" i="9"/>
  <c r="L12" i="9"/>
  <c r="AL19" i="27"/>
  <c r="Y19" i="27"/>
  <c r="Z19" i="27"/>
  <c r="AA19" i="27"/>
  <c r="AB19" i="27"/>
  <c r="AC19" i="27"/>
  <c r="AD19" i="27"/>
  <c r="AE19" i="27"/>
  <c r="AF19" i="27"/>
  <c r="AG19" i="27"/>
  <c r="AH19" i="27"/>
  <c r="AI19" i="27"/>
  <c r="AJ19" i="27"/>
  <c r="AK19" i="27"/>
  <c r="AJ2" i="28"/>
  <c r="AJ1" i="27" s="1"/>
  <c r="AK2" i="28"/>
  <c r="AK1" i="27" s="1"/>
  <c r="AL2" i="28"/>
  <c r="AL1" i="27" s="1"/>
  <c r="Y2" i="28"/>
  <c r="Y1" i="27" s="1"/>
  <c r="Z2" i="28"/>
  <c r="Z1" i="27" s="1"/>
  <c r="AA2" i="28"/>
  <c r="AA1" i="27" s="1"/>
  <c r="AB2" i="28"/>
  <c r="AB1" i="27" s="1"/>
  <c r="AC2" i="28"/>
  <c r="AC1" i="27" s="1"/>
  <c r="AD2" i="28"/>
  <c r="AD1" i="27" s="1"/>
  <c r="AE2" i="28"/>
  <c r="AE1" i="27" s="1"/>
  <c r="AF2" i="28"/>
  <c r="AF1" i="27" s="1"/>
  <c r="AG2" i="28"/>
  <c r="AG1" i="27" s="1"/>
  <c r="AH2" i="28"/>
  <c r="AH1" i="27" s="1"/>
  <c r="AI2" i="28"/>
  <c r="AI1" i="27" s="1"/>
  <c r="AL6" i="28" l="1"/>
  <c r="AK6" i="28"/>
  <c r="AJ6" i="27"/>
  <c r="AI6" i="27"/>
  <c r="AH6" i="28"/>
  <c r="AL6" i="27" l="1"/>
  <c r="AI6" i="28"/>
  <c r="AK6" i="27"/>
  <c r="AJ6" i="28"/>
  <c r="AH6" i="27"/>
  <c r="B34" i="25" l="1"/>
  <c r="E40" i="44"/>
  <c r="A36" i="44"/>
  <c r="D14" i="43"/>
  <c r="A11" i="43"/>
  <c r="A12" i="43" s="1"/>
  <c r="A14" i="43" s="1"/>
  <c r="A16" i="43" s="1"/>
  <c r="A19" i="43" s="1"/>
  <c r="A21" i="43" s="1"/>
  <c r="A23" i="43" s="1"/>
  <c r="A25" i="43" s="1"/>
  <c r="D7" i="43"/>
  <c r="AF18" i="28" l="1"/>
  <c r="Y18" i="28"/>
  <c r="AG18" i="28"/>
  <c r="Z18" i="28"/>
  <c r="AH18" i="28"/>
  <c r="AE18" i="28"/>
  <c r="AJ18" i="28"/>
  <c r="AA18" i="28"/>
  <c r="AI18" i="28"/>
  <c r="AL18" i="28"/>
  <c r="AD18" i="28"/>
  <c r="AK18" i="28"/>
  <c r="AB18" i="28"/>
  <c r="AC18" i="28"/>
  <c r="E13" i="25"/>
  <c r="D16" i="43"/>
  <c r="D19" i="43" s="1"/>
  <c r="AH5" i="45" l="1" a="1"/>
  <c r="AH5" i="45" s="1"/>
  <c r="AB6" i="45" a="1"/>
  <c r="AB6" i="45" s="1"/>
  <c r="V8" i="45" a="1"/>
  <c r="V8" i="45" s="1"/>
  <c r="AD8" i="45" a="1"/>
  <c r="AD8" i="45" s="1"/>
  <c r="W9" i="45" a="1"/>
  <c r="W9" i="45" s="1"/>
  <c r="AE9" i="45" a="1"/>
  <c r="AE9" i="45" s="1"/>
  <c r="X10" i="45" a="1"/>
  <c r="X10" i="45" s="1"/>
  <c r="AF10" i="45" a="1"/>
  <c r="AF10" i="45" s="1"/>
  <c r="Z11" i="45" a="1"/>
  <c r="Z11" i="45" s="1"/>
  <c r="AJ11" i="45" a="1"/>
  <c r="AJ11" i="45" s="1"/>
  <c r="AG6" i="45" a="1"/>
  <c r="AG6" i="45" s="1"/>
  <c r="AH8" i="45" a="1"/>
  <c r="AH8" i="45" s="1"/>
  <c r="AI9" i="45" a="1"/>
  <c r="AI9" i="45" s="1"/>
  <c r="V11" i="45" a="1"/>
  <c r="V11" i="45" s="1"/>
  <c r="AJ12" i="45" a="1"/>
  <c r="AJ12" i="45" s="1"/>
  <c r="AJ39" i="45" s="1"/>
  <c r="AH6" i="45" a="1"/>
  <c r="AH6" i="45" s="1"/>
  <c r="AB9" i="45" a="1"/>
  <c r="AB9" i="45" s="1"/>
  <c r="AC10" i="45" a="1"/>
  <c r="AC10" i="45" s="1"/>
  <c r="AF11" i="45" a="1"/>
  <c r="AF11" i="45" s="1"/>
  <c r="AF5" i="45" a="1"/>
  <c r="AF5" i="45" s="1"/>
  <c r="AB8" i="45" a="1"/>
  <c r="AB8" i="45" s="1"/>
  <c r="AC9" i="45" a="1"/>
  <c r="AC9" i="45" s="1"/>
  <c r="X11" i="45" a="1"/>
  <c r="X11" i="45" s="1"/>
  <c r="AG5" i="45" a="1"/>
  <c r="AG5" i="45" s="1"/>
  <c r="AJ6" i="45" a="1"/>
  <c r="AJ6" i="45" s="1"/>
  <c r="V9" i="45" a="1"/>
  <c r="V9" i="45" s="1"/>
  <c r="W10" i="45" a="1"/>
  <c r="W10" i="45" s="1"/>
  <c r="Y11" i="45" a="1"/>
  <c r="Y11" i="45" s="1"/>
  <c r="AI5" i="45" a="1"/>
  <c r="AI5" i="45" s="1"/>
  <c r="AC6" i="45" a="1"/>
  <c r="AC6" i="45" s="1"/>
  <c r="W8" i="45" a="1"/>
  <c r="W8" i="45" s="1"/>
  <c r="AE8" i="45" a="1"/>
  <c r="AE8" i="45" s="1"/>
  <c r="X9" i="45" a="1"/>
  <c r="X9" i="45" s="1"/>
  <c r="AF9" i="45" a="1"/>
  <c r="AF9" i="45" s="1"/>
  <c r="AG10" i="45" a="1"/>
  <c r="AG10" i="45" s="1"/>
  <c r="AB11" i="45" a="1"/>
  <c r="AB11" i="45" s="1"/>
  <c r="AJ5" i="45" a="1"/>
  <c r="AJ5" i="45" s="1"/>
  <c r="AD6" i="45" a="1"/>
  <c r="AD6" i="45" s="1"/>
  <c r="X8" i="45" a="1"/>
  <c r="X8" i="45" s="1"/>
  <c r="AF8" i="45" a="1"/>
  <c r="AF8" i="45" s="1"/>
  <c r="Y9" i="45" a="1"/>
  <c r="Y9" i="45" s="1"/>
  <c r="AG9" i="45" a="1"/>
  <c r="AG9" i="45" s="1"/>
  <c r="Y10" i="45" a="1"/>
  <c r="Y10" i="45" s="1"/>
  <c r="AI10" i="45" a="1"/>
  <c r="AI10" i="45" s="1"/>
  <c r="AC11" i="45" a="1"/>
  <c r="AC11" i="45" s="1"/>
  <c r="V6" i="45" a="1"/>
  <c r="V6" i="45" s="1"/>
  <c r="AF6" i="45" a="1"/>
  <c r="AF6" i="45" s="1"/>
  <c r="Y8" i="45" a="1"/>
  <c r="Y8" i="45" s="1"/>
  <c r="AG8" i="45" a="1"/>
  <c r="AG8" i="45" s="1"/>
  <c r="Z9" i="45" a="1"/>
  <c r="Z9" i="45" s="1"/>
  <c r="AH9" i="45" a="1"/>
  <c r="AH9" i="45" s="1"/>
  <c r="AA10" i="45" a="1"/>
  <c r="AA10" i="45" s="1"/>
  <c r="AJ10" i="45" a="1"/>
  <c r="AJ10" i="45" s="1"/>
  <c r="AD11" i="45" a="1"/>
  <c r="AD11" i="45" s="1"/>
  <c r="AH12" i="45" a="1"/>
  <c r="AH12" i="45" s="1"/>
  <c r="AH39" i="45" s="1"/>
  <c r="X6" i="45" a="1"/>
  <c r="X6" i="45" s="1"/>
  <c r="Z8" i="45" a="1"/>
  <c r="Z8" i="45" s="1"/>
  <c r="AA9" i="45" a="1"/>
  <c r="AA9" i="45" s="1"/>
  <c r="AB10" i="45" a="1"/>
  <c r="AB10" i="45" s="1"/>
  <c r="AE11" i="45" a="1"/>
  <c r="AE11" i="45" s="1"/>
  <c r="Y6" i="45" a="1"/>
  <c r="Y6" i="45" s="1"/>
  <c r="AA8" i="45" a="1"/>
  <c r="AA8" i="45" s="1"/>
  <c r="AI8" i="45" a="1"/>
  <c r="AI8" i="45" s="1"/>
  <c r="AJ9" i="45" a="1"/>
  <c r="AJ9" i="45" s="1"/>
  <c r="W11" i="45" a="1"/>
  <c r="W11" i="45" s="1"/>
  <c r="Z6" i="45" a="1"/>
  <c r="Z6" i="45" s="1"/>
  <c r="AI6" i="45" a="1"/>
  <c r="AI6" i="45" s="1"/>
  <c r="AJ8" i="45" a="1"/>
  <c r="AJ8" i="45" s="1"/>
  <c r="V10" i="45" a="1"/>
  <c r="V10" i="45" s="1"/>
  <c r="AD10" i="45" a="1"/>
  <c r="AD10" i="45" s="1"/>
  <c r="AG11" i="45" a="1"/>
  <c r="AG11" i="45" s="1"/>
  <c r="AA6" i="45" a="1"/>
  <c r="AA6" i="45" s="1"/>
  <c r="AC8" i="45" a="1"/>
  <c r="AC8" i="45" s="1"/>
  <c r="AD9" i="45" a="1"/>
  <c r="AD9" i="45" s="1"/>
  <c r="AE10" i="45" a="1"/>
  <c r="AE10" i="45" s="1"/>
  <c r="AH11" i="45" a="1"/>
  <c r="AH11" i="45" s="1"/>
  <c r="AA11" i="45" a="1"/>
  <c r="AA11" i="45" s="1"/>
  <c r="AI12" i="45" a="1"/>
  <c r="AI12" i="45" s="1"/>
  <c r="AI39" i="45" s="1"/>
  <c r="AI11" i="45" a="1"/>
  <c r="AI11" i="45" s="1"/>
  <c r="W6" i="45" a="1"/>
  <c r="W6" i="45" s="1"/>
  <c r="AH10" i="45" a="1"/>
  <c r="AH10" i="45" s="1"/>
  <c r="AF12" i="45" a="1"/>
  <c r="AF12" i="45" s="1"/>
  <c r="AF39" i="45" s="1"/>
  <c r="AG12" i="45" a="1"/>
  <c r="AG12" i="45" s="1"/>
  <c r="AG39" i="45" s="1"/>
  <c r="AE6" i="45" a="1"/>
  <c r="AE6" i="45" s="1"/>
  <c r="Z10" i="45" a="1"/>
  <c r="Z10" i="45" s="1"/>
  <c r="D21" i="43"/>
  <c r="D23" i="43" s="1"/>
  <c r="D25" i="43" s="1"/>
  <c r="E12" i="25" s="1"/>
  <c r="L27" i="9" l="1"/>
  <c r="Z24" i="45"/>
  <c r="AH24" i="45"/>
  <c r="AA24" i="45"/>
  <c r="AI24" i="45"/>
  <c r="AB24" i="45"/>
  <c r="AF24" i="45"/>
  <c r="Y24" i="45"/>
  <c r="AG24" i="45"/>
  <c r="K27" i="9"/>
  <c r="AJ24" i="45"/>
  <c r="G27" i="9"/>
  <c r="AC24" i="45"/>
  <c r="AE24" i="45"/>
  <c r="X24" i="45"/>
  <c r="H27" i="9"/>
  <c r="V24" i="45"/>
  <c r="AD24" i="45"/>
  <c r="I27" i="9"/>
  <c r="W24" i="45"/>
  <c r="J27" i="9"/>
  <c r="K21" i="9" l="1"/>
  <c r="L21" i="9"/>
  <c r="G21" i="9"/>
  <c r="H21" i="9"/>
  <c r="I21" i="9"/>
  <c r="J21" i="9"/>
  <c r="B27" i="48" l="1"/>
  <c r="G23" i="49"/>
  <c r="F23" i="49"/>
  <c r="E23" i="49"/>
  <c r="D23" i="49"/>
  <c r="C23" i="49"/>
  <c r="B23" i="49"/>
  <c r="M27" i="48" l="1" a="1"/>
  <c r="M27" i="48" s="1"/>
  <c r="N27" i="48" a="1"/>
  <c r="N27" i="48" s="1"/>
  <c r="K27" i="48" a="1"/>
  <c r="K27" i="48" s="1"/>
  <c r="J27" i="48" a="1"/>
  <c r="J27" i="48" s="1"/>
  <c r="L27" i="48" a="1"/>
  <c r="L27" i="48" s="1"/>
  <c r="I27" i="48" a="1"/>
  <c r="I27" i="48" s="1"/>
  <c r="H27" i="48" a="1"/>
  <c r="H27" i="48" s="1"/>
  <c r="C27" i="48" a="1"/>
  <c r="C27" i="48" s="1"/>
  <c r="G27" i="48" a="1"/>
  <c r="G27" i="48" s="1"/>
  <c r="E27" i="48" a="1"/>
  <c r="E27" i="48" s="1"/>
  <c r="F27" i="48" a="1"/>
  <c r="F27" i="48" s="1"/>
  <c r="D27" i="48" a="1"/>
  <c r="D27" i="48" s="1"/>
  <c r="N19" i="27" l="1"/>
  <c r="O19" i="27"/>
  <c r="P19" i="27"/>
  <c r="Q19" i="27"/>
  <c r="R19" i="27"/>
  <c r="S19" i="27"/>
  <c r="T19" i="27"/>
  <c r="U19" i="27"/>
  <c r="V19" i="27"/>
  <c r="W19" i="27"/>
  <c r="X19" i="27"/>
  <c r="E19" i="27"/>
  <c r="F19" i="27"/>
  <c r="G19" i="27"/>
  <c r="H19" i="27"/>
  <c r="I19" i="27"/>
  <c r="J19" i="27"/>
  <c r="K19" i="27"/>
  <c r="L19" i="27"/>
  <c r="M19" i="27"/>
  <c r="E2" i="28"/>
  <c r="E1" i="27" s="1"/>
  <c r="F2" i="28"/>
  <c r="F1" i="27" s="1"/>
  <c r="G2" i="28"/>
  <c r="G1" i="27" s="1"/>
  <c r="H2" i="28"/>
  <c r="H1" i="27" s="1"/>
  <c r="I2" i="28"/>
  <c r="I1" i="27" s="1"/>
  <c r="J2" i="28"/>
  <c r="J1" i="27" s="1"/>
  <c r="K2" i="28"/>
  <c r="K1" i="27" s="1"/>
  <c r="L2" i="28"/>
  <c r="L1" i="27" s="1"/>
  <c r="M2" i="28"/>
  <c r="M1" i="27" s="1"/>
  <c r="N2" i="28"/>
  <c r="N1" i="27" s="1"/>
  <c r="O2" i="28"/>
  <c r="O1" i="27" s="1"/>
  <c r="P2" i="28"/>
  <c r="P1" i="27" s="1"/>
  <c r="Q2" i="28"/>
  <c r="Q1" i="27" s="1"/>
  <c r="R2" i="28"/>
  <c r="R1" i="27" s="1"/>
  <c r="S2" i="28"/>
  <c r="S1" i="27" s="1"/>
  <c r="T2" i="28"/>
  <c r="T1" i="27" s="1"/>
  <c r="U2" i="28"/>
  <c r="U1" i="27" s="1"/>
  <c r="V2" i="28"/>
  <c r="V1" i="27" s="1"/>
  <c r="W2" i="28"/>
  <c r="W1" i="27" s="1"/>
  <c r="X2" i="28"/>
  <c r="X1" i="27" s="1"/>
  <c r="D2" i="28"/>
  <c r="D1" i="27" s="1"/>
  <c r="A14" i="45" l="1"/>
  <c r="A15" i="45"/>
  <c r="A16" i="45"/>
  <c r="A17" i="45"/>
  <c r="A18" i="45"/>
  <c r="A20" i="45"/>
  <c r="A21" i="45"/>
  <c r="A23" i="45"/>
  <c r="A24" i="45"/>
  <c r="A25" i="45"/>
  <c r="B29" i="25" l="1"/>
  <c r="B30" i="25" s="1"/>
  <c r="B22" i="25" s="1"/>
  <c r="B24" i="45" l="1"/>
  <c r="D24" i="45"/>
  <c r="E24" i="45"/>
  <c r="M24" i="45"/>
  <c r="U24" i="45"/>
  <c r="P24" i="45"/>
  <c r="Q24" i="45"/>
  <c r="R24" i="45"/>
  <c r="C24" i="45"/>
  <c r="S24" i="45"/>
  <c r="L24" i="45"/>
  <c r="F24" i="45"/>
  <c r="N24" i="45"/>
  <c r="O24" i="45"/>
  <c r="H24" i="45"/>
  <c r="J24" i="45"/>
  <c r="K24" i="45"/>
  <c r="T24" i="45"/>
  <c r="G24" i="45"/>
  <c r="I24" i="45"/>
  <c r="A1" i="9" l="1"/>
  <c r="A1" i="45"/>
  <c r="K18" i="28" l="1"/>
  <c r="S18" i="28"/>
  <c r="F18" i="28"/>
  <c r="L18" i="28"/>
  <c r="T18" i="28"/>
  <c r="J18" i="28"/>
  <c r="M18" i="28"/>
  <c r="U18" i="28"/>
  <c r="R18" i="28"/>
  <c r="E18" i="28"/>
  <c r="D18" i="28"/>
  <c r="N18" i="28"/>
  <c r="V18" i="28"/>
  <c r="G18" i="28"/>
  <c r="O18" i="28"/>
  <c r="W18" i="28"/>
  <c r="H18" i="28"/>
  <c r="P18" i="28"/>
  <c r="X18" i="28"/>
  <c r="I18" i="28"/>
  <c r="Q18" i="28"/>
  <c r="E27" i="9"/>
  <c r="D27" i="9"/>
  <c r="C27" i="9"/>
  <c r="B27" i="9"/>
  <c r="F27" i="9"/>
  <c r="G6" i="9" l="1"/>
  <c r="G13" i="9" s="1"/>
  <c r="G54" i="9" s="1"/>
  <c r="H6" i="9"/>
  <c r="H13" i="9" s="1"/>
  <c r="H54" i="9" s="1"/>
  <c r="I6" i="9"/>
  <c r="I13" i="9" s="1"/>
  <c r="I54" i="9" s="1"/>
  <c r="J6" i="9"/>
  <c r="J13" i="9" s="1"/>
  <c r="J54" i="9" s="1"/>
  <c r="K6" i="9"/>
  <c r="K13" i="9" s="1"/>
  <c r="K54" i="9" s="1"/>
  <c r="L6" i="9"/>
  <c r="L13" i="9" s="1"/>
  <c r="L54" i="9" s="1"/>
  <c r="B54" i="25"/>
  <c r="B61" i="25" s="1"/>
  <c r="V5" i="45" l="1" a="1"/>
  <c r="V5" i="45" s="1"/>
  <c r="J4" i="48"/>
  <c r="J24" i="48" s="1"/>
  <c r="K4" i="48"/>
  <c r="K24" i="48" s="1"/>
  <c r="L4" i="48"/>
  <c r="L24" i="48" s="1"/>
  <c r="M4" i="48"/>
  <c r="M24" i="48" s="1"/>
  <c r="N4" i="48"/>
  <c r="N24" i="48" s="1"/>
  <c r="B49" i="25"/>
  <c r="B5" i="9"/>
  <c r="B4" i="45" s="1"/>
  <c r="D3" i="28" s="1"/>
  <c r="D2" i="27" s="1"/>
  <c r="W5" i="45" l="1" a="1"/>
  <c r="W5" i="45" s="1"/>
  <c r="V12" i="45" a="1"/>
  <c r="V12" i="45" s="1"/>
  <c r="V39" i="45" s="1"/>
  <c r="X5" i="45" l="1" a="1"/>
  <c r="X5" i="45" s="1"/>
  <c r="Y6" i="27"/>
  <c r="Y6" i="28"/>
  <c r="W12" i="45" a="1"/>
  <c r="W12" i="45" s="1"/>
  <c r="W39" i="45" s="1"/>
  <c r="Y5" i="45" l="1" a="1"/>
  <c r="Y5" i="45" s="1"/>
  <c r="Z6" i="27"/>
  <c r="Z6" i="28"/>
  <c r="X12" i="45" a="1"/>
  <c r="X12" i="45" s="1"/>
  <c r="X39" i="45" s="1"/>
  <c r="A6" i="45"/>
  <c r="A8" i="45"/>
  <c r="A9" i="45"/>
  <c r="A10" i="45"/>
  <c r="A11" i="45"/>
  <c r="A12" i="45"/>
  <c r="A13" i="45"/>
  <c r="A5" i="45"/>
  <c r="Z5" i="45" l="1" a="1"/>
  <c r="Z5" i="45" s="1"/>
  <c r="AA6" i="27"/>
  <c r="AA6" i="28"/>
  <c r="Y12" i="45" a="1"/>
  <c r="Y12" i="45" s="1"/>
  <c r="Y39" i="45" s="1"/>
  <c r="E8" i="25"/>
  <c r="E4" i="25"/>
  <c r="C9" i="9"/>
  <c r="C8" i="45" s="1" a="1"/>
  <c r="C8" i="45" s="1"/>
  <c r="D9" i="9"/>
  <c r="D8" i="45" s="1" a="1"/>
  <c r="D8" i="45" s="1"/>
  <c r="E9" i="9"/>
  <c r="E8" i="45" s="1" a="1"/>
  <c r="E8" i="45" s="1"/>
  <c r="F9" i="9"/>
  <c r="F8" i="45" s="1" a="1"/>
  <c r="F8" i="45" s="1"/>
  <c r="G8" i="45" a="1"/>
  <c r="G8" i="45" s="1"/>
  <c r="H8" i="45" a="1"/>
  <c r="H8" i="45" s="1"/>
  <c r="I8" i="45" a="1"/>
  <c r="I8" i="45" s="1"/>
  <c r="J8" i="45" a="1"/>
  <c r="J8" i="45" s="1"/>
  <c r="K8" i="45" a="1"/>
  <c r="K8" i="45" s="1"/>
  <c r="L8" i="45" a="1"/>
  <c r="L8" i="45" s="1"/>
  <c r="M8" i="45" a="1"/>
  <c r="M8" i="45" s="1"/>
  <c r="N8" i="45" a="1"/>
  <c r="N8" i="45" s="1"/>
  <c r="O8" i="45" a="1"/>
  <c r="O8" i="45" s="1"/>
  <c r="P8" i="45" a="1"/>
  <c r="P8" i="45" s="1"/>
  <c r="Q8" i="45" a="1"/>
  <c r="Q8" i="45" s="1"/>
  <c r="R8" i="45" a="1"/>
  <c r="R8" i="45" s="1"/>
  <c r="S8" i="45" a="1"/>
  <c r="S8" i="45" s="1"/>
  <c r="T8" i="45" a="1"/>
  <c r="T8" i="45" s="1"/>
  <c r="U8" i="45" a="1"/>
  <c r="U8" i="45" s="1"/>
  <c r="C10" i="9"/>
  <c r="C9" i="45" s="1" a="1"/>
  <c r="C9" i="45" s="1"/>
  <c r="D10" i="9"/>
  <c r="D9" i="45" s="1" a="1"/>
  <c r="D9" i="45" s="1"/>
  <c r="E10" i="9"/>
  <c r="E9" i="45" s="1" a="1"/>
  <c r="E9" i="45" s="1"/>
  <c r="F10" i="9"/>
  <c r="F9" i="45" s="1" a="1"/>
  <c r="F9" i="45" s="1"/>
  <c r="G9" i="45" a="1"/>
  <c r="G9" i="45" s="1"/>
  <c r="H9" i="45" a="1"/>
  <c r="H9" i="45" s="1"/>
  <c r="I9" i="45" a="1"/>
  <c r="I9" i="45" s="1"/>
  <c r="J9" i="45" a="1"/>
  <c r="J9" i="45" s="1"/>
  <c r="K9" i="45" a="1"/>
  <c r="K9" i="45" s="1"/>
  <c r="L9" i="45" a="1"/>
  <c r="L9" i="45" s="1"/>
  <c r="M9" i="45" a="1"/>
  <c r="M9" i="45" s="1"/>
  <c r="N9" i="45" a="1"/>
  <c r="N9" i="45" s="1"/>
  <c r="O9" i="45" a="1"/>
  <c r="O9" i="45" s="1"/>
  <c r="P9" i="45" a="1"/>
  <c r="P9" i="45" s="1"/>
  <c r="Q9" i="45" a="1"/>
  <c r="Q9" i="45" s="1"/>
  <c r="R9" i="45" a="1"/>
  <c r="R9" i="45" s="1"/>
  <c r="S9" i="45" a="1"/>
  <c r="S9" i="45" s="1"/>
  <c r="T9" i="45" a="1"/>
  <c r="T9" i="45" s="1"/>
  <c r="U9" i="45" a="1"/>
  <c r="U9" i="45" s="1"/>
  <c r="C11" i="9"/>
  <c r="C10" i="45" s="1" a="1"/>
  <c r="C10" i="45" s="1"/>
  <c r="D11" i="9"/>
  <c r="D10" i="45" s="1" a="1"/>
  <c r="D10" i="45" s="1"/>
  <c r="E11" i="9"/>
  <c r="E10" i="45" s="1" a="1"/>
  <c r="E10" i="45" s="1"/>
  <c r="F11" i="9"/>
  <c r="F10" i="45" s="1" a="1"/>
  <c r="F10" i="45" s="1"/>
  <c r="G10" i="45" a="1"/>
  <c r="G10" i="45" s="1"/>
  <c r="H10" i="45" a="1"/>
  <c r="H10" i="45" s="1"/>
  <c r="I10" i="45" a="1"/>
  <c r="I10" i="45" s="1"/>
  <c r="J10" i="45" a="1"/>
  <c r="J10" i="45" s="1"/>
  <c r="K10" i="45" a="1"/>
  <c r="K10" i="45" s="1"/>
  <c r="L10" i="45" a="1"/>
  <c r="L10" i="45" s="1"/>
  <c r="M10" i="45" a="1"/>
  <c r="M10" i="45" s="1"/>
  <c r="N10" i="45" a="1"/>
  <c r="N10" i="45" s="1"/>
  <c r="O10" i="45" a="1"/>
  <c r="O10" i="45" s="1"/>
  <c r="P10" i="45" a="1"/>
  <c r="P10" i="45" s="1"/>
  <c r="Q10" i="45" a="1"/>
  <c r="Q10" i="45" s="1"/>
  <c r="R10" i="45" a="1"/>
  <c r="R10" i="45" s="1"/>
  <c r="S10" i="45" a="1"/>
  <c r="S10" i="45" s="1"/>
  <c r="T10" i="45" a="1"/>
  <c r="T10" i="45" s="1"/>
  <c r="U10" i="45" a="1"/>
  <c r="U10" i="45" s="1"/>
  <c r="C12" i="9"/>
  <c r="C11" i="45" s="1" a="1"/>
  <c r="C11" i="45" s="1"/>
  <c r="D12" i="9"/>
  <c r="D11" i="45" s="1" a="1"/>
  <c r="D11" i="45" s="1"/>
  <c r="E12" i="9"/>
  <c r="E11" i="45" s="1" a="1"/>
  <c r="E11" i="45" s="1"/>
  <c r="F12" i="9"/>
  <c r="F11" i="45" s="1" a="1"/>
  <c r="F11" i="45" s="1"/>
  <c r="G11" i="45" a="1"/>
  <c r="G11" i="45" s="1"/>
  <c r="H11" i="45" a="1"/>
  <c r="H11" i="45" s="1"/>
  <c r="I11" i="45" a="1"/>
  <c r="I11" i="45" s="1"/>
  <c r="J11" i="45" a="1"/>
  <c r="J11" i="45" s="1"/>
  <c r="K11" i="45" a="1"/>
  <c r="K11" i="45" s="1"/>
  <c r="L11" i="45" a="1"/>
  <c r="L11" i="45" s="1"/>
  <c r="M11" i="45" a="1"/>
  <c r="M11" i="45" s="1"/>
  <c r="N11" i="45" a="1"/>
  <c r="N11" i="45" s="1"/>
  <c r="O11" i="45" a="1"/>
  <c r="O11" i="45" s="1"/>
  <c r="P11" i="45" a="1"/>
  <c r="P11" i="45" s="1"/>
  <c r="Q11" i="45" a="1"/>
  <c r="Q11" i="45" s="1"/>
  <c r="R11" i="45" a="1"/>
  <c r="R11" i="45" s="1"/>
  <c r="S11" i="45" a="1"/>
  <c r="S11" i="45" s="1"/>
  <c r="T11" i="45" a="1"/>
  <c r="T11" i="45" s="1"/>
  <c r="U11" i="45" a="1"/>
  <c r="U11" i="45" s="1"/>
  <c r="B10" i="9"/>
  <c r="B9" i="45" s="1" a="1"/>
  <c r="B9" i="45" s="1"/>
  <c r="B11" i="9"/>
  <c r="B10" i="45" s="1" a="1"/>
  <c r="B10" i="45" s="1"/>
  <c r="B12" i="9"/>
  <c r="B11" i="45" s="1" a="1"/>
  <c r="B11" i="45" s="1"/>
  <c r="B9" i="9"/>
  <c r="B8" i="45" s="1" a="1"/>
  <c r="B8" i="45" s="1"/>
  <c r="C7" i="9"/>
  <c r="C6" i="45" s="1" a="1"/>
  <c r="C6" i="45" s="1"/>
  <c r="D7" i="9"/>
  <c r="D6" i="45" s="1" a="1"/>
  <c r="D6" i="45" s="1"/>
  <c r="E7" i="9"/>
  <c r="E6" i="45" s="1" a="1"/>
  <c r="E6" i="45" s="1"/>
  <c r="F7" i="9"/>
  <c r="F6" i="45" s="1" a="1"/>
  <c r="F6" i="45" s="1"/>
  <c r="G6" i="45" a="1"/>
  <c r="G6" i="45" s="1"/>
  <c r="H6" i="45" a="1"/>
  <c r="H6" i="45" s="1"/>
  <c r="I6" i="45" a="1"/>
  <c r="I6" i="45" s="1"/>
  <c r="J6" i="45" a="1"/>
  <c r="J6" i="45" s="1"/>
  <c r="K6" i="45" a="1"/>
  <c r="K6" i="45" s="1"/>
  <c r="L6" i="45" a="1"/>
  <c r="L6" i="45" s="1"/>
  <c r="M6" i="45" a="1"/>
  <c r="M6" i="45" s="1"/>
  <c r="N6" i="45" a="1"/>
  <c r="N6" i="45" s="1"/>
  <c r="O6" i="45" a="1"/>
  <c r="O6" i="45" s="1"/>
  <c r="P6" i="45" a="1"/>
  <c r="P6" i="45" s="1"/>
  <c r="Q6" i="45" a="1"/>
  <c r="Q6" i="45" s="1"/>
  <c r="R6" i="45" a="1"/>
  <c r="R6" i="45" s="1"/>
  <c r="S6" i="45" a="1"/>
  <c r="S6" i="45" s="1"/>
  <c r="T6" i="45" a="1"/>
  <c r="T6" i="45" s="1"/>
  <c r="U6" i="45" a="1"/>
  <c r="U6" i="45" s="1"/>
  <c r="B7" i="9"/>
  <c r="B6" i="45" s="1" a="1"/>
  <c r="B6" i="45" s="1"/>
  <c r="C6" i="9"/>
  <c r="C5" i="45" s="1" a="1"/>
  <c r="C5" i="45" s="1"/>
  <c r="D6" i="9"/>
  <c r="D5" i="45" s="1" a="1"/>
  <c r="D5" i="45" s="1"/>
  <c r="E6" i="9"/>
  <c r="E5" i="45" s="1" a="1"/>
  <c r="E5" i="45" s="1"/>
  <c r="F6" i="9"/>
  <c r="F5" i="45" s="1" a="1"/>
  <c r="F5" i="45" s="1"/>
  <c r="G5" i="45" a="1"/>
  <c r="G5" i="45" s="1"/>
  <c r="H5" i="45" a="1"/>
  <c r="H5" i="45" s="1"/>
  <c r="I5" i="45" a="1"/>
  <c r="I5" i="45" s="1"/>
  <c r="J5" i="45" a="1"/>
  <c r="J5" i="45" s="1"/>
  <c r="K5" i="45" a="1"/>
  <c r="K5" i="45" s="1"/>
  <c r="L5" i="45" a="1"/>
  <c r="L5" i="45" s="1"/>
  <c r="M5" i="45" a="1"/>
  <c r="M5" i="45" s="1"/>
  <c r="N5" i="45" a="1"/>
  <c r="N5" i="45" s="1"/>
  <c r="O5" i="45" a="1"/>
  <c r="O5" i="45" s="1"/>
  <c r="P5" i="45" a="1"/>
  <c r="P5" i="45" s="1"/>
  <c r="Q5" i="45" a="1"/>
  <c r="Q5" i="45" s="1"/>
  <c r="R5" i="45" a="1"/>
  <c r="R5" i="45" s="1"/>
  <c r="S5" i="45" a="1"/>
  <c r="S5" i="45" s="1"/>
  <c r="T5" i="45" a="1"/>
  <c r="T5" i="45" s="1"/>
  <c r="U5" i="45" a="1"/>
  <c r="U5" i="45" s="1"/>
  <c r="B6" i="9"/>
  <c r="D4" i="48"/>
  <c r="D24" i="48" s="1"/>
  <c r="E4" i="48"/>
  <c r="F4" i="48"/>
  <c r="G4" i="48"/>
  <c r="H4" i="48"/>
  <c r="I4" i="48"/>
  <c r="C4" i="48"/>
  <c r="AA5" i="45" l="1" a="1"/>
  <c r="AA5" i="45" s="1"/>
  <c r="AB6" i="27"/>
  <c r="AB6" i="28"/>
  <c r="Z12" i="45" a="1"/>
  <c r="Z12" i="45" s="1"/>
  <c r="Z39" i="45" s="1"/>
  <c r="B5" i="45" a="1"/>
  <c r="B5" i="45" s="1"/>
  <c r="B13" i="9"/>
  <c r="B12" i="45" s="1"/>
  <c r="B17" i="25"/>
  <c r="E7" i="25" l="1"/>
  <c r="B18" i="25"/>
  <c r="E9" i="25" s="1"/>
  <c r="AB5" i="45" a="1"/>
  <c r="AB5" i="45" s="1"/>
  <c r="AC6" i="27"/>
  <c r="AC6" i="28"/>
  <c r="AA12" i="45" a="1"/>
  <c r="AA12" i="45" s="1"/>
  <c r="AA39" i="45" s="1"/>
  <c r="AC5" i="45" l="1" a="1"/>
  <c r="AC5" i="45" s="1"/>
  <c r="AD6" i="28"/>
  <c r="AD6" i="27"/>
  <c r="AB12" i="45" a="1"/>
  <c r="AB12" i="45" s="1"/>
  <c r="AB39" i="45" s="1"/>
  <c r="AD5" i="45" l="1" a="1"/>
  <c r="AD5" i="45" s="1"/>
  <c r="AE5" i="45" a="1"/>
  <c r="AE5" i="45" s="1"/>
  <c r="AE6" i="28"/>
  <c r="AE6" i="27"/>
  <c r="AC12" i="45" a="1"/>
  <c r="AC12" i="45" s="1"/>
  <c r="AC39" i="45" s="1"/>
  <c r="A46" i="25"/>
  <c r="AG6" i="28" l="1"/>
  <c r="AG6" i="27"/>
  <c r="AE12" i="45" a="1"/>
  <c r="AE12" i="45" s="1"/>
  <c r="AE39" i="45" s="1"/>
  <c r="AF6" i="28"/>
  <c r="AF6" i="27"/>
  <c r="AD12" i="45" a="1"/>
  <c r="AD12" i="45" s="1"/>
  <c r="AD39" i="45" s="1"/>
  <c r="F21" i="9"/>
  <c r="C21" i="9"/>
  <c r="E21" i="9"/>
  <c r="B21" i="9"/>
  <c r="D21" i="9"/>
  <c r="D19" i="27" l="1"/>
  <c r="C3" i="48" l="1"/>
  <c r="B19" i="48" l="1"/>
  <c r="B5" i="48"/>
  <c r="B6" i="48" s="1"/>
  <c r="D25" i="48"/>
  <c r="H24" i="48" l="1"/>
  <c r="I24" i="48"/>
  <c r="C24" i="48"/>
  <c r="E24" i="48"/>
  <c r="G24" i="48"/>
  <c r="F24" i="48"/>
  <c r="C5" i="9"/>
  <c r="C4" i="45" s="1"/>
  <c r="E3" i="28" s="1"/>
  <c r="E2" i="27" s="1"/>
  <c r="D3" i="48"/>
  <c r="E25" i="48"/>
  <c r="K34" i="48" l="1"/>
  <c r="L34" i="48"/>
  <c r="M34" i="48"/>
  <c r="N34" i="48"/>
  <c r="J34" i="48"/>
  <c r="J32" i="48"/>
  <c r="L32" i="48"/>
  <c r="M32" i="48"/>
  <c r="K32" i="48"/>
  <c r="N32" i="48"/>
  <c r="M29" i="48"/>
  <c r="J29" i="48"/>
  <c r="K29" i="48"/>
  <c r="N29" i="48"/>
  <c r="L29" i="48"/>
  <c r="J33" i="48"/>
  <c r="K33" i="48"/>
  <c r="L33" i="48"/>
  <c r="M33" i="48"/>
  <c r="N33" i="48"/>
  <c r="L31" i="48"/>
  <c r="J31" i="48"/>
  <c r="M31" i="48"/>
  <c r="K31" i="48"/>
  <c r="N31" i="48"/>
  <c r="J30" i="48"/>
  <c r="K30" i="48"/>
  <c r="L30" i="48"/>
  <c r="N30" i="48"/>
  <c r="M30" i="48"/>
  <c r="E29" i="48"/>
  <c r="F29" i="48"/>
  <c r="G29" i="48"/>
  <c r="H29" i="48"/>
  <c r="I29" i="48"/>
  <c r="C25" i="48"/>
  <c r="G31" i="48"/>
  <c r="H31" i="48"/>
  <c r="I31" i="48"/>
  <c r="F30" i="48"/>
  <c r="H30" i="48"/>
  <c r="G30" i="48"/>
  <c r="I30" i="48"/>
  <c r="H32" i="48"/>
  <c r="I32" i="48"/>
  <c r="I33" i="48"/>
  <c r="F13" i="9"/>
  <c r="E13" i="9"/>
  <c r="D13" i="9"/>
  <c r="C13" i="9"/>
  <c r="C6" i="48"/>
  <c r="D5" i="9"/>
  <c r="D4" i="45" s="1"/>
  <c r="F3" i="28" s="1"/>
  <c r="F2" i="27" s="1"/>
  <c r="E3" i="48"/>
  <c r="H33" i="48"/>
  <c r="G32" i="48"/>
  <c r="D29" i="48"/>
  <c r="I34" i="48"/>
  <c r="F31" i="48"/>
  <c r="E30" i="48"/>
  <c r="J28" i="48" l="1"/>
  <c r="J59" i="48" s="1"/>
  <c r="L28" i="48"/>
  <c r="L59" i="48" s="1"/>
  <c r="N28" i="48"/>
  <c r="N59" i="48" s="1"/>
  <c r="M28" i="48"/>
  <c r="M59" i="48" s="1"/>
  <c r="K28" i="48"/>
  <c r="K59" i="48" s="1"/>
  <c r="C19" i="48"/>
  <c r="O6" i="27"/>
  <c r="O6" i="28"/>
  <c r="B39" i="45"/>
  <c r="D6" i="28"/>
  <c r="N6" i="28"/>
  <c r="N6" i="27"/>
  <c r="I6" i="27"/>
  <c r="I6" i="28"/>
  <c r="K6" i="27"/>
  <c r="K6" i="28"/>
  <c r="S6" i="27"/>
  <c r="S6" i="28"/>
  <c r="P6" i="27"/>
  <c r="P6" i="28"/>
  <c r="X6" i="27"/>
  <c r="X6" i="28"/>
  <c r="C54" i="9"/>
  <c r="E6" i="27"/>
  <c r="E6" i="28"/>
  <c r="L6" i="27"/>
  <c r="L6" i="28"/>
  <c r="D54" i="9"/>
  <c r="F6" i="27"/>
  <c r="F6" i="28"/>
  <c r="Q6" i="27"/>
  <c r="Q6" i="28"/>
  <c r="E54" i="9"/>
  <c r="G6" i="27"/>
  <c r="G6" i="28"/>
  <c r="R6" i="27"/>
  <c r="R6" i="28"/>
  <c r="W6" i="27"/>
  <c r="W6" i="28"/>
  <c r="V6" i="28"/>
  <c r="V6" i="27"/>
  <c r="J6" i="27"/>
  <c r="J6" i="28"/>
  <c r="U6" i="28"/>
  <c r="U6" i="27"/>
  <c r="M6" i="27"/>
  <c r="M6" i="28"/>
  <c r="T6" i="27"/>
  <c r="T6" i="28"/>
  <c r="F54" i="9"/>
  <c r="H6" i="27"/>
  <c r="H6" i="28"/>
  <c r="M12" i="45" a="1"/>
  <c r="M12" i="45" s="1"/>
  <c r="M39" i="45" s="1"/>
  <c r="G12" i="45" a="1"/>
  <c r="G12" i="45" s="1"/>
  <c r="G39" i="45" s="1"/>
  <c r="L12" i="45" a="1"/>
  <c r="L12" i="45" s="1"/>
  <c r="L39" i="45" s="1"/>
  <c r="I12" i="45" a="1"/>
  <c r="I12" i="45" s="1"/>
  <c r="I39" i="45" s="1"/>
  <c r="Q12" i="45" a="1"/>
  <c r="Q12" i="45" s="1"/>
  <c r="Q39" i="45" s="1"/>
  <c r="N12" i="45" a="1"/>
  <c r="N12" i="45" s="1"/>
  <c r="N39" i="45" s="1"/>
  <c r="P12" i="45" a="1"/>
  <c r="P12" i="45" s="1"/>
  <c r="P39" i="45" s="1"/>
  <c r="C12" i="45" a="1"/>
  <c r="C12" i="45" s="1"/>
  <c r="C39" i="45" s="1"/>
  <c r="J12" i="45" a="1"/>
  <c r="J12" i="45" s="1"/>
  <c r="J39" i="45" s="1"/>
  <c r="D12" i="45" a="1"/>
  <c r="D12" i="45" s="1"/>
  <c r="D39" i="45" s="1"/>
  <c r="O12" i="45" a="1"/>
  <c r="O12" i="45" s="1"/>
  <c r="O39" i="45" s="1"/>
  <c r="E12" i="45" a="1"/>
  <c r="E12" i="45" s="1"/>
  <c r="E39" i="45" s="1"/>
  <c r="U12" i="45" a="1"/>
  <c r="U12" i="45" s="1"/>
  <c r="U39" i="45" s="1"/>
  <c r="T12" i="45" a="1"/>
  <c r="T12" i="45" s="1"/>
  <c r="T39" i="45" s="1"/>
  <c r="H12" i="45" a="1"/>
  <c r="H12" i="45" s="1"/>
  <c r="H39" i="45" s="1"/>
  <c r="S12" i="45" a="1"/>
  <c r="S12" i="45" s="1"/>
  <c r="S39" i="45" s="1"/>
  <c r="K12" i="45" a="1"/>
  <c r="K12" i="45" s="1"/>
  <c r="K39" i="45" s="1"/>
  <c r="R12" i="45" a="1"/>
  <c r="R12" i="45" s="1"/>
  <c r="R39" i="45" s="1"/>
  <c r="F12" i="45" a="1"/>
  <c r="F12" i="45" s="1"/>
  <c r="F39" i="45" s="1"/>
  <c r="C10" i="48"/>
  <c r="C28" i="48"/>
  <c r="C59" i="48" s="1"/>
  <c r="G28" i="48"/>
  <c r="H28" i="48"/>
  <c r="F28" i="48"/>
  <c r="I28" i="48"/>
  <c r="D28" i="48"/>
  <c r="D59" i="48" s="1"/>
  <c r="E28" i="48"/>
  <c r="E59" i="48" s="1"/>
  <c r="D6" i="48"/>
  <c r="B54" i="9"/>
  <c r="D6" i="27"/>
  <c r="E5" i="9"/>
  <c r="E4" i="45" s="1"/>
  <c r="G3" i="28" s="1"/>
  <c r="G2" i="27" s="1"/>
  <c r="F3" i="48"/>
  <c r="F25" i="48"/>
  <c r="C63" i="48" l="1"/>
  <c r="C20" i="48"/>
  <c r="C11" i="48" s="1"/>
  <c r="D14" i="28"/>
  <c r="D15" i="27" s="1"/>
  <c r="C65" i="48"/>
  <c r="D19" i="48"/>
  <c r="B14" i="9"/>
  <c r="D10" i="48"/>
  <c r="E6" i="48"/>
  <c r="E19" i="48" s="1"/>
  <c r="C60" i="48"/>
  <c r="D60" i="48" s="1"/>
  <c r="E60" i="48" s="1"/>
  <c r="F5" i="9"/>
  <c r="F4" i="45" s="1"/>
  <c r="H3" i="28" s="1"/>
  <c r="H2" i="27" s="1"/>
  <c r="G3" i="48"/>
  <c r="F59" i="48"/>
  <c r="G25" i="48"/>
  <c r="F6" i="48" l="1"/>
  <c r="F19" i="48" s="1"/>
  <c r="D7" i="28"/>
  <c r="B13" i="45"/>
  <c r="C14" i="9"/>
  <c r="C55" i="9" s="1"/>
  <c r="D65" i="48"/>
  <c r="E14" i="28"/>
  <c r="E15" i="27" s="1"/>
  <c r="D63" i="48"/>
  <c r="D20" i="48"/>
  <c r="D11" i="48" s="1"/>
  <c r="E10" i="48"/>
  <c r="G5" i="9"/>
  <c r="G4" i="45" s="1"/>
  <c r="I3" i="28" s="1"/>
  <c r="I2" i="27" s="1"/>
  <c r="H3" i="48"/>
  <c r="G59" i="48"/>
  <c r="F60" i="48"/>
  <c r="H25" i="48"/>
  <c r="E7" i="28" l="1"/>
  <c r="E7" i="27"/>
  <c r="F14" i="28"/>
  <c r="F15" i="27" s="1"/>
  <c r="E63" i="48"/>
  <c r="E65" i="48"/>
  <c r="E20" i="48"/>
  <c r="D14" i="9"/>
  <c r="C13" i="45" a="1"/>
  <c r="C13" i="45" s="1"/>
  <c r="C40" i="45" s="1"/>
  <c r="F10" i="48"/>
  <c r="G6" i="48"/>
  <c r="G19" i="48" s="1"/>
  <c r="H5" i="9"/>
  <c r="H4" i="45" s="1"/>
  <c r="J3" i="28" s="1"/>
  <c r="J2" i="27" s="1"/>
  <c r="I3" i="48"/>
  <c r="J3" i="48" s="1"/>
  <c r="K3" i="48" s="1"/>
  <c r="L3" i="48" s="1"/>
  <c r="M3" i="48" s="1"/>
  <c r="N3" i="48" s="1"/>
  <c r="I59" i="48"/>
  <c r="H59" i="48"/>
  <c r="G60" i="48"/>
  <c r="I25" i="48"/>
  <c r="E14" i="9" l="1"/>
  <c r="G7" i="27" s="1"/>
  <c r="G14" i="28"/>
  <c r="G15" i="27" s="1"/>
  <c r="F63" i="48"/>
  <c r="F65" i="48"/>
  <c r="F20" i="48"/>
  <c r="F11" i="48" s="1"/>
  <c r="F7" i="28"/>
  <c r="F7" i="27"/>
  <c r="D55" i="9"/>
  <c r="E11" i="48"/>
  <c r="D13" i="45" a="1"/>
  <c r="D13" i="45" s="1"/>
  <c r="D40" i="45" s="1"/>
  <c r="G10" i="48"/>
  <c r="H6" i="48"/>
  <c r="H19" i="48" s="1"/>
  <c r="I5" i="9"/>
  <c r="I4" i="45" s="1"/>
  <c r="K3" i="28" s="1"/>
  <c r="K2" i="27" s="1"/>
  <c r="H60" i="48"/>
  <c r="I60" i="48" s="1"/>
  <c r="J60" i="48" s="1"/>
  <c r="K60" i="48" s="1"/>
  <c r="L60" i="48" s="1"/>
  <c r="M60" i="48" s="1"/>
  <c r="N60" i="48" s="1"/>
  <c r="G7" i="28" l="1"/>
  <c r="E55" i="9"/>
  <c r="H14" i="28"/>
  <c r="H15" i="27" s="1"/>
  <c r="G65" i="48"/>
  <c r="G63" i="48"/>
  <c r="F14" i="9"/>
  <c r="F55" i="9" s="1"/>
  <c r="G14" i="9"/>
  <c r="G20" i="48"/>
  <c r="G11" i="48" s="1"/>
  <c r="E13" i="45" a="1"/>
  <c r="E13" i="45" s="1"/>
  <c r="E40" i="45" s="1"/>
  <c r="H10" i="48"/>
  <c r="I6" i="48"/>
  <c r="I19" i="48" s="1"/>
  <c r="J5" i="9"/>
  <c r="J4" i="45" s="1"/>
  <c r="L3" i="28" s="1"/>
  <c r="L2" i="27" s="1"/>
  <c r="J6" i="48" l="1"/>
  <c r="J19" i="48" s="1"/>
  <c r="H7" i="27"/>
  <c r="G55" i="9"/>
  <c r="G44" i="9"/>
  <c r="H7" i="28"/>
  <c r="H65" i="48"/>
  <c r="G16" i="9" s="1"/>
  <c r="I14" i="28"/>
  <c r="I15" i="27" s="1"/>
  <c r="H63" i="48"/>
  <c r="H14" i="9"/>
  <c r="H20" i="48"/>
  <c r="F13" i="45" a="1"/>
  <c r="F13" i="45" s="1"/>
  <c r="F40" i="45" s="1"/>
  <c r="I10" i="48"/>
  <c r="K5" i="9"/>
  <c r="K4" i="45" s="1"/>
  <c r="M3" i="28" s="1"/>
  <c r="M2" i="27" s="1"/>
  <c r="J10" i="48" l="1"/>
  <c r="K6" i="48"/>
  <c r="K19" i="48" s="1"/>
  <c r="H55" i="9"/>
  <c r="H44" i="9"/>
  <c r="I14" i="9"/>
  <c r="J63" i="48"/>
  <c r="J65" i="48"/>
  <c r="I7" i="27"/>
  <c r="I7" i="28"/>
  <c r="I65" i="48"/>
  <c r="H16" i="9" s="1"/>
  <c r="J14" i="28"/>
  <c r="J15" i="27" s="1"/>
  <c r="I63" i="48"/>
  <c r="I20" i="48"/>
  <c r="H11" i="48"/>
  <c r="G13" i="45" a="1"/>
  <c r="G13" i="45" s="1"/>
  <c r="G40" i="45" s="1"/>
  <c r="L5" i="9"/>
  <c r="L6" i="48" l="1"/>
  <c r="L10" i="48" s="1"/>
  <c r="K10" i="48"/>
  <c r="I11" i="48"/>
  <c r="J20" i="48"/>
  <c r="J14" i="9"/>
  <c r="K63" i="48"/>
  <c r="K65" i="48"/>
  <c r="I55" i="9"/>
  <c r="I44" i="9"/>
  <c r="J67" i="48"/>
  <c r="I16" i="9"/>
  <c r="J7" i="27"/>
  <c r="J7" i="28"/>
  <c r="K7" i="27"/>
  <c r="K14" i="28"/>
  <c r="K15" i="27" s="1"/>
  <c r="H13" i="45" a="1"/>
  <c r="H13" i="45" s="1"/>
  <c r="H40" i="45" s="1"/>
  <c r="L4" i="45"/>
  <c r="N3" i="28" s="1"/>
  <c r="N2" i="27" s="1"/>
  <c r="M6" i="48" l="1"/>
  <c r="N6" i="48" s="1"/>
  <c r="K20" i="48"/>
  <c r="J11" i="48"/>
  <c r="K14" i="9"/>
  <c r="L63" i="48"/>
  <c r="L65" i="48"/>
  <c r="J16" i="9"/>
  <c r="K67" i="48"/>
  <c r="J18" i="9" s="1"/>
  <c r="J55" i="9"/>
  <c r="J44" i="9"/>
  <c r="I18" i="9"/>
  <c r="K7" i="28"/>
  <c r="L7" i="27"/>
  <c r="L14" i="28"/>
  <c r="L15" i="27" s="1"/>
  <c r="I13" i="45" a="1"/>
  <c r="I13" i="45" s="1"/>
  <c r="I40" i="45" s="1"/>
  <c r="M4" i="45"/>
  <c r="O3" i="28" s="1"/>
  <c r="O2" i="27" s="1"/>
  <c r="M10" i="48" l="1"/>
  <c r="N10" i="48"/>
  <c r="L67" i="48"/>
  <c r="K18" i="9" s="1"/>
  <c r="K16" i="9"/>
  <c r="K44" i="9"/>
  <c r="K55" i="9"/>
  <c r="L14" i="9"/>
  <c r="M65" i="48"/>
  <c r="M63" i="48"/>
  <c r="L20" i="48"/>
  <c r="K11" i="48"/>
  <c r="L7" i="28"/>
  <c r="M7" i="28"/>
  <c r="M14" i="28"/>
  <c r="M15" i="27" s="1"/>
  <c r="J13" i="45" a="1"/>
  <c r="J13" i="45" s="1"/>
  <c r="J40" i="45" s="1"/>
  <c r="N4" i="45"/>
  <c r="P3" i="28" s="1"/>
  <c r="P2" i="27" s="1"/>
  <c r="L55" i="9" l="1"/>
  <c r="L44" i="9"/>
  <c r="M20" i="48"/>
  <c r="L11" i="48"/>
  <c r="N63" i="48"/>
  <c r="N65" i="48"/>
  <c r="L16" i="9"/>
  <c r="M67" i="48"/>
  <c r="L18" i="9" s="1"/>
  <c r="M7" i="27"/>
  <c r="N7" i="28"/>
  <c r="N14" i="28"/>
  <c r="N15" i="27" s="1"/>
  <c r="K13" i="45" a="1"/>
  <c r="K13" i="45" s="1"/>
  <c r="K40" i="45" s="1"/>
  <c r="O4" i="45"/>
  <c r="Q3" i="28" s="1"/>
  <c r="Q2" i="27" s="1"/>
  <c r="N67" i="48" l="1"/>
  <c r="M11" i="48"/>
  <c r="N20" i="48"/>
  <c r="N7" i="27"/>
  <c r="O7" i="27"/>
  <c r="O14" i="28"/>
  <c r="O15" i="27" s="1"/>
  <c r="L13" i="45" a="1"/>
  <c r="L13" i="45" s="1"/>
  <c r="L40" i="45" s="1"/>
  <c r="P4" i="45"/>
  <c r="R3" i="28" s="1"/>
  <c r="R2" i="27" s="1"/>
  <c r="N11" i="48" l="1"/>
  <c r="O7" i="28"/>
  <c r="P7" i="27"/>
  <c r="P14" i="28"/>
  <c r="P15" i="27" s="1"/>
  <c r="M13" i="45" a="1"/>
  <c r="M13" i="45" s="1"/>
  <c r="M40" i="45" s="1"/>
  <c r="Q4" i="45"/>
  <c r="S3" i="28" s="1"/>
  <c r="S2" i="27" s="1"/>
  <c r="P7" i="28" l="1"/>
  <c r="Q7" i="28"/>
  <c r="Q14" i="28"/>
  <c r="Q15" i="27" s="1"/>
  <c r="N13" i="45" a="1"/>
  <c r="N13" i="45" s="1"/>
  <c r="N40" i="45" s="1"/>
  <c r="R4" i="45"/>
  <c r="T3" i="28" s="1"/>
  <c r="T2" i="27" s="1"/>
  <c r="Q7" i="27" l="1"/>
  <c r="R7" i="28"/>
  <c r="R14" i="28"/>
  <c r="R15" i="27" s="1"/>
  <c r="O13" i="45" a="1"/>
  <c r="O13" i="45" s="1"/>
  <c r="O40" i="45" s="1"/>
  <c r="S4" i="45"/>
  <c r="U3" i="28" s="1"/>
  <c r="U2" i="27" s="1"/>
  <c r="R7" i="27" l="1"/>
  <c r="S7" i="28"/>
  <c r="S14" i="28"/>
  <c r="S15" i="27" s="1"/>
  <c r="P13" i="45" a="1"/>
  <c r="P13" i="45" s="1"/>
  <c r="P40" i="45" s="1"/>
  <c r="T4" i="45"/>
  <c r="V3" i="28" s="1"/>
  <c r="V2" i="27" s="1"/>
  <c r="S7" i="27" l="1"/>
  <c r="T7" i="27"/>
  <c r="T14" i="28"/>
  <c r="T15" i="27" s="1"/>
  <c r="Q13" i="45" a="1"/>
  <c r="Q13" i="45" s="1"/>
  <c r="Q40" i="45" s="1"/>
  <c r="U4" i="45"/>
  <c r="W3" i="28" s="1"/>
  <c r="W2" i="27" s="1"/>
  <c r="V4" i="45" l="1"/>
  <c r="X3" i="28" s="1"/>
  <c r="X2" i="27" s="1"/>
  <c r="T7" i="28"/>
  <c r="U14" i="28"/>
  <c r="U15" i="27" s="1"/>
  <c r="U7" i="27"/>
  <c r="R13" i="45" a="1"/>
  <c r="R13" i="45" s="1"/>
  <c r="R40" i="45" s="1"/>
  <c r="W4" i="45" l="1"/>
  <c r="Y3" i="28" s="1"/>
  <c r="Y2" i="27" s="1"/>
  <c r="V7" i="28"/>
  <c r="V14" i="28"/>
  <c r="V15" i="27" s="1"/>
  <c r="U7" i="28"/>
  <c r="S13" i="45" a="1"/>
  <c r="S13" i="45" s="1"/>
  <c r="S40" i="45" s="1"/>
  <c r="X4" i="45" l="1"/>
  <c r="Z3" i="28" s="1"/>
  <c r="Z2" i="27" s="1"/>
  <c r="V7" i="27"/>
  <c r="W7" i="28"/>
  <c r="W14" i="28"/>
  <c r="W15" i="27" s="1"/>
  <c r="T13" i="45" a="1"/>
  <c r="T13" i="45" s="1"/>
  <c r="T40" i="45" s="1"/>
  <c r="Y4" i="45" l="1"/>
  <c r="AA3" i="28" s="1"/>
  <c r="AA2" i="27" s="1"/>
  <c r="Y14" i="28"/>
  <c r="Y15" i="27" s="1"/>
  <c r="V13" i="45" a="1"/>
  <c r="V13" i="45" s="1"/>
  <c r="V17" i="45" a="1"/>
  <c r="V17" i="45" s="1"/>
  <c r="V15" i="45" a="1"/>
  <c r="V15" i="45" s="1"/>
  <c r="W7" i="27"/>
  <c r="X14" i="28"/>
  <c r="X15" i="27" s="1"/>
  <c r="U13" i="45" a="1"/>
  <c r="U13" i="45" s="1"/>
  <c r="U40" i="45" s="1"/>
  <c r="Z4" i="45" l="1"/>
  <c r="AB3" i="28" s="1"/>
  <c r="AB2" i="27" s="1"/>
  <c r="W13" i="45" a="1"/>
  <c r="W13" i="45" s="1"/>
  <c r="Y7" i="27"/>
  <c r="Y7" i="28"/>
  <c r="Z14" i="28"/>
  <c r="Z15" i="27" s="1"/>
  <c r="W15" i="45" a="1"/>
  <c r="W15" i="45" s="1"/>
  <c r="W17" i="45" a="1"/>
  <c r="W17" i="45" s="1"/>
  <c r="V40" i="45"/>
  <c r="V29" i="45"/>
  <c r="X7" i="27"/>
  <c r="X7" i="28"/>
  <c r="AA4" i="45" l="1"/>
  <c r="AC3" i="28" s="1"/>
  <c r="AC2" i="27" s="1"/>
  <c r="X17" i="45" a="1"/>
  <c r="X17" i="45" s="1"/>
  <c r="X15" i="45" a="1"/>
  <c r="X15" i="45" s="1"/>
  <c r="W40" i="45"/>
  <c r="W29" i="45"/>
  <c r="Z7" i="28"/>
  <c r="Z7" i="27"/>
  <c r="X13" i="45" a="1"/>
  <c r="X13" i="45" s="1"/>
  <c r="AA14" i="28"/>
  <c r="AA15" i="27" s="1"/>
  <c r="C44" i="9"/>
  <c r="D67" i="48"/>
  <c r="C16" i="9"/>
  <c r="C15" i="45" s="1" a="1"/>
  <c r="C15" i="45" s="1"/>
  <c r="AB4" i="45" l="1"/>
  <c r="AD3" i="28" s="1"/>
  <c r="AD2" i="27" s="1"/>
  <c r="AA7" i="28"/>
  <c r="AA7" i="27"/>
  <c r="Y13" i="45" a="1"/>
  <c r="Y13" i="45" s="1"/>
  <c r="AB14" i="28"/>
  <c r="AB15" i="27" s="1"/>
  <c r="X40" i="45"/>
  <c r="X29" i="45"/>
  <c r="Y17" i="45" a="1"/>
  <c r="Y17" i="45" s="1"/>
  <c r="Y15" i="45" a="1"/>
  <c r="Y15" i="45" s="1"/>
  <c r="C29" i="45"/>
  <c r="C18" i="9"/>
  <c r="C17" i="45" s="1" a="1"/>
  <c r="C17" i="45" s="1"/>
  <c r="B16" i="9"/>
  <c r="B15" i="45" s="1" a="1"/>
  <c r="B15" i="45" s="1"/>
  <c r="AC4" i="45" l="1"/>
  <c r="AE3" i="28" s="1"/>
  <c r="AE2" i="27" s="1"/>
  <c r="Z17" i="45" a="1"/>
  <c r="Z17" i="45" s="1"/>
  <c r="Z15" i="45" a="1"/>
  <c r="Z15" i="45" s="1"/>
  <c r="AC14" i="28"/>
  <c r="AC15" i="27" s="1"/>
  <c r="AB7" i="28"/>
  <c r="Z13" i="45" a="1"/>
  <c r="Z13" i="45" s="1"/>
  <c r="AB7" i="27"/>
  <c r="Y29" i="45"/>
  <c r="Y40" i="45"/>
  <c r="C66" i="48"/>
  <c r="C13" i="48" s="1"/>
  <c r="C67" i="48"/>
  <c r="C64" i="48"/>
  <c r="D64" i="48" s="1"/>
  <c r="AD4" i="45" l="1"/>
  <c r="AF3" i="28" s="1"/>
  <c r="AF2" i="27" s="1"/>
  <c r="Z40" i="45"/>
  <c r="Z29" i="45"/>
  <c r="AC7" i="27"/>
  <c r="AC7" i="28"/>
  <c r="AA13" i="45" a="1"/>
  <c r="AA13" i="45" s="1"/>
  <c r="AD14" i="28"/>
  <c r="AD15" i="27" s="1"/>
  <c r="AA17" i="45" a="1"/>
  <c r="AA17" i="45" s="1"/>
  <c r="AA15" i="45" a="1"/>
  <c r="AA15" i="45" s="1"/>
  <c r="E64" i="48"/>
  <c r="B55" i="9"/>
  <c r="B44" i="9"/>
  <c r="F67" i="48"/>
  <c r="E18" i="9" s="1"/>
  <c r="E17" i="45" s="1" a="1"/>
  <c r="E17" i="45" s="1"/>
  <c r="E16" i="9"/>
  <c r="E15" i="45" s="1" a="1"/>
  <c r="E15" i="45" s="1"/>
  <c r="E67" i="48"/>
  <c r="D16" i="9"/>
  <c r="D15" i="45" s="1" a="1"/>
  <c r="D15" i="45" s="1"/>
  <c r="C68" i="48"/>
  <c r="D68" i="48" s="1"/>
  <c r="D12" i="48" s="1"/>
  <c r="D66" i="48"/>
  <c r="D13" i="48" s="1"/>
  <c r="B18" i="9"/>
  <c r="B17" i="45" s="1" a="1"/>
  <c r="B17" i="45" s="1"/>
  <c r="D7" i="27"/>
  <c r="AE4" i="45" l="1"/>
  <c r="AG3" i="28" s="1"/>
  <c r="AG2" i="27" s="1"/>
  <c r="AE14" i="28"/>
  <c r="AE15" i="27" s="1"/>
  <c r="AD7" i="27"/>
  <c r="AD7" i="28"/>
  <c r="AB13" i="45" a="1"/>
  <c r="AB13" i="45" s="1"/>
  <c r="AA29" i="45"/>
  <c r="AA40" i="45"/>
  <c r="AB15" i="45" a="1"/>
  <c r="AB15" i="45" s="1"/>
  <c r="AB17" i="45" a="1"/>
  <c r="AB17" i="45" s="1"/>
  <c r="F64" i="48"/>
  <c r="C12" i="48"/>
  <c r="C16" i="48" s="1"/>
  <c r="E44" i="9"/>
  <c r="B40" i="45"/>
  <c r="B29" i="45"/>
  <c r="D44" i="9"/>
  <c r="E68" i="48"/>
  <c r="F68" i="48" s="1"/>
  <c r="G67" i="48"/>
  <c r="F16" i="9"/>
  <c r="F15" i="45" s="1" a="1"/>
  <c r="F15" i="45" s="1"/>
  <c r="D18" i="9"/>
  <c r="D17" i="45" s="1" a="1"/>
  <c r="D17" i="45" s="1"/>
  <c r="E66" i="48"/>
  <c r="G15" i="45" a="1"/>
  <c r="G15" i="45" s="1"/>
  <c r="AF4" i="45" l="1"/>
  <c r="AH3" i="28" s="1"/>
  <c r="AH2" i="27" s="1"/>
  <c r="AC13" i="45" a="1"/>
  <c r="AC13" i="45" s="1"/>
  <c r="AE7" i="27"/>
  <c r="AE7" i="28"/>
  <c r="AC15" i="45" a="1"/>
  <c r="AC15" i="45" s="1"/>
  <c r="AC17" i="45" a="1"/>
  <c r="AC17" i="45" s="1"/>
  <c r="AB29" i="45"/>
  <c r="AB40" i="45"/>
  <c r="AF14" i="28"/>
  <c r="AF15" i="27" s="1"/>
  <c r="E12" i="48"/>
  <c r="G64" i="48"/>
  <c r="H64" i="48" s="1"/>
  <c r="F12" i="48"/>
  <c r="D16" i="48"/>
  <c r="B23" i="9"/>
  <c r="B24" i="9" s="1"/>
  <c r="D29" i="45"/>
  <c r="F44" i="9"/>
  <c r="E29" i="45"/>
  <c r="G68" i="48"/>
  <c r="F18" i="9"/>
  <c r="F17" i="45" s="1" a="1"/>
  <c r="F17" i="45" s="1"/>
  <c r="E13" i="48"/>
  <c r="F66" i="48"/>
  <c r="H67" i="48"/>
  <c r="G18" i="9" s="1"/>
  <c r="H15" i="45" a="1"/>
  <c r="H15" i="45" s="1"/>
  <c r="AG4" i="45" l="1"/>
  <c r="AI3" i="28" s="1"/>
  <c r="AI2" i="27" s="1"/>
  <c r="AG14" i="28"/>
  <c r="AG15" i="27" s="1"/>
  <c r="AC40" i="45"/>
  <c r="AC29" i="45"/>
  <c r="AF7" i="27"/>
  <c r="AD13" i="45" a="1"/>
  <c r="AD13" i="45" s="1"/>
  <c r="AF7" i="28"/>
  <c r="AD15" i="45" a="1"/>
  <c r="AD15" i="45" s="1"/>
  <c r="G12" i="48"/>
  <c r="C23" i="9"/>
  <c r="C50" i="9" s="1"/>
  <c r="B20" i="45" a="1"/>
  <c r="B20" i="45" s="1"/>
  <c r="D9" i="28"/>
  <c r="E16" i="48"/>
  <c r="B48" i="9"/>
  <c r="B50" i="9"/>
  <c r="F29" i="45"/>
  <c r="F13" i="48"/>
  <c r="F16" i="48" s="1"/>
  <c r="G66" i="48"/>
  <c r="H68" i="48"/>
  <c r="G17" i="45" a="1"/>
  <c r="G17" i="45" s="1"/>
  <c r="I67" i="48"/>
  <c r="I15" i="45" a="1"/>
  <c r="I15" i="45" s="1"/>
  <c r="B21" i="45" a="1"/>
  <c r="B21" i="45" s="1"/>
  <c r="AH4" i="45" l="1"/>
  <c r="AJ3" i="28" s="1"/>
  <c r="AJ2" i="27" s="1"/>
  <c r="AH14" i="28"/>
  <c r="AH15" i="27" s="1"/>
  <c r="AE15" i="45" a="1"/>
  <c r="AE15" i="45" s="1"/>
  <c r="AE17" i="45" a="1"/>
  <c r="AE17" i="45" s="1"/>
  <c r="AG7" i="27"/>
  <c r="AG7" i="28"/>
  <c r="AE13" i="45" a="1"/>
  <c r="AE13" i="45" s="1"/>
  <c r="H18" i="9"/>
  <c r="H17" i="45" s="1" a="1"/>
  <c r="H17" i="45" s="1"/>
  <c r="AD29" i="45"/>
  <c r="AD40" i="45"/>
  <c r="AD17" i="45" a="1"/>
  <c r="AD17" i="45" s="1"/>
  <c r="C20" i="45" a="1"/>
  <c r="C20" i="45" s="1"/>
  <c r="C33" i="45" s="1"/>
  <c r="E9" i="28"/>
  <c r="E11" i="28" s="1"/>
  <c r="E16" i="28" s="1"/>
  <c r="E20" i="28" s="1"/>
  <c r="C48" i="9"/>
  <c r="I64" i="48"/>
  <c r="J64" i="48" s="1"/>
  <c r="H12" i="48"/>
  <c r="D23" i="9"/>
  <c r="F9" i="28" s="1"/>
  <c r="D11" i="28"/>
  <c r="D10" i="27"/>
  <c r="E23" i="9"/>
  <c r="B35" i="45"/>
  <c r="B33" i="45"/>
  <c r="G29" i="45"/>
  <c r="B47" i="9"/>
  <c r="B49" i="9" s="1"/>
  <c r="B57" i="9"/>
  <c r="G13" i="48"/>
  <c r="G16" i="48" s="1"/>
  <c r="H66" i="48"/>
  <c r="I68" i="48"/>
  <c r="J68" i="48" s="1"/>
  <c r="K68" i="48" s="1"/>
  <c r="L68" i="48" s="1"/>
  <c r="M68" i="48" s="1"/>
  <c r="N68" i="48" s="1"/>
  <c r="J15" i="45" a="1"/>
  <c r="J15" i="45" s="1"/>
  <c r="C24" i="9"/>
  <c r="AI4" i="45" l="1"/>
  <c r="AK3" i="28" s="1"/>
  <c r="AK2" i="27" s="1"/>
  <c r="K64" i="48"/>
  <c r="J12" i="48"/>
  <c r="AI14" i="28"/>
  <c r="AI15" i="27" s="1"/>
  <c r="AE29" i="45"/>
  <c r="AE40" i="45"/>
  <c r="AF15" i="45" a="1"/>
  <c r="AF15" i="45" s="1"/>
  <c r="AF17" i="45" a="1"/>
  <c r="AF17" i="45" s="1"/>
  <c r="AH7" i="28"/>
  <c r="AH7" i="27"/>
  <c r="AF13" i="45" a="1"/>
  <c r="AF13" i="45" s="1"/>
  <c r="C35" i="45"/>
  <c r="E10" i="27"/>
  <c r="D50" i="9"/>
  <c r="D20" i="45" a="1"/>
  <c r="D20" i="45" s="1"/>
  <c r="D35" i="45" s="1"/>
  <c r="D48" i="9"/>
  <c r="I12" i="48"/>
  <c r="C15" i="9"/>
  <c r="E8" i="27"/>
  <c r="F11" i="28"/>
  <c r="F16" i="28" s="1"/>
  <c r="F20" i="28" s="1"/>
  <c r="F10" i="27"/>
  <c r="E20" i="45" a="1"/>
  <c r="E20" i="45" s="1"/>
  <c r="G9" i="28"/>
  <c r="C21" i="45" a="1"/>
  <c r="C21" i="45" s="1"/>
  <c r="C42" i="45" s="1"/>
  <c r="C57" i="9"/>
  <c r="F23" i="9"/>
  <c r="E50" i="9"/>
  <c r="E48" i="9"/>
  <c r="H29" i="45"/>
  <c r="B42" i="45"/>
  <c r="B32" i="45"/>
  <c r="C47" i="9"/>
  <c r="C49" i="9" s="1"/>
  <c r="C51" i="9" s="1"/>
  <c r="C52" i="9" s="1"/>
  <c r="H13" i="48"/>
  <c r="I66" i="48"/>
  <c r="J66" i="48" s="1"/>
  <c r="I17" i="45" a="1"/>
  <c r="I17" i="45" s="1"/>
  <c r="K15" i="45" a="1"/>
  <c r="K15" i="45" s="1"/>
  <c r="B51" i="9"/>
  <c r="B52" i="9" s="1"/>
  <c r="D24" i="9"/>
  <c r="H16" i="48" l="1"/>
  <c r="G23" i="9" s="1"/>
  <c r="AJ4" i="45"/>
  <c r="AL3" i="28" s="1"/>
  <c r="AL2" i="27" s="1"/>
  <c r="AF29" i="45"/>
  <c r="AF40" i="45"/>
  <c r="AJ14" i="28"/>
  <c r="AJ15" i="27" s="1"/>
  <c r="AG17" i="45" a="1"/>
  <c r="AG17" i="45" s="1"/>
  <c r="AG15" i="45" a="1"/>
  <c r="AG15" i="45" s="1"/>
  <c r="J13" i="48"/>
  <c r="J16" i="48" s="1"/>
  <c r="I23" i="9" s="1"/>
  <c r="K66" i="48"/>
  <c r="AI7" i="27"/>
  <c r="AI7" i="28"/>
  <c r="AG13" i="45" a="1"/>
  <c r="AG13" i="45" s="1"/>
  <c r="L64" i="48"/>
  <c r="K12" i="48"/>
  <c r="E12" i="27"/>
  <c r="E17" i="27" s="1"/>
  <c r="E21" i="27" s="1"/>
  <c r="E25" i="27" s="1"/>
  <c r="C17" i="9" s="1"/>
  <c r="D33" i="45"/>
  <c r="D15" i="9"/>
  <c r="F8" i="27"/>
  <c r="F12" i="27" s="1"/>
  <c r="F17" i="27" s="1"/>
  <c r="F21" i="27" s="1"/>
  <c r="F25" i="27" s="1"/>
  <c r="D17" i="9" s="1"/>
  <c r="G11" i="28"/>
  <c r="G16" i="28" s="1"/>
  <c r="G20" i="28" s="1"/>
  <c r="G10" i="27"/>
  <c r="F20" i="45" a="1"/>
  <c r="F20" i="45" s="1"/>
  <c r="H9" i="28"/>
  <c r="C32" i="45"/>
  <c r="D21" i="45" a="1"/>
  <c r="D21" i="45" s="1"/>
  <c r="D42" i="45" s="1"/>
  <c r="D57" i="9"/>
  <c r="F50" i="9"/>
  <c r="F48" i="9"/>
  <c r="E35" i="45"/>
  <c r="E33" i="45"/>
  <c r="I29" i="45"/>
  <c r="D47" i="9"/>
  <c r="D49" i="9" s="1"/>
  <c r="D51" i="9" s="1"/>
  <c r="D52" i="9" s="1"/>
  <c r="J17" i="45" a="1"/>
  <c r="J17" i="45" s="1"/>
  <c r="I13" i="48"/>
  <c r="I16" i="48" s="1"/>
  <c r="H23" i="9" s="1"/>
  <c r="L15" i="45" a="1"/>
  <c r="L15" i="45" s="1"/>
  <c r="E24" i="9"/>
  <c r="G48" i="9" l="1"/>
  <c r="G24" i="9"/>
  <c r="G47" i="9" s="1"/>
  <c r="G50" i="9"/>
  <c r="L12" i="48"/>
  <c r="M64" i="48"/>
  <c r="AK14" i="28"/>
  <c r="AK15" i="27" s="1"/>
  <c r="AG29" i="45"/>
  <c r="AG40" i="45"/>
  <c r="I50" i="9"/>
  <c r="I48" i="9"/>
  <c r="I24" i="9"/>
  <c r="AH15" i="45" a="1"/>
  <c r="AH15" i="45" s="1"/>
  <c r="H50" i="9"/>
  <c r="H48" i="9"/>
  <c r="H24" i="9"/>
  <c r="AJ7" i="27"/>
  <c r="AH13" i="45" a="1"/>
  <c r="AH13" i="45" s="1"/>
  <c r="AJ7" i="28"/>
  <c r="K13" i="48"/>
  <c r="K16" i="48" s="1"/>
  <c r="J23" i="9" s="1"/>
  <c r="L66" i="48"/>
  <c r="H11" i="28"/>
  <c r="H16" i="28" s="1"/>
  <c r="H20" i="28" s="1"/>
  <c r="H10" i="27"/>
  <c r="E15" i="9"/>
  <c r="G8" i="27"/>
  <c r="G12" i="27" s="1"/>
  <c r="G17" i="27" s="1"/>
  <c r="G21" i="27" s="1"/>
  <c r="G25" i="27" s="1"/>
  <c r="E17" i="9" s="1"/>
  <c r="G20" i="45" a="1"/>
  <c r="G20" i="45" s="1"/>
  <c r="I9" i="28"/>
  <c r="D32" i="45"/>
  <c r="E21" i="45" a="1"/>
  <c r="E21" i="45" s="1"/>
  <c r="E42" i="45" s="1"/>
  <c r="E57" i="9"/>
  <c r="F33" i="45"/>
  <c r="F35" i="45"/>
  <c r="J29" i="45"/>
  <c r="E47" i="9"/>
  <c r="E49" i="9" s="1"/>
  <c r="E51" i="9" s="1"/>
  <c r="E52" i="9" s="1"/>
  <c r="K17" i="45" a="1"/>
  <c r="K17" i="45" s="1"/>
  <c r="L17" i="45" a="1"/>
  <c r="L17" i="45" s="1"/>
  <c r="M15" i="45" a="1"/>
  <c r="M15" i="45" s="1"/>
  <c r="F24" i="9"/>
  <c r="G49" i="9" l="1"/>
  <c r="G51" i="9" s="1"/>
  <c r="G52" i="9" s="1"/>
  <c r="G57" i="9"/>
  <c r="AH17" i="45" a="1"/>
  <c r="AH17" i="45" s="1"/>
  <c r="J50" i="9"/>
  <c r="J48" i="9"/>
  <c r="J24" i="9"/>
  <c r="I57" i="9"/>
  <c r="I47" i="9"/>
  <c r="I49" i="9" s="1"/>
  <c r="I51" i="9" s="1"/>
  <c r="I52" i="9" s="1"/>
  <c r="AI15" i="45" a="1"/>
  <c r="AI15" i="45" s="1"/>
  <c r="AL14" i="28"/>
  <c r="AL15" i="27" s="1"/>
  <c r="AI13" i="45" a="1"/>
  <c r="AI13" i="45" s="1"/>
  <c r="AK7" i="27"/>
  <c r="AK7" i="28"/>
  <c r="AH40" i="45"/>
  <c r="AH29" i="45"/>
  <c r="M66" i="48"/>
  <c r="L13" i="48"/>
  <c r="L16" i="48" s="1"/>
  <c r="K23" i="9" s="1"/>
  <c r="M12" i="48"/>
  <c r="N64" i="48"/>
  <c r="H57" i="9"/>
  <c r="H47" i="9"/>
  <c r="H49" i="9" s="1"/>
  <c r="H51" i="9" s="1"/>
  <c r="H52" i="9" s="1"/>
  <c r="I11" i="28"/>
  <c r="I16" i="28" s="1"/>
  <c r="I20" i="28" s="1"/>
  <c r="G15" i="9" s="1"/>
  <c r="I10" i="27"/>
  <c r="F15" i="9"/>
  <c r="H8" i="27"/>
  <c r="H12" i="27" s="1"/>
  <c r="H17" i="27" s="1"/>
  <c r="H21" i="27" s="1"/>
  <c r="H25" i="27" s="1"/>
  <c r="F17" i="9" s="1"/>
  <c r="H20" i="45" a="1"/>
  <c r="H20" i="45" s="1"/>
  <c r="J9" i="28"/>
  <c r="E32" i="45"/>
  <c r="F21" i="45" a="1"/>
  <c r="F21" i="45" s="1"/>
  <c r="F42" i="45" s="1"/>
  <c r="F57" i="9"/>
  <c r="G33" i="45"/>
  <c r="G35" i="45"/>
  <c r="K29" i="45"/>
  <c r="F47" i="9"/>
  <c r="F49" i="9" s="1"/>
  <c r="F51" i="9" s="1"/>
  <c r="F52" i="9" s="1"/>
  <c r="N15" i="45" a="1"/>
  <c r="N15" i="45" s="1"/>
  <c r="AI17" i="45" l="1" a="1"/>
  <c r="AI17" i="45" s="1"/>
  <c r="K50" i="9"/>
  <c r="K48" i="9"/>
  <c r="K24" i="9"/>
  <c r="M13" i="48"/>
  <c r="M16" i="48" s="1"/>
  <c r="L23" i="9" s="1"/>
  <c r="N66" i="48"/>
  <c r="AI40" i="45"/>
  <c r="AI29" i="45"/>
  <c r="N12" i="48"/>
  <c r="AJ15" i="45" a="1"/>
  <c r="AJ15" i="45" s="1"/>
  <c r="AJ17" i="45" a="1"/>
  <c r="AJ17" i="45" s="1"/>
  <c r="J57" i="9"/>
  <c r="J47" i="9"/>
  <c r="J49" i="9" s="1"/>
  <c r="J51" i="9" s="1"/>
  <c r="J52" i="9" s="1"/>
  <c r="AL7" i="28"/>
  <c r="AL7" i="27"/>
  <c r="AJ13" i="45" a="1"/>
  <c r="AJ13" i="45" s="1"/>
  <c r="I8" i="27"/>
  <c r="I12" i="27" s="1"/>
  <c r="I17" i="27" s="1"/>
  <c r="I21" i="27" s="1"/>
  <c r="I25" i="27" s="1"/>
  <c r="G17" i="9" s="1"/>
  <c r="G19" i="9" s="1"/>
  <c r="G26" i="9" s="1"/>
  <c r="G28" i="9" s="1"/>
  <c r="G36" i="9" s="1"/>
  <c r="J11" i="28"/>
  <c r="J16" i="28" s="1"/>
  <c r="J20" i="28" s="1"/>
  <c r="H15" i="9" s="1"/>
  <c r="J10" i="27"/>
  <c r="I20" i="45" a="1"/>
  <c r="I20" i="45" s="1"/>
  <c r="K9" i="28"/>
  <c r="F32" i="45"/>
  <c r="G21" i="45" a="1"/>
  <c r="G21" i="45" s="1"/>
  <c r="G42" i="45" s="1"/>
  <c r="H33" i="45"/>
  <c r="H35" i="45"/>
  <c r="L29" i="45"/>
  <c r="M17" i="45" a="1"/>
  <c r="M17" i="45" s="1"/>
  <c r="L50" i="9" l="1"/>
  <c r="L48" i="9"/>
  <c r="L24" i="9"/>
  <c r="AJ40" i="45"/>
  <c r="AJ29" i="45"/>
  <c r="N13" i="48"/>
  <c r="N16" i="48" s="1"/>
  <c r="K47" i="9"/>
  <c r="K49" i="9" s="1"/>
  <c r="K51" i="9" s="1"/>
  <c r="K52" i="9" s="1"/>
  <c r="K57" i="9"/>
  <c r="G56" i="9"/>
  <c r="G58" i="9" s="1"/>
  <c r="G45" i="9"/>
  <c r="G46" i="9" s="1"/>
  <c r="G43" i="9"/>
  <c r="K11" i="28"/>
  <c r="K16" i="28" s="1"/>
  <c r="K20" i="28" s="1"/>
  <c r="I15" i="9" s="1"/>
  <c r="K10" i="27"/>
  <c r="J8" i="27"/>
  <c r="J12" i="27" s="1"/>
  <c r="J17" i="27" s="1"/>
  <c r="J21" i="27" s="1"/>
  <c r="J25" i="27" s="1"/>
  <c r="H17" i="9" s="1"/>
  <c r="H19" i="9" s="1"/>
  <c r="H26" i="9" s="1"/>
  <c r="H28" i="9" s="1"/>
  <c r="H36" i="9" s="1"/>
  <c r="J20" i="45" a="1"/>
  <c r="J20" i="45" s="1"/>
  <c r="L9" i="28"/>
  <c r="G32" i="45"/>
  <c r="H21" i="45" a="1"/>
  <c r="H21" i="45" s="1"/>
  <c r="H42" i="45" s="1"/>
  <c r="I35" i="45"/>
  <c r="I33" i="45"/>
  <c r="M29" i="45"/>
  <c r="O17" i="45" a="1"/>
  <c r="O17" i="45" s="1"/>
  <c r="O15" i="45" a="1"/>
  <c r="O15" i="45" s="1"/>
  <c r="N17" i="45" a="1"/>
  <c r="N17" i="45" s="1"/>
  <c r="P15" i="45" a="1"/>
  <c r="P15" i="45" s="1"/>
  <c r="L47" i="9" l="1"/>
  <c r="L49" i="9" s="1"/>
  <c r="L51" i="9" s="1"/>
  <c r="L52" i="9" s="1"/>
  <c r="L57" i="9"/>
  <c r="H56" i="9"/>
  <c r="H58" i="9" s="1"/>
  <c r="H45" i="9"/>
  <c r="H46" i="9" s="1"/>
  <c r="H43" i="9"/>
  <c r="L11" i="28"/>
  <c r="L16" i="28" s="1"/>
  <c r="L20" i="28" s="1"/>
  <c r="J15" i="9" s="1"/>
  <c r="L10" i="27"/>
  <c r="K8" i="27"/>
  <c r="K12" i="27" s="1"/>
  <c r="K17" i="27" s="1"/>
  <c r="K21" i="27" s="1"/>
  <c r="K25" i="27" s="1"/>
  <c r="I17" i="9" s="1"/>
  <c r="I19" i="9" s="1"/>
  <c r="I26" i="9" s="1"/>
  <c r="I28" i="9" s="1"/>
  <c r="I36" i="9" s="1"/>
  <c r="K20" i="45" a="1"/>
  <c r="K20" i="45" s="1"/>
  <c r="M9" i="28"/>
  <c r="H32" i="45"/>
  <c r="I21" i="45" a="1"/>
  <c r="I21" i="45" s="1"/>
  <c r="I42" i="45" s="1"/>
  <c r="J35" i="45"/>
  <c r="J33" i="45"/>
  <c r="N29" i="45"/>
  <c r="Q15" i="45" a="1"/>
  <c r="Q15" i="45" s="1"/>
  <c r="I56" i="9" l="1"/>
  <c r="I58" i="9" s="1"/>
  <c r="I45" i="9"/>
  <c r="I46" i="9" s="1"/>
  <c r="I43" i="9"/>
  <c r="M11" i="28"/>
  <c r="M16" i="28" s="1"/>
  <c r="M20" i="28" s="1"/>
  <c r="K15" i="9" s="1"/>
  <c r="M10" i="27"/>
  <c r="L8" i="27"/>
  <c r="L12" i="27" s="1"/>
  <c r="L17" i="27" s="1"/>
  <c r="L21" i="27" s="1"/>
  <c r="L25" i="27" s="1"/>
  <c r="J17" i="9" s="1"/>
  <c r="J19" i="9" s="1"/>
  <c r="J26" i="9" s="1"/>
  <c r="J28" i="9" s="1"/>
  <c r="J36" i="9" s="1"/>
  <c r="L20" i="45" a="1"/>
  <c r="L20" i="45" s="1"/>
  <c r="N9" i="28"/>
  <c r="I32" i="45"/>
  <c r="J21" i="45" a="1"/>
  <c r="J21" i="45" s="1"/>
  <c r="J42" i="45" s="1"/>
  <c r="K35" i="45"/>
  <c r="K33" i="45"/>
  <c r="O29" i="45"/>
  <c r="P17" i="45" a="1"/>
  <c r="P17" i="45" s="1"/>
  <c r="Q17" i="45" a="1"/>
  <c r="Q17" i="45" s="1"/>
  <c r="R15" i="45" a="1"/>
  <c r="R15" i="45" s="1"/>
  <c r="J43" i="9" l="1"/>
  <c r="J56" i="9"/>
  <c r="J58" i="9" s="1"/>
  <c r="J45" i="9"/>
  <c r="J46" i="9" s="1"/>
  <c r="M8" i="27"/>
  <c r="M12" i="27" s="1"/>
  <c r="M17" i="27" s="1"/>
  <c r="M21" i="27" s="1"/>
  <c r="M25" i="27" s="1"/>
  <c r="K17" i="9" s="1"/>
  <c r="K19" i="9" s="1"/>
  <c r="K26" i="9" s="1"/>
  <c r="K28" i="9" s="1"/>
  <c r="K36" i="9" s="1"/>
  <c r="N11" i="28"/>
  <c r="N16" i="28" s="1"/>
  <c r="N20" i="28" s="1"/>
  <c r="L15" i="9" s="1"/>
  <c r="N10" i="27"/>
  <c r="M20" i="45" a="1"/>
  <c r="M20" i="45" s="1"/>
  <c r="O9" i="28"/>
  <c r="J32" i="45"/>
  <c r="K21" i="45" a="1"/>
  <c r="K21" i="45" s="1"/>
  <c r="K42" i="45" s="1"/>
  <c r="L35" i="45"/>
  <c r="L33" i="45"/>
  <c r="P29" i="45"/>
  <c r="S15" i="45" a="1"/>
  <c r="S15" i="45" s="1"/>
  <c r="J16" i="45" a="1"/>
  <c r="J16" i="45" s="1"/>
  <c r="J14" i="45" a="1"/>
  <c r="J14" i="45" s="1"/>
  <c r="K43" i="9" l="1"/>
  <c r="K56" i="9"/>
  <c r="K58" i="9" s="1"/>
  <c r="K45" i="9"/>
  <c r="K46" i="9" s="1"/>
  <c r="O11" i="28"/>
  <c r="O16" i="28" s="1"/>
  <c r="O20" i="28" s="1"/>
  <c r="O10" i="27"/>
  <c r="N8" i="27"/>
  <c r="N12" i="27" s="1"/>
  <c r="N17" i="27" s="1"/>
  <c r="N21" i="27" s="1"/>
  <c r="N25" i="27" s="1"/>
  <c r="L17" i="9" s="1"/>
  <c r="L19" i="9" s="1"/>
  <c r="L26" i="9" s="1"/>
  <c r="L28" i="9" s="1"/>
  <c r="L36" i="9" s="1"/>
  <c r="N20" i="45" a="1"/>
  <c r="N20" i="45" s="1"/>
  <c r="P9" i="28"/>
  <c r="K32" i="45"/>
  <c r="L21" i="45" a="1"/>
  <c r="L21" i="45" s="1"/>
  <c r="L42" i="45" s="1"/>
  <c r="J18" i="45" a="1"/>
  <c r="J18" i="45" s="1"/>
  <c r="J23" i="45" s="1"/>
  <c r="J25" i="45" s="1"/>
  <c r="J41" i="45" s="1"/>
  <c r="J43" i="45" s="1"/>
  <c r="M35" i="45"/>
  <c r="M33" i="45"/>
  <c r="Q29" i="45"/>
  <c r="R17" i="45" a="1"/>
  <c r="R17" i="45" s="1"/>
  <c r="S17" i="45" a="1"/>
  <c r="S17" i="45" s="1"/>
  <c r="T15" i="45" a="1"/>
  <c r="T15" i="45" s="1"/>
  <c r="K14" i="45" a="1"/>
  <c r="K14" i="45" s="1"/>
  <c r="K16" i="45" a="1"/>
  <c r="K16" i="45" s="1"/>
  <c r="L45" i="9" l="1"/>
  <c r="L46" i="9" s="1"/>
  <c r="L43" i="9"/>
  <c r="L56" i="9"/>
  <c r="L58" i="9" s="1"/>
  <c r="P11" i="28"/>
  <c r="P16" i="28" s="1"/>
  <c r="P20" i="28" s="1"/>
  <c r="P10" i="27"/>
  <c r="L32" i="45"/>
  <c r="O8" i="27"/>
  <c r="O12" i="27" s="1"/>
  <c r="O17" i="27" s="1"/>
  <c r="O21" i="27" s="1"/>
  <c r="O25" i="27" s="1"/>
  <c r="O20" i="45" a="1"/>
  <c r="O20" i="45" s="1"/>
  <c r="Q9" i="28"/>
  <c r="M21" i="45" a="1"/>
  <c r="M21" i="45" s="1"/>
  <c r="M42" i="45" s="1"/>
  <c r="K18" i="45" a="1"/>
  <c r="K18" i="45" s="1"/>
  <c r="K23" i="45" s="1"/>
  <c r="K25" i="45" s="1"/>
  <c r="K41" i="45" s="1"/>
  <c r="K43" i="45" s="1"/>
  <c r="N33" i="45"/>
  <c r="N35" i="45"/>
  <c r="R29" i="45"/>
  <c r="T17" i="45" a="1"/>
  <c r="T17" i="45" s="1"/>
  <c r="U15" i="45" a="1"/>
  <c r="U15" i="45" s="1"/>
  <c r="L16" i="45" a="1"/>
  <c r="L16" i="45" s="1"/>
  <c r="L14" i="45" a="1"/>
  <c r="L14" i="45" s="1"/>
  <c r="M32" i="45" l="1"/>
  <c r="Q11" i="28"/>
  <c r="Q16" i="28" s="1"/>
  <c r="Q20" i="28" s="1"/>
  <c r="Q10" i="27"/>
  <c r="P8" i="27"/>
  <c r="P12" i="27" s="1"/>
  <c r="P17" i="27" s="1"/>
  <c r="P21" i="27" s="1"/>
  <c r="P25" i="27" s="1"/>
  <c r="P20" i="45" a="1"/>
  <c r="P20" i="45" s="1"/>
  <c r="R9" i="28"/>
  <c r="N21" i="45" a="1"/>
  <c r="N21" i="45" s="1"/>
  <c r="N42" i="45" s="1"/>
  <c r="L18" i="45" a="1"/>
  <c r="L18" i="45" s="1"/>
  <c r="L23" i="45" s="1"/>
  <c r="L25" i="45" s="1"/>
  <c r="L41" i="45" s="1"/>
  <c r="L43" i="45" s="1"/>
  <c r="O33" i="45"/>
  <c r="O35" i="45"/>
  <c r="S29" i="45"/>
  <c r="K30" i="45"/>
  <c r="M16" i="45" a="1"/>
  <c r="M16" i="45" s="1"/>
  <c r="M14" i="45" a="1"/>
  <c r="M14" i="45" s="1"/>
  <c r="R11" i="28" l="1"/>
  <c r="R16" i="28" s="1"/>
  <c r="R20" i="28" s="1"/>
  <c r="R10" i="27"/>
  <c r="Q8" i="27"/>
  <c r="Q12" i="27" s="1"/>
  <c r="Q17" i="27" s="1"/>
  <c r="Q21" i="27" s="1"/>
  <c r="Q25" i="27" s="1"/>
  <c r="Q20" i="45" a="1"/>
  <c r="Q20" i="45" s="1"/>
  <c r="S9" i="28"/>
  <c r="N32" i="45"/>
  <c r="O21" i="45" a="1"/>
  <c r="O21" i="45" s="1"/>
  <c r="O42" i="45" s="1"/>
  <c r="M18" i="45" a="1"/>
  <c r="M18" i="45" s="1"/>
  <c r="M23" i="45" s="1"/>
  <c r="M25" i="45" s="1"/>
  <c r="M41" i="45" s="1"/>
  <c r="M43" i="45" s="1"/>
  <c r="P35" i="45"/>
  <c r="P33" i="45"/>
  <c r="T29" i="45"/>
  <c r="K28" i="45"/>
  <c r="U17" i="45" a="1"/>
  <c r="U17" i="45" s="1"/>
  <c r="N16" i="45" a="1"/>
  <c r="N16" i="45" s="1"/>
  <c r="N14" i="45" a="1"/>
  <c r="N14" i="45" s="1"/>
  <c r="M22" i="28" l="1"/>
  <c r="M24" i="28" s="1"/>
  <c r="M27" i="27"/>
  <c r="M29" i="27" s="1"/>
  <c r="M31" i="27" s="1"/>
  <c r="S11" i="28"/>
  <c r="S16" i="28" s="1"/>
  <c r="S20" i="28" s="1"/>
  <c r="S10" i="27"/>
  <c r="R8" i="27"/>
  <c r="R12" i="27" s="1"/>
  <c r="R17" i="27" s="1"/>
  <c r="R21" i="27" s="1"/>
  <c r="R25" i="27" s="1"/>
  <c r="R20" i="45" a="1"/>
  <c r="R20" i="45" s="1"/>
  <c r="T9" i="28"/>
  <c r="O32" i="45"/>
  <c r="P21" i="45" a="1"/>
  <c r="P21" i="45" s="1"/>
  <c r="P42" i="45" s="1"/>
  <c r="N18" i="45" a="1"/>
  <c r="N18" i="45" s="1"/>
  <c r="N23" i="45" s="1"/>
  <c r="N25" i="45" s="1"/>
  <c r="N41" i="45" s="1"/>
  <c r="N43" i="45" s="1"/>
  <c r="Q35" i="45"/>
  <c r="Q33" i="45"/>
  <c r="U29" i="45"/>
  <c r="M30" i="45"/>
  <c r="O16" i="45" a="1"/>
  <c r="O16" i="45" s="1"/>
  <c r="O14" i="45" a="1"/>
  <c r="O14" i="45" s="1"/>
  <c r="O22" i="28" l="1"/>
  <c r="O26" i="28" s="1"/>
  <c r="O28" i="28" s="1"/>
  <c r="O27" i="27"/>
  <c r="O29" i="27" s="1"/>
  <c r="O31" i="27" s="1"/>
  <c r="M26" i="28"/>
  <c r="M28" i="28" s="1"/>
  <c r="T11" i="28"/>
  <c r="T16" i="28" s="1"/>
  <c r="T20" i="28" s="1"/>
  <c r="T10" i="27"/>
  <c r="S8" i="27"/>
  <c r="S12" i="27" s="1"/>
  <c r="S17" i="27" s="1"/>
  <c r="S21" i="27" s="1"/>
  <c r="S25" i="27" s="1"/>
  <c r="P32" i="45"/>
  <c r="S20" i="45" a="1"/>
  <c r="S20" i="45" s="1"/>
  <c r="U9" i="28"/>
  <c r="Q21" i="45" a="1"/>
  <c r="Q21" i="45" s="1"/>
  <c r="Q42" i="45" s="1"/>
  <c r="O18" i="45" a="1"/>
  <c r="O18" i="45" s="1"/>
  <c r="O23" i="45" s="1"/>
  <c r="O25" i="45" s="1"/>
  <c r="O41" i="45" s="1"/>
  <c r="O43" i="45" s="1"/>
  <c r="R35" i="45"/>
  <c r="R33" i="45"/>
  <c r="M28" i="45"/>
  <c r="K34" i="45"/>
  <c r="N30" i="45"/>
  <c r="P14" i="45" a="1"/>
  <c r="P14" i="45" s="1"/>
  <c r="P16" i="45" a="1"/>
  <c r="P16" i="45" s="1"/>
  <c r="V20" i="45" l="1" a="1"/>
  <c r="V20" i="45" s="1"/>
  <c r="P22" i="28"/>
  <c r="P24" i="28" s="1"/>
  <c r="P27" i="27"/>
  <c r="P29" i="27" s="1"/>
  <c r="P31" i="27" s="1"/>
  <c r="O24" i="28"/>
  <c r="U11" i="28"/>
  <c r="U16" i="28" s="1"/>
  <c r="U20" i="28" s="1"/>
  <c r="U10" i="27"/>
  <c r="Q32" i="45"/>
  <c r="T8" i="27"/>
  <c r="T12" i="27" s="1"/>
  <c r="T17" i="27" s="1"/>
  <c r="T21" i="27" s="1"/>
  <c r="T25" i="27" s="1"/>
  <c r="T20" i="45" a="1"/>
  <c r="T20" i="45" s="1"/>
  <c r="V9" i="28"/>
  <c r="R21" i="45" a="1"/>
  <c r="R21" i="45" s="1"/>
  <c r="R42" i="45" s="1"/>
  <c r="P18" i="45" a="1"/>
  <c r="P18" i="45" s="1"/>
  <c r="P23" i="45" s="1"/>
  <c r="P25" i="45" s="1"/>
  <c r="P41" i="45" s="1"/>
  <c r="P43" i="45" s="1"/>
  <c r="S35" i="45"/>
  <c r="S33" i="45"/>
  <c r="N28" i="45"/>
  <c r="K36" i="45"/>
  <c r="K37" i="45" s="1"/>
  <c r="Q14" i="45" a="1"/>
  <c r="Q14" i="45" s="1"/>
  <c r="Q16" i="45" a="1"/>
  <c r="Q16" i="45" s="1"/>
  <c r="W20" i="45" l="1" a="1"/>
  <c r="W20" i="45" s="1"/>
  <c r="Y9" i="28"/>
  <c r="V21" i="45" a="1"/>
  <c r="V21" i="45" s="1"/>
  <c r="V35" i="45"/>
  <c r="V33" i="45"/>
  <c r="P26" i="28"/>
  <c r="P28" i="28" s="1"/>
  <c r="V11" i="28"/>
  <c r="V16" i="28" s="1"/>
  <c r="V20" i="28" s="1"/>
  <c r="V10" i="27"/>
  <c r="U8" i="27"/>
  <c r="U12" i="27" s="1"/>
  <c r="U17" i="27" s="1"/>
  <c r="U21" i="27" s="1"/>
  <c r="U25" i="27" s="1"/>
  <c r="U20" i="45" a="1"/>
  <c r="U20" i="45" s="1"/>
  <c r="W9" i="28"/>
  <c r="R32" i="45"/>
  <c r="S21" i="45" a="1"/>
  <c r="S21" i="45" s="1"/>
  <c r="S42" i="45" s="1"/>
  <c r="Q18" i="45" a="1"/>
  <c r="Q18" i="45" s="1"/>
  <c r="Q23" i="45" s="1"/>
  <c r="Q25" i="45" s="1"/>
  <c r="Q41" i="45" s="1"/>
  <c r="Q43" i="45" s="1"/>
  <c r="T35" i="45"/>
  <c r="T33" i="45"/>
  <c r="M34" i="45"/>
  <c r="R14" i="45" a="1"/>
  <c r="R14" i="45" s="1"/>
  <c r="R16" i="45" a="1"/>
  <c r="R16" i="45" s="1"/>
  <c r="X20" i="45" l="1" a="1"/>
  <c r="X20" i="45" s="1"/>
  <c r="Z9" i="28"/>
  <c r="W21" i="45" a="1"/>
  <c r="W21" i="45" s="1"/>
  <c r="Y10" i="27"/>
  <c r="Y11" i="28"/>
  <c r="Y16" i="28" s="1"/>
  <c r="W35" i="45"/>
  <c r="W33" i="45"/>
  <c r="V42" i="45"/>
  <c r="V32" i="45"/>
  <c r="V34" i="45" s="1"/>
  <c r="V36" i="45" s="1"/>
  <c r="V37" i="45" s="1"/>
  <c r="S32" i="45"/>
  <c r="V8" i="27"/>
  <c r="V12" i="27" s="1"/>
  <c r="V17" i="27" s="1"/>
  <c r="V21" i="27" s="1"/>
  <c r="V25" i="27" s="1"/>
  <c r="W11" i="28"/>
  <c r="W16" i="28" s="1"/>
  <c r="W20" i="28" s="1"/>
  <c r="W10" i="27"/>
  <c r="X9" i="28"/>
  <c r="T21" i="45" a="1"/>
  <c r="T21" i="45" s="1"/>
  <c r="T42" i="45" s="1"/>
  <c r="R18" i="45" a="1"/>
  <c r="R18" i="45" s="1"/>
  <c r="R23" i="45" s="1"/>
  <c r="R25" i="45" s="1"/>
  <c r="R41" i="45" s="1"/>
  <c r="R43" i="45" s="1"/>
  <c r="U35" i="45"/>
  <c r="U33" i="45"/>
  <c r="Q30" i="45"/>
  <c r="N34" i="45"/>
  <c r="M36" i="45"/>
  <c r="M37" i="45" s="1"/>
  <c r="S14" i="45" a="1"/>
  <c r="S14" i="45" s="1"/>
  <c r="S16" i="45" a="1"/>
  <c r="S16" i="45" s="1"/>
  <c r="Y20" i="28" l="1"/>
  <c r="W32" i="45"/>
  <c r="W34" i="45" s="1"/>
  <c r="W36" i="45" s="1"/>
  <c r="W37" i="45" s="1"/>
  <c r="W42" i="45"/>
  <c r="X21" i="45" a="1"/>
  <c r="X21" i="45" s="1"/>
  <c r="Y20" i="45" a="1"/>
  <c r="Y20" i="45" s="1"/>
  <c r="AA9" i="28"/>
  <c r="Z10" i="27"/>
  <c r="Z11" i="28"/>
  <c r="Z16" i="28" s="1"/>
  <c r="X35" i="45"/>
  <c r="X33" i="45"/>
  <c r="X11" i="28"/>
  <c r="X16" i="28" s="1"/>
  <c r="X20" i="28" s="1"/>
  <c r="X10" i="27"/>
  <c r="W8" i="27"/>
  <c r="W12" i="27" s="1"/>
  <c r="W17" i="27" s="1"/>
  <c r="W21" i="27" s="1"/>
  <c r="W25" i="27" s="1"/>
  <c r="T32" i="45"/>
  <c r="U21" i="45" a="1"/>
  <c r="U21" i="45" s="1"/>
  <c r="U42" i="45" s="1"/>
  <c r="S18" i="45" a="1"/>
  <c r="S18" i="45" s="1"/>
  <c r="S23" i="45" s="1"/>
  <c r="S25" i="45" s="1"/>
  <c r="S41" i="45" s="1"/>
  <c r="S43" i="45" s="1"/>
  <c r="Q28" i="45"/>
  <c r="N36" i="45"/>
  <c r="N37" i="45" s="1"/>
  <c r="T14" i="45" a="1"/>
  <c r="T14" i="45" s="1"/>
  <c r="T16" i="45" a="1"/>
  <c r="T16" i="45" s="1"/>
  <c r="Z20" i="45" l="1" a="1"/>
  <c r="Z20" i="45" s="1"/>
  <c r="AB9" i="28"/>
  <c r="Y35" i="45"/>
  <c r="Y33" i="45"/>
  <c r="Z20" i="28"/>
  <c r="Y21" i="45" a="1"/>
  <c r="Y21" i="45" s="1"/>
  <c r="AA10" i="27"/>
  <c r="AA11" i="28"/>
  <c r="AA16" i="28" s="1"/>
  <c r="X32" i="45"/>
  <c r="X34" i="45" s="1"/>
  <c r="X36" i="45" s="1"/>
  <c r="X37" i="45" s="1"/>
  <c r="X42" i="45"/>
  <c r="Y8" i="27"/>
  <c r="Y12" i="27" s="1"/>
  <c r="Y17" i="27" s="1"/>
  <c r="Y21" i="27" s="1"/>
  <c r="Y25" i="27" s="1"/>
  <c r="W16" i="45" s="1" a="1"/>
  <c r="W16" i="45" s="1"/>
  <c r="V14" i="45" a="1"/>
  <c r="V14" i="45" s="1"/>
  <c r="S22" i="28"/>
  <c r="S24" i="28" s="1"/>
  <c r="S27" i="27"/>
  <c r="S29" i="27" s="1"/>
  <c r="S31" i="27" s="1"/>
  <c r="U32" i="45"/>
  <c r="X8" i="27"/>
  <c r="X12" i="27" s="1"/>
  <c r="X17" i="27" s="1"/>
  <c r="X21" i="27" s="1"/>
  <c r="X25" i="27" s="1"/>
  <c r="V16" i="45" s="1" a="1"/>
  <c r="V16" i="45" s="1"/>
  <c r="T18" i="45" a="1"/>
  <c r="T18" i="45" s="1"/>
  <c r="T23" i="45" s="1"/>
  <c r="T25" i="45" s="1"/>
  <c r="T41" i="45" s="1"/>
  <c r="T43" i="45" s="1"/>
  <c r="U14" i="45" a="1"/>
  <c r="U14" i="45" s="1"/>
  <c r="U16" i="45" a="1"/>
  <c r="U16" i="45" s="1"/>
  <c r="W14" i="45" l="1" a="1"/>
  <c r="W14" i="45" s="1"/>
  <c r="Y42" i="45"/>
  <c r="Y32" i="45"/>
  <c r="Y34" i="45" s="1"/>
  <c r="Y36" i="45" s="1"/>
  <c r="Y37" i="45" s="1"/>
  <c r="Z8" i="27"/>
  <c r="Z12" i="27" s="1"/>
  <c r="Z17" i="27" s="1"/>
  <c r="Z21" i="27" s="1"/>
  <c r="Z25" i="27" s="1"/>
  <c r="X16" i="45" s="1" a="1"/>
  <c r="X16" i="45" s="1"/>
  <c r="Z21" i="45" a="1"/>
  <c r="Z21" i="45" s="1"/>
  <c r="AA20" i="28"/>
  <c r="AA20" i="45" a="1"/>
  <c r="AA20" i="45" s="1"/>
  <c r="AC9" i="28"/>
  <c r="AB10" i="27"/>
  <c r="AB11" i="28"/>
  <c r="AB16" i="28" s="1"/>
  <c r="Z35" i="45"/>
  <c r="Z33" i="45"/>
  <c r="S26" i="28"/>
  <c r="S28" i="28" s="1"/>
  <c r="U18" i="45" a="1"/>
  <c r="U18" i="45" s="1"/>
  <c r="U23" i="45" s="1"/>
  <c r="U25" i="45" s="1"/>
  <c r="U41" i="45" s="1"/>
  <c r="U43" i="45" s="1"/>
  <c r="Q34" i="45"/>
  <c r="AB20" i="45" l="1" a="1"/>
  <c r="AB20" i="45" s="1"/>
  <c r="AD9" i="28"/>
  <c r="X14" i="45" a="1"/>
  <c r="X14" i="45" s="1"/>
  <c r="AA35" i="45"/>
  <c r="AA33" i="45"/>
  <c r="V18" i="45" a="1"/>
  <c r="V18" i="45" s="1"/>
  <c r="V23" i="45" s="1"/>
  <c r="V25" i="45" s="1"/>
  <c r="V28" i="45" s="1"/>
  <c r="AA8" i="27"/>
  <c r="AA12" i="27" s="1"/>
  <c r="AA17" i="27" s="1"/>
  <c r="AA21" i="27" s="1"/>
  <c r="AA25" i="27" s="1"/>
  <c r="Y16" i="45" s="1" a="1"/>
  <c r="Y16" i="45" s="1"/>
  <c r="AA21" i="45" a="1"/>
  <c r="AA21" i="45" s="1"/>
  <c r="Z32" i="45"/>
  <c r="Z34" i="45" s="1"/>
  <c r="Z36" i="45" s="1"/>
  <c r="Z37" i="45" s="1"/>
  <c r="Z42" i="45"/>
  <c r="W18" i="45" a="1"/>
  <c r="W18" i="45" s="1"/>
  <c r="W23" i="45" s="1"/>
  <c r="W25" i="45" s="1"/>
  <c r="AB20" i="28"/>
  <c r="AC10" i="27"/>
  <c r="AC11" i="28"/>
  <c r="AC16" i="28" s="1"/>
  <c r="Q36" i="45"/>
  <c r="Q37" i="45" s="1"/>
  <c r="V30" i="45" l="1"/>
  <c r="V31" i="45" s="1"/>
  <c r="V41" i="45"/>
  <c r="V43" i="45" s="1"/>
  <c r="X18" i="45" a="1"/>
  <c r="X18" i="45" s="1"/>
  <c r="X23" i="45" s="1"/>
  <c r="X25" i="45" s="1"/>
  <c r="AC20" i="28"/>
  <c r="AC20" i="45" a="1"/>
  <c r="AC20" i="45" s="1"/>
  <c r="AE9" i="28"/>
  <c r="Y14" i="45" a="1"/>
  <c r="Y14" i="45" s="1"/>
  <c r="AB21" i="45" a="1"/>
  <c r="AB21" i="45" s="1"/>
  <c r="AA32" i="45"/>
  <c r="AA34" i="45" s="1"/>
  <c r="AA36" i="45" s="1"/>
  <c r="AA37" i="45" s="1"/>
  <c r="AA42" i="45"/>
  <c r="AD10" i="27"/>
  <c r="AD11" i="28"/>
  <c r="AD16" i="28" s="1"/>
  <c r="AB8" i="27"/>
  <c r="AB12" i="27" s="1"/>
  <c r="AB17" i="27" s="1"/>
  <c r="AB21" i="27" s="1"/>
  <c r="AB25" i="27" s="1"/>
  <c r="Z16" i="45" s="1" a="1"/>
  <c r="Z16" i="45" s="1"/>
  <c r="Y27" i="27"/>
  <c r="Y29" i="27" s="1"/>
  <c r="Y31" i="27" s="1"/>
  <c r="Y22" i="28"/>
  <c r="W30" i="45"/>
  <c r="W31" i="45" s="1"/>
  <c r="W41" i="45"/>
  <c r="W43" i="45" s="1"/>
  <c r="W28" i="45"/>
  <c r="AB35" i="45"/>
  <c r="AB33" i="45"/>
  <c r="D14" i="45" a="1"/>
  <c r="D14" i="45" s="1"/>
  <c r="C14" i="45" a="1"/>
  <c r="C14" i="45" s="1"/>
  <c r="H14" i="45" a="1"/>
  <c r="H14" i="45" s="1"/>
  <c r="E14" i="45" a="1"/>
  <c r="E14" i="45" s="1"/>
  <c r="F14" i="45" a="1"/>
  <c r="F14" i="45" s="1"/>
  <c r="G14" i="45" a="1"/>
  <c r="G14" i="45" s="1"/>
  <c r="Z14" i="45" l="1" a="1"/>
  <c r="Z14" i="45" s="1"/>
  <c r="AC35" i="45"/>
  <c r="AC33" i="45"/>
  <c r="AB32" i="45"/>
  <c r="AB34" i="45" s="1"/>
  <c r="AB36" i="45" s="1"/>
  <c r="AB37" i="45" s="1"/>
  <c r="AB42" i="45"/>
  <c r="AC8" i="27"/>
  <c r="AC12" i="27" s="1"/>
  <c r="AC17" i="27" s="1"/>
  <c r="AC21" i="27" s="1"/>
  <c r="AC25" i="27" s="1"/>
  <c r="AA16" i="45" s="1" a="1"/>
  <c r="AA16" i="45" s="1"/>
  <c r="Y24" i="28"/>
  <c r="Y26" i="28"/>
  <c r="Y28" i="28" s="1"/>
  <c r="Z22" i="28"/>
  <c r="Z27" i="27"/>
  <c r="Z29" i="27" s="1"/>
  <c r="Z31" i="27" s="1"/>
  <c r="AC21" i="45" a="1"/>
  <c r="AC21" i="45" s="1"/>
  <c r="X41" i="45"/>
  <c r="X43" i="45" s="1"/>
  <c r="X30" i="45"/>
  <c r="X31" i="45" s="1"/>
  <c r="X28" i="45"/>
  <c r="AD20" i="28"/>
  <c r="Y18" i="45" a="1"/>
  <c r="Y18" i="45" s="1"/>
  <c r="Y23" i="45" s="1"/>
  <c r="Y25" i="45" s="1"/>
  <c r="AE10" i="27"/>
  <c r="AE11" i="28"/>
  <c r="AE16" i="28" s="1"/>
  <c r="AD20" i="45" a="1"/>
  <c r="AD20" i="45" s="1"/>
  <c r="AF9" i="28"/>
  <c r="I16" i="45" a="1"/>
  <c r="I16" i="45" s="1"/>
  <c r="H16" i="45" a="1"/>
  <c r="H16" i="45" s="1"/>
  <c r="F16" i="45" a="1"/>
  <c r="F16" i="45" s="1"/>
  <c r="E16" i="45" a="1"/>
  <c r="E16" i="45" s="1"/>
  <c r="G16" i="45" a="1"/>
  <c r="G16" i="45" s="1"/>
  <c r="D16" i="45" a="1"/>
  <c r="D16" i="45" s="1"/>
  <c r="C16" i="45" a="1"/>
  <c r="C16" i="45" s="1"/>
  <c r="AE20" i="28" l="1"/>
  <c r="Z24" i="28"/>
  <c r="Z26" i="28"/>
  <c r="Z28" i="28" s="1"/>
  <c r="Y41" i="45"/>
  <c r="Y43" i="45" s="1"/>
  <c r="Y28" i="45"/>
  <c r="Y30" i="45"/>
  <c r="Y31" i="45" s="1"/>
  <c r="Z18" i="45" a="1"/>
  <c r="Z18" i="45" s="1"/>
  <c r="Z23" i="45" s="1"/>
  <c r="Z25" i="45" s="1"/>
  <c r="AC42" i="45"/>
  <c r="AC32" i="45"/>
  <c r="AC34" i="45" s="1"/>
  <c r="AC36" i="45" s="1"/>
  <c r="AC37" i="45" s="1"/>
  <c r="AA14" i="45" a="1"/>
  <c r="AA14" i="45" s="1"/>
  <c r="AD21" i="45" a="1"/>
  <c r="AD21" i="45" s="1"/>
  <c r="AD8" i="27"/>
  <c r="AD12" i="27" s="1"/>
  <c r="AD17" i="27" s="1"/>
  <c r="AD21" i="27" s="1"/>
  <c r="AD25" i="27" s="1"/>
  <c r="AB16" i="45" s="1" a="1"/>
  <c r="AB16" i="45" s="1"/>
  <c r="AE20" i="45" a="1"/>
  <c r="AE20" i="45" s="1"/>
  <c r="AG9" i="28"/>
  <c r="AA27" i="27"/>
  <c r="AA29" i="27" s="1"/>
  <c r="AA31" i="27" s="1"/>
  <c r="AA22" i="28"/>
  <c r="AF10" i="27"/>
  <c r="AF11" i="28"/>
  <c r="AF16" i="28" s="1"/>
  <c r="AD35" i="45"/>
  <c r="AD33" i="45"/>
  <c r="D19" i="9"/>
  <c r="D18" i="45" s="1" a="1"/>
  <c r="D18" i="45" s="1"/>
  <c r="D23" i="45" s="1"/>
  <c r="D25" i="45" s="1"/>
  <c r="D41" i="45" s="1"/>
  <c r="D43" i="45" s="1"/>
  <c r="H18" i="45" a="1"/>
  <c r="H18" i="45" s="1"/>
  <c r="H23" i="45" s="1"/>
  <c r="H25" i="45" s="1"/>
  <c r="H41" i="45" s="1"/>
  <c r="H43" i="45" s="1"/>
  <c r="G18" i="45" a="1"/>
  <c r="G18" i="45" s="1"/>
  <c r="G23" i="45" s="1"/>
  <c r="E19" i="9"/>
  <c r="E18" i="45" s="1" a="1"/>
  <c r="E18" i="45" s="1"/>
  <c r="E23" i="45" s="1"/>
  <c r="E25" i="45" s="1"/>
  <c r="E41" i="45" s="1"/>
  <c r="E43" i="45" s="1"/>
  <c r="F19" i="9"/>
  <c r="F18" i="45" s="1" a="1"/>
  <c r="F18" i="45" s="1"/>
  <c r="F23" i="45" s="1"/>
  <c r="F25" i="45" s="1"/>
  <c r="F41" i="45" s="1"/>
  <c r="F43" i="45" s="1"/>
  <c r="C19" i="9"/>
  <c r="C18" i="45" s="1" a="1"/>
  <c r="C18" i="45" s="1"/>
  <c r="C23" i="45" s="1"/>
  <c r="C25" i="45" s="1"/>
  <c r="C41" i="45" s="1"/>
  <c r="C43" i="45" s="1"/>
  <c r="AF20" i="45" l="1" a="1"/>
  <c r="AF20" i="45" s="1"/>
  <c r="AH9" i="28"/>
  <c r="AF20" i="28"/>
  <c r="AB14" i="45" a="1"/>
  <c r="AB14" i="45" s="1"/>
  <c r="AG10" i="27"/>
  <c r="AG11" i="28"/>
  <c r="AG16" i="28" s="1"/>
  <c r="AE35" i="45"/>
  <c r="AE33" i="45"/>
  <c r="AB22" i="28"/>
  <c r="AB27" i="27"/>
  <c r="AB29" i="27" s="1"/>
  <c r="AB31" i="27" s="1"/>
  <c r="AE8" i="27"/>
  <c r="AE12" i="27" s="1"/>
  <c r="AE17" i="27" s="1"/>
  <c r="AE21" i="27" s="1"/>
  <c r="AE25" i="27" s="1"/>
  <c r="AC16" i="45" s="1" a="1"/>
  <c r="AC16" i="45" s="1"/>
  <c r="AD42" i="45"/>
  <c r="AD32" i="45"/>
  <c r="AD34" i="45" s="1"/>
  <c r="AD36" i="45" s="1"/>
  <c r="AD37" i="45" s="1"/>
  <c r="Z41" i="45"/>
  <c r="Z43" i="45" s="1"/>
  <c r="Z28" i="45"/>
  <c r="Z30" i="45"/>
  <c r="Z31" i="45" s="1"/>
  <c r="AE21" i="45" a="1"/>
  <c r="AE21" i="45" s="1"/>
  <c r="AA24" i="28"/>
  <c r="AA26" i="28"/>
  <c r="AA28" i="28" s="1"/>
  <c r="AA18" i="45" a="1"/>
  <c r="AA18" i="45" s="1"/>
  <c r="AA23" i="45" s="1"/>
  <c r="AA25" i="45" s="1"/>
  <c r="G25" i="45"/>
  <c r="G41" i="45" s="1"/>
  <c r="G43" i="45" s="1"/>
  <c r="E26" i="9"/>
  <c r="E28" i="9" s="1"/>
  <c r="E36" i="9" s="1"/>
  <c r="E30" i="45"/>
  <c r="H30" i="45"/>
  <c r="Q31" i="45"/>
  <c r="N31" i="45"/>
  <c r="M31" i="45"/>
  <c r="K31" i="45"/>
  <c r="AB24" i="28" l="1"/>
  <c r="AB26" i="28"/>
  <c r="AB28" i="28" s="1"/>
  <c r="AF8" i="27"/>
  <c r="AF12" i="27" s="1"/>
  <c r="AF17" i="27" s="1"/>
  <c r="AF21" i="27" s="1"/>
  <c r="AF25" i="27" s="1"/>
  <c r="AD16" i="45" s="1" a="1"/>
  <c r="AD16" i="45" s="1"/>
  <c r="AF21" i="45" a="1"/>
  <c r="AF21" i="45" s="1"/>
  <c r="AH10" i="27"/>
  <c r="AH11" i="28"/>
  <c r="AH16" i="28" s="1"/>
  <c r="AC27" i="27"/>
  <c r="AC29" i="27" s="1"/>
  <c r="AC31" i="27" s="1"/>
  <c r="AC22" i="28"/>
  <c r="AC14" i="45" a="1"/>
  <c r="AC14" i="45" s="1"/>
  <c r="AG20" i="28"/>
  <c r="AA28" i="45"/>
  <c r="AA41" i="45"/>
  <c r="AA43" i="45" s="1"/>
  <c r="AA30" i="45"/>
  <c r="AA31" i="45" s="1"/>
  <c r="AF35" i="45"/>
  <c r="AF33" i="45"/>
  <c r="AE32" i="45"/>
  <c r="AE34" i="45" s="1"/>
  <c r="AE36" i="45" s="1"/>
  <c r="AE37" i="45" s="1"/>
  <c r="AE42" i="45"/>
  <c r="AG20" i="45" a="1"/>
  <c r="AG20" i="45" s="1"/>
  <c r="AI9" i="28"/>
  <c r="AB18" i="45" a="1"/>
  <c r="AB18" i="45" s="1"/>
  <c r="AB23" i="45" s="1"/>
  <c r="AB25" i="45" s="1"/>
  <c r="J22" i="28"/>
  <c r="J26" i="28" s="1"/>
  <c r="J28" i="28" s="1"/>
  <c r="J27" i="27"/>
  <c r="J29" i="27" s="1"/>
  <c r="J31" i="27" s="1"/>
  <c r="G22" i="28"/>
  <c r="G24" i="28" s="1"/>
  <c r="G27" i="27"/>
  <c r="G29" i="27" s="1"/>
  <c r="G31" i="27" s="1"/>
  <c r="E56" i="9"/>
  <c r="E58" i="9" s="1"/>
  <c r="E45" i="9"/>
  <c r="E43" i="9"/>
  <c r="H28" i="45"/>
  <c r="E28" i="45"/>
  <c r="E31" i="45"/>
  <c r="H31" i="45"/>
  <c r="AH20" i="45" l="1" a="1"/>
  <c r="AH20" i="45" s="1"/>
  <c r="AJ9" i="28"/>
  <c r="AG35" i="45"/>
  <c r="AG33" i="45"/>
  <c r="AF42" i="45"/>
  <c r="AF32" i="45"/>
  <c r="AF34" i="45" s="1"/>
  <c r="AF36" i="45" s="1"/>
  <c r="AF37" i="45" s="1"/>
  <c r="AD27" i="27"/>
  <c r="AD29" i="27" s="1"/>
  <c r="AD31" i="27" s="1"/>
  <c r="AD22" i="28"/>
  <c r="AB30" i="45"/>
  <c r="AB31" i="45" s="1"/>
  <c r="AB28" i="45"/>
  <c r="AB41" i="45"/>
  <c r="AB43" i="45" s="1"/>
  <c r="AG8" i="27"/>
  <c r="AG12" i="27" s="1"/>
  <c r="AG17" i="27" s="1"/>
  <c r="AG21" i="27" s="1"/>
  <c r="AG25" i="27" s="1"/>
  <c r="AE16" i="45" s="1" a="1"/>
  <c r="AE16" i="45" s="1"/>
  <c r="AC24" i="28"/>
  <c r="AC26" i="28"/>
  <c r="AC28" i="28" s="1"/>
  <c r="AC18" i="45" a="1"/>
  <c r="AC18" i="45" s="1"/>
  <c r="AC23" i="45" s="1"/>
  <c r="AC25" i="45" s="1"/>
  <c r="AH20" i="28"/>
  <c r="AD14" i="45" a="1"/>
  <c r="AD14" i="45" s="1"/>
  <c r="AG21" i="45" a="1"/>
  <c r="AG21" i="45" s="1"/>
  <c r="AI10" i="27"/>
  <c r="AI11" i="28"/>
  <c r="AI16" i="28" s="1"/>
  <c r="J24" i="28"/>
  <c r="G26" i="28"/>
  <c r="G28" i="28" s="1"/>
  <c r="E46" i="9"/>
  <c r="AJ20" i="45" l="1" a="1"/>
  <c r="AJ20" i="45" s="1"/>
  <c r="AL9" i="28"/>
  <c r="AD24" i="28"/>
  <c r="AD26" i="28"/>
  <c r="AD28" i="28" s="1"/>
  <c r="AI20" i="28"/>
  <c r="AI20" i="45" a="1"/>
  <c r="AI20" i="45" s="1"/>
  <c r="AK9" i="28"/>
  <c r="AH8" i="27"/>
  <c r="AH12" i="27" s="1"/>
  <c r="AH17" i="27" s="1"/>
  <c r="AH21" i="27" s="1"/>
  <c r="AH25" i="27" s="1"/>
  <c r="AF16" i="45" s="1" a="1"/>
  <c r="AF16" i="45" s="1"/>
  <c r="AH21" i="45" a="1"/>
  <c r="AH21" i="45" s="1"/>
  <c r="AE14" i="45" a="1"/>
  <c r="AE14" i="45" s="1"/>
  <c r="AE27" i="27"/>
  <c r="AE29" i="27" s="1"/>
  <c r="AE31" i="27" s="1"/>
  <c r="AE22" i="28"/>
  <c r="AJ10" i="27"/>
  <c r="AJ11" i="28"/>
  <c r="AJ16" i="28" s="1"/>
  <c r="AD18" i="45" a="1"/>
  <c r="AD18" i="45" s="1"/>
  <c r="AD23" i="45" s="1"/>
  <c r="AD25" i="45" s="1"/>
  <c r="AC28" i="45"/>
  <c r="AC41" i="45"/>
  <c r="AC43" i="45" s="1"/>
  <c r="AC30" i="45"/>
  <c r="AC31" i="45" s="1"/>
  <c r="AH35" i="45"/>
  <c r="AH33" i="45"/>
  <c r="AG32" i="45"/>
  <c r="AG34" i="45" s="1"/>
  <c r="AG36" i="45" s="1"/>
  <c r="AG37" i="45" s="1"/>
  <c r="AG42" i="45"/>
  <c r="L30" i="45"/>
  <c r="H34" i="45"/>
  <c r="E34" i="45"/>
  <c r="U30" i="45"/>
  <c r="U31" i="45" s="1"/>
  <c r="AF22" i="28" l="1"/>
  <c r="AF27" i="27"/>
  <c r="AF29" i="27" s="1"/>
  <c r="AF31" i="27" s="1"/>
  <c r="AF14" i="45" a="1"/>
  <c r="AF14" i="45" s="1"/>
  <c r="AI21" i="45" a="1"/>
  <c r="AI21" i="45" s="1"/>
  <c r="AJ21" i="45" a="1"/>
  <c r="AJ21" i="45" s="1"/>
  <c r="AD41" i="45"/>
  <c r="AD43" i="45" s="1"/>
  <c r="AD30" i="45"/>
  <c r="AD31" i="45" s="1"/>
  <c r="AD28" i="45"/>
  <c r="AK10" i="27"/>
  <c r="AK11" i="28"/>
  <c r="AK16" i="28" s="1"/>
  <c r="AI8" i="27"/>
  <c r="AI12" i="27" s="1"/>
  <c r="AI17" i="27" s="1"/>
  <c r="AI21" i="27" s="1"/>
  <c r="AI25" i="27" s="1"/>
  <c r="AG16" i="45" s="1" a="1"/>
  <c r="AG16" i="45" s="1"/>
  <c r="AI35" i="45"/>
  <c r="AI33" i="45"/>
  <c r="AL10" i="27"/>
  <c r="AL11" i="28"/>
  <c r="AL16" i="28" s="1"/>
  <c r="AE18" i="45" a="1"/>
  <c r="AE18" i="45" s="1"/>
  <c r="AE23" i="45" s="1"/>
  <c r="AE25" i="45" s="1"/>
  <c r="AE24" i="28"/>
  <c r="AE26" i="28"/>
  <c r="AE28" i="28" s="1"/>
  <c r="AH42" i="45"/>
  <c r="AH32" i="45"/>
  <c r="AH34" i="45" s="1"/>
  <c r="AH36" i="45" s="1"/>
  <c r="AH37" i="45" s="1"/>
  <c r="AJ20" i="28"/>
  <c r="AJ35" i="45"/>
  <c r="AJ33" i="45"/>
  <c r="L28" i="45"/>
  <c r="U28" i="45"/>
  <c r="E36" i="45"/>
  <c r="E37" i="45" s="1"/>
  <c r="H36" i="45"/>
  <c r="H37" i="45" s="1"/>
  <c r="AJ42" i="45" l="1"/>
  <c r="AJ32" i="45"/>
  <c r="AJ34" i="45" s="1"/>
  <c r="AJ36" i="45" s="1"/>
  <c r="AJ37" i="45" s="1"/>
  <c r="AF18" i="45" a="1"/>
  <c r="AF18" i="45" s="1"/>
  <c r="AF23" i="45" s="1"/>
  <c r="AF25" i="45" s="1"/>
  <c r="AK20" i="28"/>
  <c r="AF24" i="28"/>
  <c r="AF26" i="28"/>
  <c r="AF28" i="28" s="1"/>
  <c r="AE41" i="45"/>
  <c r="AE43" i="45" s="1"/>
  <c r="AE28" i="45"/>
  <c r="AE30" i="45"/>
  <c r="AE31" i="45" s="1"/>
  <c r="AG14" i="45" a="1"/>
  <c r="AG14" i="45" s="1"/>
  <c r="AL20" i="28"/>
  <c r="AI32" i="45"/>
  <c r="AI34" i="45" s="1"/>
  <c r="AI36" i="45" s="1"/>
  <c r="AI37" i="45" s="1"/>
  <c r="AI42" i="45"/>
  <c r="AG27" i="27"/>
  <c r="AG29" i="27" s="1"/>
  <c r="AG31" i="27" s="1"/>
  <c r="AG22" i="28"/>
  <c r="AJ8" i="27"/>
  <c r="AJ12" i="27" s="1"/>
  <c r="AJ17" i="27" s="1"/>
  <c r="AJ21" i="27" s="1"/>
  <c r="AJ25" i="27" s="1"/>
  <c r="AH16" i="45" s="1" a="1"/>
  <c r="AH16" i="45" s="1"/>
  <c r="N22" i="28"/>
  <c r="N26" i="28" s="1"/>
  <c r="N28" i="28" s="1"/>
  <c r="N27" i="27"/>
  <c r="N29" i="27" s="1"/>
  <c r="N31" i="27" s="1"/>
  <c r="X22" i="28"/>
  <c r="X24" i="28" s="1"/>
  <c r="X27" i="27"/>
  <c r="X29" i="27" s="1"/>
  <c r="X31" i="27" s="1"/>
  <c r="W22" i="28"/>
  <c r="W24" i="28" s="1"/>
  <c r="W27" i="27"/>
  <c r="W29" i="27" s="1"/>
  <c r="W31" i="27" s="1"/>
  <c r="B34" i="45"/>
  <c r="AK8" i="27" l="1"/>
  <c r="AK12" i="27" s="1"/>
  <c r="AK17" i="27" s="1"/>
  <c r="AK21" i="27" s="1"/>
  <c r="AK25" i="27" s="1"/>
  <c r="AI16" i="45" s="1" a="1"/>
  <c r="AI16" i="45" s="1"/>
  <c r="AG18" i="45" a="1"/>
  <c r="AG18" i="45" s="1"/>
  <c r="AG23" i="45" s="1"/>
  <c r="AG25" i="45" s="1"/>
  <c r="AH22" i="28"/>
  <c r="AH27" i="27"/>
  <c r="AH29" i="27" s="1"/>
  <c r="AH31" i="27" s="1"/>
  <c r="AG24" i="28"/>
  <c r="AG26" i="28"/>
  <c r="AG28" i="28" s="1"/>
  <c r="AL8" i="27"/>
  <c r="AL12" i="27" s="1"/>
  <c r="AL17" i="27" s="1"/>
  <c r="AL21" i="27" s="1"/>
  <c r="AL25" i="27" s="1"/>
  <c r="AJ16" i="45" s="1" a="1"/>
  <c r="AJ16" i="45" s="1"/>
  <c r="AF28" i="45"/>
  <c r="AF41" i="45"/>
  <c r="AF43" i="45" s="1"/>
  <c r="AF30" i="45"/>
  <c r="AF31" i="45" s="1"/>
  <c r="AH14" i="45" a="1"/>
  <c r="AH14" i="45" s="1"/>
  <c r="W26" i="28"/>
  <c r="W28" i="28" s="1"/>
  <c r="N24" i="28"/>
  <c r="X26" i="28"/>
  <c r="X28" i="28" s="1"/>
  <c r="B36" i="45"/>
  <c r="B37" i="45" s="1"/>
  <c r="F26" i="9"/>
  <c r="F28" i="9" s="1"/>
  <c r="F36" i="9" s="1"/>
  <c r="F30" i="45"/>
  <c r="F31" i="45" s="1"/>
  <c r="L34" i="45"/>
  <c r="U34" i="45"/>
  <c r="H27" i="27" l="1"/>
  <c r="H29" i="27" s="1"/>
  <c r="H31" i="27" s="1"/>
  <c r="AH24" i="28"/>
  <c r="AH26" i="28"/>
  <c r="AH28" i="28" s="1"/>
  <c r="AJ14" i="45" a="1"/>
  <c r="AJ14" i="45" s="1"/>
  <c r="AI27" i="27"/>
  <c r="AI29" i="27" s="1"/>
  <c r="AI31" i="27" s="1"/>
  <c r="AI22" i="28"/>
  <c r="AG41" i="45"/>
  <c r="AG43" i="45" s="1"/>
  <c r="AG30" i="45"/>
  <c r="AG31" i="45" s="1"/>
  <c r="AG28" i="45"/>
  <c r="AH18" i="45" a="1"/>
  <c r="AH18" i="45" s="1"/>
  <c r="AH23" i="45" s="1"/>
  <c r="AH25" i="45" s="1"/>
  <c r="AI14" i="45" a="1"/>
  <c r="AI14" i="45" s="1"/>
  <c r="H22" i="28"/>
  <c r="F28" i="45"/>
  <c r="L36" i="45"/>
  <c r="L37" i="45" s="1"/>
  <c r="U36" i="45"/>
  <c r="U37" i="45" s="1"/>
  <c r="AI24" i="28" l="1"/>
  <c r="AI26" i="28"/>
  <c r="AI28" i="28" s="1"/>
  <c r="AH41" i="45"/>
  <c r="AH43" i="45" s="1"/>
  <c r="AH28" i="45"/>
  <c r="AH30" i="45"/>
  <c r="AH31" i="45" s="1"/>
  <c r="AJ27" i="27"/>
  <c r="AJ29" i="27" s="1"/>
  <c r="AJ31" i="27" s="1"/>
  <c r="AJ22" i="28"/>
  <c r="AJ18" i="45" a="1"/>
  <c r="AJ18" i="45" s="1"/>
  <c r="AJ23" i="45" s="1"/>
  <c r="AJ25" i="45" s="1"/>
  <c r="AI18" i="45" a="1"/>
  <c r="AI18" i="45" s="1"/>
  <c r="AI23" i="45" s="1"/>
  <c r="AI25" i="45" s="1"/>
  <c r="H26" i="28"/>
  <c r="H28" i="28" s="1"/>
  <c r="H24" i="28"/>
  <c r="F56" i="9"/>
  <c r="F58" i="9" s="1"/>
  <c r="F45" i="9"/>
  <c r="F46" i="9" s="1"/>
  <c r="F43" i="9"/>
  <c r="AI28" i="45" l="1"/>
  <c r="AI41" i="45"/>
  <c r="AI43" i="45" s="1"/>
  <c r="AI30" i="45"/>
  <c r="AI31" i="45" s="1"/>
  <c r="AL27" i="27"/>
  <c r="AL29" i="27" s="1"/>
  <c r="AL31" i="27" s="1"/>
  <c r="AL22" i="28"/>
  <c r="AK27" i="27"/>
  <c r="AK29" i="27" s="1"/>
  <c r="AK31" i="27" s="1"/>
  <c r="AK22" i="28"/>
  <c r="AJ41" i="45"/>
  <c r="AJ43" i="45" s="1"/>
  <c r="AJ30" i="45"/>
  <c r="AJ31" i="45" s="1"/>
  <c r="AJ28" i="45"/>
  <c r="AJ24" i="28"/>
  <c r="AJ26" i="28"/>
  <c r="AJ28" i="28" s="1"/>
  <c r="F34" i="45"/>
  <c r="AL24" i="28" l="1"/>
  <c r="AL26" i="28"/>
  <c r="AL28" i="28" s="1"/>
  <c r="AK24" i="28"/>
  <c r="AK26" i="28"/>
  <c r="AK28" i="28" s="1"/>
  <c r="O30" i="45"/>
  <c r="O31" i="45" s="1"/>
  <c r="R30" i="45"/>
  <c r="R31" i="45" s="1"/>
  <c r="P30" i="45"/>
  <c r="P31" i="45" s="1"/>
  <c r="F36" i="45"/>
  <c r="F37" i="45" s="1"/>
  <c r="R22" i="28" l="1"/>
  <c r="R24" i="28" s="1"/>
  <c r="R27" i="27"/>
  <c r="R29" i="27" s="1"/>
  <c r="R31" i="27" s="1"/>
  <c r="T22" i="28"/>
  <c r="T24" i="28" s="1"/>
  <c r="T27" i="27"/>
  <c r="T29" i="27" s="1"/>
  <c r="T31" i="27" s="1"/>
  <c r="P28" i="45"/>
  <c r="R28" i="45"/>
  <c r="O28" i="45"/>
  <c r="R26" i="28" l="1"/>
  <c r="R28" i="28" s="1"/>
  <c r="T26" i="28"/>
  <c r="T28" i="28" s="1"/>
  <c r="Q22" i="28"/>
  <c r="Q24" i="28" s="1"/>
  <c r="Q27" i="27"/>
  <c r="Q29" i="27" s="1"/>
  <c r="Q31" i="27" s="1"/>
  <c r="Q26" i="28" l="1"/>
  <c r="Q28" i="28" s="1"/>
  <c r="P34" i="45"/>
  <c r="G30" i="45"/>
  <c r="G31" i="45" s="1"/>
  <c r="R34" i="45"/>
  <c r="O34" i="45"/>
  <c r="G28" i="45" l="1"/>
  <c r="P36" i="45"/>
  <c r="P37" i="45" s="1"/>
  <c r="R36" i="45"/>
  <c r="R37" i="45" s="1"/>
  <c r="O36" i="45"/>
  <c r="O37" i="45" s="1"/>
  <c r="I22" i="28" l="1"/>
  <c r="I24" i="28" s="1"/>
  <c r="I27" i="27"/>
  <c r="I29" i="27" s="1"/>
  <c r="I31" i="27" s="1"/>
  <c r="I26" i="28" l="1"/>
  <c r="I28" i="28" s="1"/>
  <c r="G34" i="45"/>
  <c r="S30" i="45" l="1"/>
  <c r="S31" i="45" s="1"/>
  <c r="G36" i="45"/>
  <c r="G37" i="45" s="1"/>
  <c r="S28" i="45" l="1"/>
  <c r="U22" i="28" l="1"/>
  <c r="U26" i="28" s="1"/>
  <c r="U28" i="28" s="1"/>
  <c r="U27" i="27"/>
  <c r="U29" i="27" s="1"/>
  <c r="U31" i="27" s="1"/>
  <c r="D26" i="9"/>
  <c r="D30" i="45"/>
  <c r="D31" i="45" s="1"/>
  <c r="U24" i="28" l="1"/>
  <c r="D28" i="9"/>
  <c r="D36" i="9" s="1"/>
  <c r="D28" i="45"/>
  <c r="S34" i="45"/>
  <c r="F22" i="28" l="1"/>
  <c r="F24" i="28" s="1"/>
  <c r="F27" i="27"/>
  <c r="F29" i="27" s="1"/>
  <c r="F31" i="27" s="1"/>
  <c r="D56" i="9"/>
  <c r="D58" i="9" s="1"/>
  <c r="D43" i="9"/>
  <c r="D45" i="9"/>
  <c r="D46" i="9" s="1"/>
  <c r="S36" i="45"/>
  <c r="S37" i="45" s="1"/>
  <c r="F26" i="28" l="1"/>
  <c r="F28" i="28" s="1"/>
  <c r="D34" i="45"/>
  <c r="D36" i="45" l="1"/>
  <c r="D37" i="45" s="1"/>
  <c r="C26" i="9" l="1"/>
  <c r="C30" i="45"/>
  <c r="C31" i="45" s="1"/>
  <c r="C28" i="9" l="1"/>
  <c r="C36" i="9" s="1"/>
  <c r="C28" i="45"/>
  <c r="T30" i="45"/>
  <c r="E22" i="28" l="1"/>
  <c r="E24" i="28" s="1"/>
  <c r="E27" i="27"/>
  <c r="E29" i="27" s="1"/>
  <c r="E31" i="27" s="1"/>
  <c r="C56" i="9"/>
  <c r="C58" i="9" s="1"/>
  <c r="C43" i="9"/>
  <c r="C45" i="9"/>
  <c r="C46" i="9" s="1"/>
  <c r="T28" i="45"/>
  <c r="T31" i="45"/>
  <c r="E26" i="28" l="1"/>
  <c r="E28" i="28" s="1"/>
  <c r="V22" i="28"/>
  <c r="V24" i="28" s="1"/>
  <c r="V27" i="27"/>
  <c r="V29" i="27" s="1"/>
  <c r="V31" i="27" s="1"/>
  <c r="C34" i="45"/>
  <c r="V26" i="28" l="1"/>
  <c r="V28" i="28" s="1"/>
  <c r="C36" i="45"/>
  <c r="C37" i="45" s="1"/>
  <c r="T34" i="45"/>
  <c r="T36" i="45" l="1"/>
  <c r="T37" i="45" s="1"/>
  <c r="I14" i="45" l="1" a="1"/>
  <c r="I14" i="45" s="1"/>
  <c r="I18" i="45" l="1" a="1"/>
  <c r="I18" i="45" s="1"/>
  <c r="I23" i="45" s="1"/>
  <c r="I25" i="45" s="1"/>
  <c r="I41" i="45" s="1"/>
  <c r="I43" i="45" s="1"/>
  <c r="I30" i="45" l="1"/>
  <c r="I28" i="45" l="1"/>
  <c r="I31" i="45"/>
  <c r="K22" i="28" l="1"/>
  <c r="K24" i="28" s="1"/>
  <c r="K27" i="27"/>
  <c r="K29" i="27" s="1"/>
  <c r="K31" i="27" s="1"/>
  <c r="K26" i="28" l="1"/>
  <c r="K28" i="28" s="1"/>
  <c r="I34" i="45"/>
  <c r="I36" i="45" l="1"/>
  <c r="I37" i="45" s="1"/>
  <c r="J30" i="45" l="1"/>
  <c r="J28" i="45" l="1"/>
  <c r="J31" i="45"/>
  <c r="L22" i="28" l="1"/>
  <c r="L24" i="28" s="1"/>
  <c r="L27" i="27"/>
  <c r="L29" i="27" s="1"/>
  <c r="L31" i="27" s="1"/>
  <c r="L26" i="28" l="1"/>
  <c r="L28" i="28" s="1"/>
  <c r="J34" i="45"/>
  <c r="J36" i="45" l="1"/>
  <c r="J37" i="45" s="1"/>
  <c r="L31" i="45" l="1"/>
  <c r="D16" i="28" l="1"/>
  <c r="D20" i="28" l="1"/>
  <c r="B15" i="9" l="1"/>
  <c r="D8" i="27"/>
  <c r="D12" i="27" l="1"/>
  <c r="D17" i="27" s="1"/>
  <c r="D21" i="27" s="1"/>
  <c r="B14" i="45" a="1"/>
  <c r="B14" i="45" s="1"/>
  <c r="D25" i="27" l="1"/>
  <c r="B17" i="9" s="1"/>
  <c r="B16" i="45" l="1" a="1"/>
  <c r="B16" i="45" s="1"/>
  <c r="B19" i="9"/>
  <c r="B26" i="9" s="1"/>
  <c r="B18" i="45" l="1" a="1"/>
  <c r="B18" i="45" s="1"/>
  <c r="B23" i="45" s="1"/>
  <c r="B25" i="45" s="1"/>
  <c r="B28" i="9" l="1"/>
  <c r="B36" i="9" s="1"/>
  <c r="B30" i="45"/>
  <c r="B31" i="45" s="1"/>
  <c r="B28" i="45"/>
  <c r="B41" i="45"/>
  <c r="B43" i="45" s="1"/>
  <c r="B56" i="9" l="1"/>
  <c r="B58" i="9" s="1"/>
  <c r="B45" i="9"/>
  <c r="B46" i="9" s="1"/>
  <c r="D22" i="28"/>
  <c r="D24" i="28" s="1"/>
  <c r="B43" i="9"/>
  <c r="D27" i="27"/>
  <c r="D29" i="27" s="1"/>
  <c r="D31" i="27" s="1"/>
  <c r="D26" i="28" l="1"/>
  <c r="D28" i="2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<sst xmlns="http://schemas.openxmlformats.org/spreadsheetml/2006/main" count="482" uniqueCount="343">
  <si>
    <t>Rate Base</t>
  </si>
  <si>
    <t>Tax Depreciation Rates =</t>
  </si>
  <si>
    <t>Tax Depreciation</t>
  </si>
  <si>
    <t>Annual Capital Expense</t>
  </si>
  <si>
    <t>Total</t>
  </si>
  <si>
    <t>Accumulated Deferred Federal Income Tax</t>
  </si>
  <si>
    <t>AFUDC Equity</t>
  </si>
  <si>
    <t>Total Expenses</t>
  </si>
  <si>
    <t>Deferred taxes</t>
  </si>
  <si>
    <t>Tax Depreciation Expense</t>
  </si>
  <si>
    <t xml:space="preserve">Construction Work In Progress </t>
  </si>
  <si>
    <t>Tax Depreciation Year</t>
  </si>
  <si>
    <t>Accum Tax Depreciation Expense</t>
  </si>
  <si>
    <t xml:space="preserve">Calculation of Revenue Requirements </t>
  </si>
  <si>
    <t>Plant In Service</t>
  </si>
  <si>
    <t xml:space="preserve">Accumulated Deferred FIT 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</si>
  <si>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</si>
  <si>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</si>
  <si>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</si>
  <si>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</si>
  <si>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</si>
  <si>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</si>
  <si>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</si>
  <si>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</si>
  <si>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</si>
  <si>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</si>
  <si>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</si>
  <si>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</si>
  <si>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</si>
  <si>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</si>
  <si>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</si>
  <si>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</si>
  <si>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</si>
  <si>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</si>
  <si>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</si>
  <si>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</si>
  <si>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</si>
  <si>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Beginning Balance</t>
  </si>
  <si>
    <t>Initial CapEx</t>
  </si>
  <si>
    <t>RATE BASE</t>
  </si>
  <si>
    <t>Return on Rate Base</t>
  </si>
  <si>
    <t>Line</t>
  </si>
  <si>
    <t xml:space="preserve">No. </t>
  </si>
  <si>
    <t>Description</t>
  </si>
  <si>
    <t>Operations and Maintenance Expense</t>
  </si>
  <si>
    <t>Deprecition and Amortization Expense</t>
  </si>
  <si>
    <t>Taxes Other than Federal Income Tax</t>
  </si>
  <si>
    <t>Interest Expense</t>
  </si>
  <si>
    <t>Income Before Taxes</t>
  </si>
  <si>
    <t>Tax over Book Depreciation</t>
  </si>
  <si>
    <t>Taxable State Income</t>
  </si>
  <si>
    <t>State Tax Rate</t>
  </si>
  <si>
    <t xml:space="preserve">Retail </t>
  </si>
  <si>
    <t>Year</t>
  </si>
  <si>
    <t>Depreciation and Amortization Expense</t>
  </si>
  <si>
    <t>State Income Tax</t>
  </si>
  <si>
    <t xml:space="preserve">Tax over Book Depreciation </t>
  </si>
  <si>
    <t>Taxable Federal Income</t>
  </si>
  <si>
    <t>Federal Tax Rate</t>
  </si>
  <si>
    <t>Federal Income Taxes</t>
  </si>
  <si>
    <t>Amortization Expense - Deferred Excess ADIT</t>
  </si>
  <si>
    <t>Operating Income Deficiency</t>
  </si>
  <si>
    <t>Gross Up Factor</t>
  </si>
  <si>
    <t>Revenue Requirement</t>
  </si>
  <si>
    <t>Current FIT</t>
  </si>
  <si>
    <t>Deferred FIT</t>
  </si>
  <si>
    <t>Rev Req</t>
  </si>
  <si>
    <t>Taxes</t>
  </si>
  <si>
    <t>Equity Capital</t>
  </si>
  <si>
    <t>Equity Return</t>
  </si>
  <si>
    <t>Total CapEx</t>
  </si>
  <si>
    <t>Capital Year 1</t>
  </si>
  <si>
    <t>Capital Year 2</t>
  </si>
  <si>
    <t>Capital Year 3</t>
  </si>
  <si>
    <t>Capital Year 4</t>
  </si>
  <si>
    <t>Capital Year 5</t>
  </si>
  <si>
    <t>Capital Year 6</t>
  </si>
  <si>
    <t>Capital Year 7</t>
  </si>
  <si>
    <t>Capital Year 8</t>
  </si>
  <si>
    <t>Capital Year 9</t>
  </si>
  <si>
    <t>Capital Year 10</t>
  </si>
  <si>
    <t>Capital Year 11</t>
  </si>
  <si>
    <t>Capital Year 12</t>
  </si>
  <si>
    <t>Capital Year 13</t>
  </si>
  <si>
    <t>Capital Year 14</t>
  </si>
  <si>
    <t>Capital Year 15</t>
  </si>
  <si>
    <t>Capital Year 16</t>
  </si>
  <si>
    <t>Capital Year 17</t>
  </si>
  <si>
    <t>Capital Year 18</t>
  </si>
  <si>
    <t>Capital Year 19</t>
  </si>
  <si>
    <t>Capital Year 20</t>
  </si>
  <si>
    <t>Capital Year 21</t>
  </si>
  <si>
    <t>Capital Year 22</t>
  </si>
  <si>
    <t>Capital Year 23</t>
  </si>
  <si>
    <t>Capital Year 24</t>
  </si>
  <si>
    <t>Capital Year 25</t>
  </si>
  <si>
    <t>Capital Year 26</t>
  </si>
  <si>
    <t>Capital Year 27</t>
  </si>
  <si>
    <t>Capital Year 28</t>
  </si>
  <si>
    <t>Capital Year 29</t>
  </si>
  <si>
    <t>Capital Year 30</t>
  </si>
  <si>
    <t xml:space="preserve">AEPSC PMEC Cost </t>
  </si>
  <si>
    <t>ROE Check</t>
  </si>
  <si>
    <t xml:space="preserve"> After Tax Total Return Component</t>
  </si>
  <si>
    <t xml:space="preserve"> O&amp;M and Depreciation</t>
  </si>
  <si>
    <t>Incremental Revenue</t>
  </si>
  <si>
    <t>Company</t>
  </si>
  <si>
    <t>After Tax WACC</t>
  </si>
  <si>
    <t>Additional Interconnection Cost</t>
  </si>
  <si>
    <t>O&amp;M</t>
  </si>
  <si>
    <t xml:space="preserve">Depreciation </t>
  </si>
  <si>
    <t>Return On Ratebase</t>
  </si>
  <si>
    <t>Tax Expense</t>
  </si>
  <si>
    <t>ROE Proof</t>
  </si>
  <si>
    <t>Total O&amp;M Expenses</t>
  </si>
  <si>
    <t>Operations and Maint Expense - Account 549</t>
  </si>
  <si>
    <t>Property Tax Expense - Account 408</t>
  </si>
  <si>
    <t>Owner's Costs</t>
  </si>
  <si>
    <t>Internal Costs &amp; Overheads</t>
  </si>
  <si>
    <t>Contingency</t>
  </si>
  <si>
    <t>AFUDC</t>
  </si>
  <si>
    <t xml:space="preserve">ICAP MW </t>
  </si>
  <si>
    <t>Project Name</t>
  </si>
  <si>
    <t>Resource Type</t>
  </si>
  <si>
    <t>Wind</t>
  </si>
  <si>
    <t>Solar</t>
  </si>
  <si>
    <t>RunType</t>
  </si>
  <si>
    <t>Include</t>
  </si>
  <si>
    <t>Exclude</t>
  </si>
  <si>
    <t>In-Service End of Year</t>
  </si>
  <si>
    <t>In-Service</t>
  </si>
  <si>
    <t>Project Contract Cost</t>
  </si>
  <si>
    <t>Annual CapEx</t>
  </si>
  <si>
    <t>Project CapEx</t>
  </si>
  <si>
    <t>Project Capital Expense</t>
  </si>
  <si>
    <t>Description (Amounts in thousands)</t>
  </si>
  <si>
    <t>OPCO</t>
  </si>
  <si>
    <t>APCO</t>
  </si>
  <si>
    <t>I&amp;M</t>
  </si>
  <si>
    <t>PSO</t>
  </si>
  <si>
    <t>SWEPCO</t>
  </si>
  <si>
    <t>State</t>
  </si>
  <si>
    <t>VA</t>
  </si>
  <si>
    <t>OK</t>
  </si>
  <si>
    <t>WV</t>
  </si>
  <si>
    <t>AR</t>
  </si>
  <si>
    <t>LA</t>
  </si>
  <si>
    <t>IN</t>
  </si>
  <si>
    <t>MI</t>
  </si>
  <si>
    <t>KgPCo</t>
  </si>
  <si>
    <t>TN</t>
  </si>
  <si>
    <t>Current Federal Income Tax Expense</t>
  </si>
  <si>
    <t>Annual Deferred Tax Expense - Federal</t>
  </si>
  <si>
    <t>Annual Deferred Tax Expense - State</t>
  </si>
  <si>
    <t>Accumulated Deferred State Income Tax</t>
  </si>
  <si>
    <t>Annual Deferred Tax Expense - Federal Benefit of State</t>
  </si>
  <si>
    <t>Accumulated Deferred Federal Income Tax (FBOS)</t>
  </si>
  <si>
    <t xml:space="preserve">Accumulated Deferred SIT </t>
  </si>
  <si>
    <t>Deferred SIT</t>
  </si>
  <si>
    <t>Current SIT</t>
  </si>
  <si>
    <t>Current State Tax Expense</t>
  </si>
  <si>
    <t>Gas</t>
  </si>
  <si>
    <t>Contract Allowances</t>
  </si>
  <si>
    <t>Rate Base Calculations - period end</t>
  </si>
  <si>
    <t>TX</t>
  </si>
  <si>
    <t>GRCF</t>
  </si>
  <si>
    <t>After-tax WACC</t>
  </si>
  <si>
    <t>ROE</t>
  </si>
  <si>
    <t>Weighted Avg Cost of Debt</t>
  </si>
  <si>
    <t>Equity Weighting</t>
  </si>
  <si>
    <t>Salvage</t>
  </si>
  <si>
    <t>Annual O&amp;M Expense Total</t>
  </si>
  <si>
    <t>Plant Fixed O&amp;M Expense</t>
  </si>
  <si>
    <t>Plant Budgeted Capital Expense</t>
  </si>
  <si>
    <t>(1)</t>
  </si>
  <si>
    <t>(7)</t>
  </si>
  <si>
    <t>Weighted</t>
  </si>
  <si>
    <t>Capital</t>
  </si>
  <si>
    <t>Average</t>
  </si>
  <si>
    <t>Tax</t>
  </si>
  <si>
    <t>Rate</t>
  </si>
  <si>
    <t>Cost of Removal (Decommissioning)</t>
  </si>
  <si>
    <t>Plant Depreciation - Account 403</t>
  </si>
  <si>
    <t>Design Life</t>
  </si>
  <si>
    <t>Jurisdiction</t>
  </si>
  <si>
    <t>Depreciation Expense - Plant and Net Salvage</t>
  </si>
  <si>
    <t>Book Accumulated Depreciation - Plant and Net Salvage</t>
  </si>
  <si>
    <t>Accumulated Depreciation - Plant and Net Salvage</t>
  </si>
  <si>
    <t>Adjusted Retail Revenue</t>
  </si>
  <si>
    <t>Adjusted Retail Income Before Taxes</t>
  </si>
  <si>
    <t>Adjusted Retail Taxable State Income</t>
  </si>
  <si>
    <t>Adjusted Retail Current State Tax Expense</t>
  </si>
  <si>
    <t>Adjusted Retail Taxable Federal Income</t>
  </si>
  <si>
    <t>MACRS</t>
  </si>
  <si>
    <t>3  YR MACRS</t>
  </si>
  <si>
    <t>5  YR MACRS</t>
  </si>
  <si>
    <t>7  YR MACRS</t>
  </si>
  <si>
    <t>10  YR MACRS</t>
  </si>
  <si>
    <t>15  YR MACRS</t>
  </si>
  <si>
    <t>20  YR MACRS</t>
  </si>
  <si>
    <t>Book Depreciation Rate (includes net salvage)</t>
  </si>
  <si>
    <t>Net Salvage (current dollars)</t>
  </si>
  <si>
    <t>Net Salvage (retirement year dollars)</t>
  </si>
  <si>
    <t>Inflation Rate</t>
  </si>
  <si>
    <t>Depreciation</t>
  </si>
  <si>
    <t>Salvage &amp; Decommissioning</t>
  </si>
  <si>
    <t>Resiliency &amp; Integration</t>
  </si>
  <si>
    <t>Project Summary</t>
  </si>
  <si>
    <t>Current Year</t>
  </si>
  <si>
    <t xml:space="preserve">Other Inputs Used </t>
  </si>
  <si>
    <t>KPCO</t>
  </si>
  <si>
    <t>KY</t>
  </si>
  <si>
    <t>KENTUCKY POWER COMPANY</t>
  </si>
  <si>
    <t>COST OF CAPITAL</t>
  </si>
  <si>
    <t>TEST YEAR ENDED MARCH 31, 2023</t>
  </si>
  <si>
    <t>Reapportioned</t>
  </si>
  <si>
    <t>Annual</t>
  </si>
  <si>
    <t>Pre-Tax Weighted</t>
  </si>
  <si>
    <t>Kentucky</t>
  </si>
  <si>
    <t>Percentage</t>
  </si>
  <si>
    <t>Cost</t>
  </si>
  <si>
    <t>Jurisdictional</t>
  </si>
  <si>
    <t>of</t>
  </si>
  <si>
    <t>No.</t>
  </si>
  <si>
    <t>Percent</t>
  </si>
  <si>
    <t>Gross-up</t>
  </si>
  <si>
    <t>(4)</t>
  </si>
  <si>
    <t>(5)</t>
  </si>
  <si>
    <t>(6) = (4) X (5)</t>
  </si>
  <si>
    <t>(8) = (6) X (7)</t>
  </si>
  <si>
    <t>Long Term Debt</t>
  </si>
  <si>
    <t>Short Term Debt</t>
  </si>
  <si>
    <t>Common Equity</t>
  </si>
  <si>
    <t>-------------------</t>
  </si>
  <si>
    <t>(2)</t>
  </si>
  <si>
    <t>(3)</t>
  </si>
  <si>
    <t>Energy</t>
  </si>
  <si>
    <t>COMPUTATION OF THE GROSS REVENUE</t>
  </si>
  <si>
    <t>CONVERSION FACTOR</t>
  </si>
  <si>
    <t>Line       No.</t>
  </si>
  <si>
    <t xml:space="preserve">Percent of                  Incremental                          Gross Revenues </t>
  </si>
  <si>
    <t>Operating Revenues</t>
  </si>
  <si>
    <t>Less: Uncollectible Accounts Expense   1/</t>
  </si>
  <si>
    <t>KPSC Maintenance Fee</t>
  </si>
  <si>
    <t>---------------------</t>
  </si>
  <si>
    <t>Income Before income Taxes</t>
  </si>
  <si>
    <t>Less: State Income Taxes (L4 X 5.8742%)   2/</t>
  </si>
  <si>
    <t>Income Before Federal Income Taxes</t>
  </si>
  <si>
    <t>Less: Federal income Taxes (L6 X 35.00%)</t>
  </si>
  <si>
    <t>Operating Income Percentage</t>
  </si>
  <si>
    <t>Gross Revenue Conversion Factor (100% / L8)</t>
  </si>
  <si>
    <t>FULLY ADJUSTED BASE CASE SUMMARY</t>
  </si>
  <si>
    <t>LINE       NO.</t>
  </si>
  <si>
    <t>DESCRIPTION</t>
  </si>
  <si>
    <t>FACTOR</t>
  </si>
  <si>
    <t>RETAIL</t>
  </si>
  <si>
    <t>SOURCE</t>
  </si>
  <si>
    <t>Production Demand</t>
  </si>
  <si>
    <t>PDAF</t>
  </si>
  <si>
    <t>Sch 9</t>
  </si>
  <si>
    <t>Transmission Demand</t>
  </si>
  <si>
    <t>TDAF</t>
  </si>
  <si>
    <t>EAF</t>
  </si>
  <si>
    <t>Sch 10</t>
  </si>
  <si>
    <t>Gross Plant Transmission</t>
  </si>
  <si>
    <t>GP-TRANS</t>
  </si>
  <si>
    <t>Sch 4, Line 167</t>
  </si>
  <si>
    <t>Gross Plant Distribution</t>
  </si>
  <si>
    <t>GP-DIST</t>
  </si>
  <si>
    <t>Sch 4, Line 169</t>
  </si>
  <si>
    <t>Gross Plant - T&amp;D</t>
  </si>
  <si>
    <t>GP-T&amp;D</t>
  </si>
  <si>
    <t>Sch 4, Line 171</t>
  </si>
  <si>
    <t>Gross Plant - PTD</t>
  </si>
  <si>
    <t>GP-PTD</t>
  </si>
  <si>
    <t>Sch 4, Line 175</t>
  </si>
  <si>
    <t>Gross Plant - Total</t>
  </si>
  <si>
    <t>GP-TOT</t>
  </si>
  <si>
    <t>Sch 4, Line 173</t>
  </si>
  <si>
    <t>Net Plant</t>
  </si>
  <si>
    <t>NP</t>
  </si>
  <si>
    <t>Sch 4, Line 39</t>
  </si>
  <si>
    <t>O&amp;M Expense</t>
  </si>
  <si>
    <t>Sch 4, Line 423</t>
  </si>
  <si>
    <t>O&amp;M Labor</t>
  </si>
  <si>
    <t>OML</t>
  </si>
  <si>
    <t>Sch 4, Line 425</t>
  </si>
  <si>
    <t>Operating Revenue</t>
  </si>
  <si>
    <t>OP-REV</t>
  </si>
  <si>
    <t>Sch 4, Line 287</t>
  </si>
  <si>
    <t>SPECIFIC</t>
  </si>
  <si>
    <t>N/A</t>
  </si>
  <si>
    <t>Customers</t>
  </si>
  <si>
    <t>CUST.</t>
  </si>
  <si>
    <t>A&amp;G</t>
  </si>
  <si>
    <t>Schedules 6, 9 and 10</t>
  </si>
  <si>
    <t>PDAF/EAF</t>
  </si>
  <si>
    <t>Schedules 9 and 10</t>
  </si>
  <si>
    <t>Jurisdictional Allocation Factor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</si>
  <si>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</si>
  <si>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</si>
  <si>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</si>
  <si>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</si>
  <si>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</si>
  <si>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</si>
  <si>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</si>
  <si>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</si>
  <si>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</si>
  <si>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</si>
  <si>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</si>
  <si>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</si>
  <si>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</si>
  <si>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</si>
  <si>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ML 1 GWh</t>
  </si>
  <si>
    <t>ML 1 MWh</t>
  </si>
  <si>
    <t>ML 2 GWh</t>
  </si>
  <si>
    <t>ML 2 MWh</t>
  </si>
  <si>
    <t>ML1 Total Variable Cost</t>
  </si>
  <si>
    <t>ML2 Total Variable Cost</t>
  </si>
  <si>
    <t>ML1 Energy Revenue</t>
  </si>
  <si>
    <t>ML2 Energy Revenue</t>
  </si>
  <si>
    <t>MWh of Generation</t>
  </si>
  <si>
    <t>Energy Margins</t>
  </si>
  <si>
    <t>Net Revenue Requirement</t>
  </si>
  <si>
    <t>ML</t>
  </si>
  <si>
    <t>Regulated Generation Cost of Service</t>
  </si>
  <si>
    <t>WV B&amp;O Tax</t>
  </si>
  <si>
    <t>Mitchell 1</t>
  </si>
  <si>
    <t>Mitchell 2</t>
  </si>
  <si>
    <t>Coal</t>
  </si>
  <si>
    <t>Generation (GWh)</t>
  </si>
  <si>
    <t>Revenue ($000)</t>
  </si>
  <si>
    <t>Total Generation Cost ($000)</t>
  </si>
  <si>
    <t>Net Energy Margins ($000)</t>
  </si>
  <si>
    <t>Amortization of WPCO Return on Catch Up</t>
  </si>
  <si>
    <t>From Exhibit LMS 4</t>
  </si>
  <si>
    <t>3+9 NEC Forecast - KPCO Share of Mitchell Plant Dispatch Analysis</t>
  </si>
  <si>
    <t>Last approved base case</t>
  </si>
  <si>
    <t>Current Allocation post Olive Hill and Vanceburg Contract End</t>
  </si>
  <si>
    <t>Current assumed retirement date of the plant is 2040</t>
  </si>
  <si>
    <t>Confirmed by Tax for steam plant investments</t>
  </si>
  <si>
    <t>Mitchell Rate Base Calucations</t>
  </si>
  <si>
    <t>2029 NBV Starting Point tab of AEV workpaper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</si>
</sst>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&quot;$&quot;#,##0\ ;\(&quot;$&quot;#,##0\)"/>
    <numFmt numFmtId="168" formatCode="_(* #,##0.0,_);_(* \(#,##0.0,\);_(* &quot;-   &quot;_);_(@_)"/>
    <numFmt numFmtId="169" formatCode="0.000000"/>
    <numFmt numFmtId="170" formatCode="General_)"/>
    <numFmt numFmtId="171" formatCode="_(&quot;$&quot;* #,##0_);_(&quot;$&quot;* \(#,##0\);_(&quot;$&quot;* &quot;-&quot;??_);_(@_)"/>
    <numFmt numFmtId="172" formatCode="_(* #,##0.0_);_(* \(#,##0.0\);&quot;&quot;;_(@_)"/>
    <numFmt numFmtId="173" formatCode="[Blue]#,##0,_);[Red]\(#,##0,\)"/>
    <numFmt numFmtId="174" formatCode="0.0%"/>
    <numFmt numFmtId="175" formatCode="_(* #,##0.000_);_(* \(#,##0.000\);_(* &quot;-&quot;??_);_(@_)"/>
    <numFmt numFmtId="176" formatCode="#,##0.000"/>
    <numFmt numFmtId="177" formatCode="#,##0.0_);\(#,##0.0\)"/>
    <numFmt numFmtId="178" formatCode="&quot;$&quot;#,##0.0_);[Red]\(&quot;$&quot;#,##0.0\)"/>
    <numFmt numFmtId="179" formatCode="_(&quot;$&quot;* #,##0.000_);_(&quot;$&quot;* \(#,##0.000\);_(&quot;$&quot;* &quot;-&quot;??_);_(@_)"/>
    <numFmt numFmtId="180" formatCode="&quot;$&quot;#,##0.00;[Red]\-&quot;$&quot;#,##0.00"/>
    <numFmt numFmtId="181" formatCode="&quot;$&quot;\ \ #,##0_);[Red]\(&quot;$&quot;\ \ #,##0\)"/>
    <numFmt numFmtId="182" formatCode="#,##0_);[Red]\(#,##0\);\-"/>
    <numFmt numFmtId="183" formatCode="#,##0.00000___;"/>
    <numFmt numFmtId="184" formatCode="&quot;$&quot;#,##0.00;\-&quot;$&quot;#,##0.00"/>
    <numFmt numFmtId="185" formatCode="0.0_%;\(0.0\)%;\ \-\ \ \ "/>
    <numFmt numFmtId="186" formatCode="#,###.000000_);\(#,##0.000000\);\ \-\ _ "/>
    <numFmt numFmtId="187" formatCode="&quot;$&quot;\ \ #,##0.0_);[Red]\(&quot;$&quot;\ \ #,##0.0\)"/>
    <numFmt numFmtId="188" formatCode="&quot;$&quot;\ \ #,##0.00_);[Red]\(&quot;$&quot;\ \ #,##0.00\)"/>
    <numFmt numFmtId="189" formatCode="#,##0_);\(#,##0\);_ \-\ \ "/>
    <numFmt numFmtId="190" formatCode="&quot;$&quot;#,##0;[Red]\-&quot;$&quot;#,##0"/>
    <numFmt numFmtId="191" formatCode="#,##0___);\(#,##0\);___-\ \ "/>
    <numFmt numFmtId="192" formatCode="&quot;$&quot;_(#,##0.00_);&quot;$&quot;\(#,##0.00\)"/>
    <numFmt numFmtId="193" formatCode="\_x0000_\_x0000_0.0000"/>
    <numFmt numFmtId="194" formatCode="#,##0.0_)\x;\(#,##0.0\)\x"/>
    <numFmt numFmtId="195" formatCode="0.E+00"/>
    <numFmt numFmtId="196" formatCode="#,##0.0_)_x;\(#,##0.0\)_x"/>
    <numFmt numFmtId="197" formatCode="0.0.E+00"/>
    <numFmt numFmtId="198" formatCode="0.0_)\%;\(0.0\)\%"/>
    <numFmt numFmtId="199" formatCode="&quot;$&quot;#,##0.0_);\(&quot;$&quot;#,##0.0\)"/>
    <numFmt numFmtId="200" formatCode="#,##0.0_)_%;\(#,##0.0\)_%"/>
    <numFmt numFmtId="201" formatCode="yyyy"/>
    <numFmt numFmtId="202" formatCode="_(* #,##0.0_);_(* \(#,##0.0\);_(* &quot;-&quot;????_);_(@_)"/>
    <numFmt numFmtId="203" formatCode="#,##0_);\(#,##0\);&quot;-  &quot;;&quot;  &quot;@"/>
    <numFmt numFmtId="204" formatCode="0.0000_)"/>
    <numFmt numFmtId="205" formatCode="_(* #,##0_);_(* \(#,##0\);_(* &quot;-&quot;\ \ _);@"/>
    <numFmt numFmtId="206" formatCode="#."/>
    <numFmt numFmtId="207" formatCode="mmm\-d\-yyyy"/>
    <numFmt numFmtId="208" formatCode="#,##0.0_);[Red]\(#,##0.0\)"/>
    <numFmt numFmtId="209" formatCode="mmm\-yyyy"/>
    <numFmt numFmtId="210" formatCode="m/d"/>
    <numFmt numFmtId="211" formatCode="dd\ mmm\ yyyy_);;;&quot;  &quot;@"/>
    <numFmt numFmtId="212" formatCode="mmm/yyyy_);;&quot;-  &quot;;&quot;  &quot;@"/>
    <numFmt numFmtId="213" formatCode="mmm\ d\,\ yyyy"/>
    <numFmt numFmtId="214" formatCode="_-* #,##0_-;\-* #,##0_-;_-* &quot;-&quot;_-;_-@_-"/>
    <numFmt numFmtId="215" formatCode="_-* #,##0.00_-;\-* #,##0.00_-;_-* &quot;-&quot;??_-;_-@_-"/>
    <numFmt numFmtId="216" formatCode="_([$€-2]* #,##0.00_);_([$€-2]* \(#,##0.00\);_([$€-2]* &quot;-&quot;??_)"/>
    <numFmt numFmtId="217" formatCode="#,##0.0000_);\(#,##0.0000\);&quot;-  &quot;;&quot;  &quot;@"/>
    <numFmt numFmtId="218" formatCode="###0_);\(###0\)"/>
    <numFmt numFmtId="219" formatCode="#,##0_);\(#,##0\);&quot;-  &quot;"/>
    <numFmt numFmtId="220" formatCode="_(* #,##0_);_(* \(#,##0\);_(* &quot;-&quot;\ \ _);@\ &quot; (HHV)&quot;"/>
    <numFmt numFmtId="221" formatCode="#,##0%_);\(#,##0%\)"/>
    <numFmt numFmtId="222" formatCode="#,##0.0\x_);\(#,##0.0\x\);#,##0.0\x_);@_)"/>
    <numFmt numFmtId="223" formatCode="#,##0.0_);[Red]\(#,##0.0\);&quot;N/A &quot;"/>
    <numFmt numFmtId="224" formatCode="0.00_)"/>
    <numFmt numFmtId="225" formatCode="#,##0.000_);[Red]\(#,##0.000\)"/>
    <numFmt numFmtId="226" formatCode="#,##0.0_)\ \ ;[Red]\(#,##0.0\)\ \ "/>
    <numFmt numFmtId="227" formatCode="0.0%&quot;NetPPE/sales&quot;"/>
    <numFmt numFmtId="228" formatCode="0.0%&quot;NWI/Sls&quot;"/>
    <numFmt numFmtId="229" formatCode="0%;[Red]\(0%\)"/>
    <numFmt numFmtId="230" formatCode="0.0%;[Red]\(0.0%\)"/>
    <numFmt numFmtId="231" formatCode="0.00%;[Red]\(0.00%\)"/>
    <numFmt numFmtId="232" formatCode="#,##0.0\%_);\(#,##0.0\%\);#,##0.0\%_);@_)"/>
    <numFmt numFmtId="233" formatCode="0.0%&quot;Sales&quot;"/>
    <numFmt numFmtId="234" formatCode="&quot;TFCF: &quot;#,##0_);[Red]&quot;No! &quot;\(#,##0\)"/>
    <numFmt numFmtId="235" formatCode="_(&quot;$&quot;* #,##0.00_);_(&quot;$&quot;* \(#,##0.00\);_(&quot;$&quot;* &quot;-&quot;????_);_(@_)"/>
    <numFmt numFmtId="236" formatCode="_(* #,##0.0_);_(* \(#,##0.0\);_(* &quot;-&quot;??_);_(@_)"/>
    <numFmt numFmtId="237" formatCode="0_)"/>
    <numFmt numFmtId="238" formatCode="0.0"/>
    <numFmt numFmtId="239" formatCode="0.0&quot;%&quot;_;\(0.0\)&quot;%&quot;"/>
    <numFmt numFmtId="240" formatCode="0.0&quot;%&quot;;\(0.0\)&quot;%&quot;"/>
    <numFmt numFmtId="241" formatCode="0.0_);\(0.0\)"/>
    <numFmt numFmtId="242" formatCode="\£\ #,##0_);[Red]\(\£\ #,##0\)"/>
    <numFmt numFmtId="243" formatCode="\¥\ #,##0_);[Red]\(\¥\ #,##0\)"/>
    <numFmt numFmtId="244" formatCode="#,##0;\(#,##0\)"/>
    <numFmt numFmtId="245" formatCode="&quot;$&quot;#,##0_);[Red]\(&quot;$&quot;#,##0\);&quot;-&quot;"/>
    <numFmt numFmtId="246" formatCode="#,##0.00_);\(#,##0.00\);&quot;-&quot;_);@_)"/>
    <numFmt numFmtId="247" formatCode="\•\ \ @"/>
    <numFmt numFmtId="248" formatCode=";;;"/>
    <numFmt numFmtId="249" formatCode="#,##0.0_);\(#,##0.0\);&quot;-&quot;_);@_)"/>
    <numFmt numFmtId="250" formatCode="0.000_)"/>
    <numFmt numFmtId="251" formatCode="#,##0.000\p_);\(#,##0.000\)"/>
    <numFmt numFmtId="252" formatCode="&quot;$&quot;#,##0.0;[Red]\(&quot;$&quot;#,##0.0\)"/>
    <numFmt numFmtId="253" formatCode="\ \ _•\–\ \ \ \ @"/>
    <numFmt numFmtId="254" formatCode="m/d/yyyy;;\-"/>
    <numFmt numFmtId="255" formatCode="_-&quot;R&quot;* #,##0_-;\-&quot;R&quot;* #,##0_-;_-&quot;R&quot;* &quot;-&quot;_-;_-@_-"/>
    <numFmt numFmtId="256" formatCode="_-* #,##0.00\ &quot;€&quot;_-;\-* #,##0.00\ &quot;€&quot;_-;_-* &quot;-&quot;??\ &quot;€&quot;_-;_-@_-"/>
    <numFmt numFmtId="257" formatCode="#,##0.0;[Red]\(#,##0.0\)"/>
    <numFmt numFmtId="258" formatCode="\(0\)"/>
    <numFmt numFmtId="259" formatCode="#,###,##0.00;\(#,###,##0.00\)"/>
    <numFmt numFmtId="260" formatCode="&quot;$&quot;#,###,##0.00;\(&quot;$&quot;#,###,##0.00\)"/>
    <numFmt numFmtId="261" formatCode="#,##0.00%;\(#,##0.00%\)"/>
    <numFmt numFmtId="262" formatCode="mmmm\ d\,\ yyyy"/>
    <numFmt numFmtId="263" formatCode="###0"/>
    <numFmt numFmtId="264" formatCode="_-* #,##0_-;\-* #,##0_-;_-* &quot;-&quot;??_-;_-@_-"/>
    <numFmt numFmtId="265" formatCode="0.00%_);\(0.00%\);&quot;-&quot;_%_)"/>
    <numFmt numFmtId="266" formatCode="[Red]#,##0.0_);\(#,##0.0\);&quot;-&quot;_);@_)"/>
    <numFmt numFmtId="267" formatCode="#,##0;[Red]\(#,##0\)"/>
    <numFmt numFmtId="268" formatCode="#,##0\ \ \ "/>
    <numFmt numFmtId="269" formatCode="_ * #,##0_)_ _F_ ;_ * \(#,##0\)_ _F_ ;_ * &quot;-&quot;_)_ _F_ ;_ @_ "/>
    <numFmt numFmtId="270" formatCode="_ * #,##0.00_)_ _F_ ;_ * \(#,##0.00\)_ _F_ ;_ * &quot;-&quot;??_)_ _F_ ;_ @_ "/>
    <numFmt numFmtId="271" formatCode="0.0,&quot;k&quot;"/>
    <numFmt numFmtId="272" formatCode="0.0\x"/>
    <numFmt numFmtId="273" formatCode="0.00\x"/>
    <numFmt numFmtId="274" formatCode="_ * #,##0_ ;_ * \-#,##0_ ;_ * &quot;-&quot;_ ;_ @_ "/>
    <numFmt numFmtId="275" formatCode="_ * #,##0.00_ ;_ * \-#,##0.00_ ;_ * &quot;-&quot;??_ ;_ @_ "/>
    <numFmt numFmtId="276" formatCode="0.00,,&quot;M&quot;"/>
    <numFmt numFmtId="277" formatCode="_ &quot;£&quot;* #,##0.00_ ;_ &quot;£&quot;* \-#,##0.00_ ;_ &quot;£&quot;* &quot;-&quot;??_ ;_ @_ "/>
    <numFmt numFmtId="278" formatCode="0.0%_);\(0.0%\);&quot;-&quot;_%_)"/>
    <numFmt numFmtId="279" formatCode="&quot;£&quot;#,##0_);[Red]\(&quot;£&quot;#,##0\)"/>
    <numFmt numFmtId="280" formatCode="#0.0\x"/>
    <numFmt numFmtId="281" formatCode="0.00000%;\(0.00000%\);0%"/>
    <numFmt numFmtId="282" formatCode="0.00%;\(0.00%\)"/>
    <numFmt numFmtId="283" formatCode="_(* #,##0_);_(* \(#,##0\);_(* &quot;-&quot;_)"/>
    <numFmt numFmtId="284" formatCode="m/d/yy\ h:mm:ss"/>
    <numFmt numFmtId="285" formatCode="#,##0_);\(#,##0\);&quot;- &quot;"/>
    <numFmt numFmtId="286" formatCode="0.00\ \x"/>
    <numFmt numFmtId="287" formatCode="#,##0.0;\(#,##0.0\);&quot;- &quot;"/>
    <numFmt numFmtId="288" formatCode="#,##0.0_);\(#,##0.0\);&quot;- &quot;"/>
    <numFmt numFmtId="289" formatCode="#,##0_);\(#,##0\);&quot;- &quot;;&quot;  &quot;@"/>
    <numFmt numFmtId="290" formatCode="_-&quot;L.&quot;\ * #,##0_-;\-&quot;L.&quot;\ * #,##0_-;_-&quot;L.&quot;\ * &quot;-&quot;_-;_-@_-"/>
    <numFmt numFmtId="291" formatCode="_ * #,##0_)&quot; F&quot;_ ;_ * \(#,##0\)&quot; F&quot;_ ;_ * &quot;-&quot;_)&quot; F&quot;_ ;_ @_ "/>
    <numFmt numFmtId="292" formatCode="0.000%;\(0.000%\);0%"/>
    <numFmt numFmtId="293" formatCode="0.0_)"/>
    <numFmt numFmtId="294" formatCode="[$-409]d\-mmm\-yy;@"/>
    <numFmt numFmtId="295" formatCode="#,##0_);\(#,##0\);&quot;-  &quot;;&quot; &quot;@&quot; &quot;"/>
    <numFmt numFmtId="296" formatCode="0.0%_);\(0.0%\);&quot;-&quot;;@_)"/>
    <numFmt numFmtId="297" formatCode="###0_);\(###0\);&quot;-&quot;_);@_)"/>
    <numFmt numFmtId="298" formatCode="#,##0_);\(#,##0\);&quot;-&quot;_);@_)"/>
    <numFmt numFmtId="299" formatCode="0.000"/>
    <numFmt numFmtId="300" formatCode="#,##0.00000_);[Red]\(#,##0.00000\)"/>
    <numFmt numFmtId="301" formatCode="_(* #,##0.00000_);_(* \(#,##0.00000\);_(* &quot;-&quot;??_);_(@_)"/>
    <numFmt numFmtId="302" formatCode="0.0000"/>
    <numFmt numFmtId="303" formatCode="0.00000000_);\(0.00000000\)"/>
    <numFmt numFmtId="304" formatCode="#,##0.000_);\(#,##0.000\)"/>
    <numFmt numFmtId="305" formatCode="#,##0.0000_);\(#,##0.0000\)"/>
  </numFmts>
  <fonts count="3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b/>
      <sz val="11"/>
      <color indexed="52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color indexed="22"/>
      <name val="Arial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sz val="10"/>
      <name val="Helv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11"/>
      <color indexed="53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12"/>
      <color indexed="12"/>
      <name val="Arial"/>
      <family val="2"/>
    </font>
    <font>
      <sz val="10"/>
      <color indexed="62"/>
      <name val="Arial"/>
      <family val="2"/>
    </font>
    <font>
      <sz val="8"/>
      <color indexed="4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b/>
      <sz val="8"/>
      <color indexed="10"/>
      <name val="Arial"/>
      <family val="2"/>
    </font>
    <font>
      <u val="singleAccounting"/>
      <sz val="10"/>
      <name val="Arial"/>
      <family val="2"/>
    </font>
    <font>
      <b/>
      <sz val="9"/>
      <color indexed="8"/>
      <name val="Arial"/>
      <family val="2"/>
    </font>
    <font>
      <b/>
      <sz val="18"/>
      <name val="Arial"/>
      <family val="2"/>
    </font>
    <font>
      <u/>
      <sz val="9"/>
      <name val="Arial"/>
      <family val="2"/>
    </font>
    <font>
      <sz val="9"/>
      <color indexed="8"/>
      <name val="Arial"/>
      <family val="2"/>
    </font>
    <font>
      <sz val="12"/>
      <name val="???"/>
      <family val="1"/>
      <charset val="129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1"/>
      <name val="___"/>
      <family val="1"/>
      <charset val="129"/>
    </font>
    <font>
      <sz val="11"/>
      <name val="___"/>
      <family val="3"/>
      <charset val="129"/>
    </font>
    <font>
      <b/>
      <sz val="10"/>
      <name val="Garamond"/>
      <family val="1"/>
    </font>
    <font>
      <sz val="10"/>
      <name val="Tms Rmn"/>
    </font>
    <font>
      <sz val="11"/>
      <color indexed="9"/>
      <name val="Calibri"/>
      <family val="2"/>
    </font>
    <font>
      <sz val="10"/>
      <color indexed="12"/>
      <name val="Arial"/>
      <family val="2"/>
    </font>
    <font>
      <sz val="9"/>
      <name val="Helv"/>
    </font>
    <font>
      <sz val="8"/>
      <name val="Times New Roman"/>
      <family val="1"/>
    </font>
    <font>
      <b/>
      <sz val="11"/>
      <color indexed="9"/>
      <name val="Calibri"/>
      <family val="2"/>
    </font>
    <font>
      <sz val="8"/>
      <name val="Palatino"/>
      <family val="1"/>
    </font>
    <font>
      <u/>
      <sz val="10"/>
      <name val="Arial"/>
      <family val="2"/>
    </font>
    <font>
      <b/>
      <sz val="12"/>
      <color indexed="9"/>
      <name val="Arial"/>
      <family val="2"/>
    </font>
    <font>
      <sz val="1"/>
      <color indexed="16"/>
      <name val="Courier"/>
      <family val="3"/>
    </font>
    <font>
      <sz val="8"/>
      <color indexed="12"/>
      <name val="Arial"/>
      <family val="2"/>
    </font>
    <font>
      <sz val="8"/>
      <name val="Helvetica-Narrow"/>
      <family val="2"/>
    </font>
    <font>
      <b/>
      <sz val="11"/>
      <name val="Optimum"/>
    </font>
    <font>
      <b/>
      <sz val="12"/>
      <name val="MS Sans Serif"/>
      <family val="2"/>
    </font>
    <font>
      <b/>
      <sz val="9"/>
      <color indexed="12"/>
      <name val="Arial"/>
      <family val="2"/>
    </font>
    <font>
      <b/>
      <i/>
      <sz val="10"/>
      <name val="Arial"/>
      <family val="2"/>
    </font>
    <font>
      <b/>
      <u/>
      <sz val="11"/>
      <color indexed="37"/>
      <name val="Arial"/>
      <family val="2"/>
    </font>
    <font>
      <i/>
      <sz val="14"/>
      <name val="Palatino"/>
      <family val="1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7"/>
      <name val="Small Fonts"/>
      <family val="2"/>
    </font>
    <font>
      <b/>
      <i/>
      <sz val="16"/>
      <name val="Helv"/>
    </font>
    <font>
      <sz val="10"/>
      <name val="Palatino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4"/>
      <name val="B Times Bold"/>
    </font>
    <font>
      <sz val="10"/>
      <color indexed="18"/>
      <name val="Arial"/>
      <family val="2"/>
    </font>
    <font>
      <sz val="8"/>
      <color indexed="10"/>
      <name val="Arial"/>
      <family val="2"/>
    </font>
    <font>
      <sz val="9.5"/>
      <color indexed="23"/>
      <name val="Helvetica-Black"/>
    </font>
    <font>
      <u/>
      <sz val="12"/>
      <name val="B Times Bold"/>
    </font>
    <font>
      <u/>
      <sz val="10"/>
      <name val="B Times Bold"/>
    </font>
    <font>
      <sz val="10"/>
      <name val="Times New Roman"/>
      <family val="1"/>
    </font>
    <font>
      <b/>
      <sz val="12"/>
      <name val="Arial Narrow"/>
      <family val="2"/>
    </font>
    <font>
      <sz val="12"/>
      <color indexed="17"/>
      <name val="SWISS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u/>
      <sz val="8"/>
      <color indexed="8"/>
      <name val="Arial"/>
      <family val="2"/>
    </font>
    <font>
      <sz val="10"/>
      <name val="Arial Narrow"/>
      <family val="2"/>
    </font>
    <font>
      <b/>
      <i/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sz val="12"/>
      <color indexed="8"/>
      <name val="Times New Roman"/>
      <family val="1"/>
    </font>
    <font>
      <sz val="12"/>
      <color indexed="12"/>
      <name val="Times New Roman"/>
      <family val="1"/>
    </font>
    <font>
      <sz val="12"/>
      <name val="Times New Roman"/>
      <family val="1"/>
    </font>
    <font>
      <b/>
      <sz val="11"/>
      <name val="Book Antiqua"/>
      <family val="1"/>
    </font>
    <font>
      <sz val="11"/>
      <name val="Times New Roman"/>
      <family val="1"/>
    </font>
    <font>
      <sz val="10"/>
      <name val="Univers (WN)"/>
      <family val="2"/>
    </font>
    <font>
      <sz val="8"/>
      <name val="Tahoma"/>
      <family val="2"/>
    </font>
    <font>
      <sz val="10"/>
      <color indexed="10"/>
      <name val="Times New Roman"/>
      <family val="1"/>
    </font>
    <font>
      <b/>
      <sz val="12"/>
      <name val="Times New Roman"/>
      <family val="1"/>
    </font>
    <font>
      <sz val="10"/>
      <color indexed="8"/>
      <name val="Book Antiqua"/>
      <family val="1"/>
    </font>
    <font>
      <sz val="8"/>
      <color indexed="12"/>
      <name val="Tms Rmn"/>
    </font>
    <font>
      <sz val="9"/>
      <color indexed="12"/>
      <name val="Arial"/>
      <family val="2"/>
    </font>
    <font>
      <sz val="8"/>
      <name val="Verdana"/>
      <family val="2"/>
    </font>
    <font>
      <i/>
      <sz val="8"/>
      <name val="Arial"/>
      <family val="2"/>
    </font>
    <font>
      <b/>
      <sz val="10"/>
      <color indexed="8"/>
      <name val="Times New Roman"/>
      <family val="1"/>
    </font>
    <font>
      <b/>
      <i/>
      <u/>
      <sz val="9"/>
      <name val="Arial"/>
      <family val="2"/>
    </font>
    <font>
      <sz val="8"/>
      <name val="Tms Rmn"/>
    </font>
    <font>
      <sz val="10"/>
      <color indexed="18"/>
      <name val="Times New Roman"/>
      <family val="1"/>
    </font>
    <font>
      <sz val="11"/>
      <name val="Tms Rmn"/>
      <family val="1"/>
    </font>
    <font>
      <sz val="11"/>
      <name val="Book Antiqua"/>
      <family val="1"/>
    </font>
    <font>
      <b/>
      <sz val="11"/>
      <name val="Times New Roman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2"/>
      <color indexed="8"/>
      <name val="Book Antiqua"/>
      <family val="1"/>
    </font>
    <font>
      <u val="doubleAccounting"/>
      <sz val="10"/>
      <name val="Arial"/>
      <family val="2"/>
    </font>
    <font>
      <i/>
      <sz val="10"/>
      <color indexed="12"/>
      <name val="Times New Roman"/>
      <family val="1"/>
    </font>
    <font>
      <i/>
      <sz val="10"/>
      <color indexed="10"/>
      <name val="Times New Roman"/>
      <family val="1"/>
    </font>
    <font>
      <sz val="6"/>
      <color indexed="23"/>
      <name val="Helvetica-Black"/>
    </font>
    <font>
      <sz val="7"/>
      <name val="Palatino"/>
      <family val="1"/>
    </font>
    <font>
      <i/>
      <sz val="10"/>
      <color indexed="0"/>
      <name val="Arial"/>
      <family val="2"/>
    </font>
    <font>
      <sz val="10"/>
      <color indexed="17"/>
      <name val="Arial"/>
      <family val="2"/>
    </font>
    <font>
      <sz val="12"/>
      <color indexed="9"/>
      <name val="Times New Roman"/>
      <family val="1"/>
    </font>
    <font>
      <sz val="24"/>
      <color indexed="8"/>
      <name val="TimesNewRomanPS"/>
    </font>
    <font>
      <sz val="18"/>
      <color indexed="8"/>
      <name val="Times New Roman"/>
      <family val="1"/>
    </font>
    <font>
      <sz val="6"/>
      <name val="Palatino"/>
      <family val="1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sz val="10"/>
      <name val="Helvetica-Black"/>
    </font>
    <font>
      <sz val="28"/>
      <name val="Helvetica-Black"/>
    </font>
    <font>
      <sz val="18"/>
      <name val="Palatino"/>
      <family val="1"/>
    </font>
    <font>
      <sz val="24"/>
      <color indexed="8"/>
      <name val="Times New Roman"/>
      <family val="1"/>
    </font>
    <font>
      <sz val="8"/>
      <color indexed="12"/>
      <name val="Helvetica"/>
      <family val="2"/>
    </font>
    <font>
      <b/>
      <sz val="24"/>
      <name val="Times New Roman"/>
      <family val="1"/>
    </font>
    <font>
      <sz val="14"/>
      <name val="Times New Roman"/>
      <family val="1"/>
    </font>
    <font>
      <i/>
      <sz val="9"/>
      <name val="Times New Roman"/>
      <family val="1"/>
    </font>
    <font>
      <sz val="8"/>
      <color indexed="8"/>
      <name val="Helvetica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b/>
      <i/>
      <sz val="9"/>
      <color indexed="17"/>
      <name val="Arial"/>
      <family val="2"/>
    </font>
    <font>
      <i/>
      <sz val="8.5"/>
      <name val="Letter Gothic"/>
      <family val="3"/>
    </font>
    <font>
      <b/>
      <i/>
      <sz val="10"/>
      <name val="Times New Roman"/>
      <family val="1"/>
    </font>
    <font>
      <sz val="10"/>
      <name val="Geneva"/>
    </font>
    <font>
      <sz val="8"/>
      <color indexed="10"/>
      <name val="Helv"/>
    </font>
    <font>
      <sz val="10"/>
      <name val="Courier New"/>
      <family val="3"/>
    </font>
    <font>
      <sz val="9"/>
      <color indexed="10"/>
      <name val="Arial"/>
      <family val="2"/>
    </font>
    <font>
      <sz val="24"/>
      <color indexed="9"/>
      <name val="Times New Roman"/>
      <family val="1"/>
    </font>
    <font>
      <sz val="18"/>
      <color indexed="9"/>
      <name val="Times New Roman"/>
      <family val="1"/>
    </font>
    <font>
      <sz val="10"/>
      <color indexed="16"/>
      <name val="MS Sans Serif"/>
      <family val="2"/>
    </font>
    <font>
      <u/>
      <sz val="8"/>
      <name val="Arial"/>
      <family val="2"/>
    </font>
    <font>
      <i/>
      <u/>
      <sz val="8"/>
      <name val="Arial"/>
      <family val="2"/>
    </font>
    <font>
      <sz val="26"/>
      <name val="Times New Roman"/>
      <family val="1"/>
    </font>
    <font>
      <sz val="10"/>
      <name val="SWISS"/>
    </font>
    <font>
      <i/>
      <sz val="10"/>
      <color indexed="16"/>
      <name val="Times New Roman"/>
      <family val="1"/>
    </font>
    <font>
      <b/>
      <sz val="8"/>
      <color indexed="23"/>
      <name val="Verdana"/>
      <family val="2"/>
    </font>
    <font>
      <sz val="8"/>
      <color indexed="22"/>
      <name val="Arial"/>
      <family val="2"/>
    </font>
    <font>
      <sz val="10"/>
      <color indexed="8"/>
      <name val="MS Sans Serif"/>
      <family val="2"/>
    </font>
    <font>
      <sz val="7"/>
      <color indexed="12"/>
      <name val="Arial"/>
      <family val="2"/>
    </font>
    <font>
      <i/>
      <sz val="10"/>
      <name val="Helv"/>
    </font>
    <font>
      <i/>
      <sz val="10"/>
      <name val="Times New Roman"/>
      <family val="1"/>
    </font>
    <font>
      <i/>
      <sz val="12"/>
      <color indexed="8"/>
      <name val="Times New Roman"/>
      <family val="1"/>
    </font>
    <font>
      <i/>
      <sz val="9"/>
      <name val="Book Antiqua"/>
      <family val="1"/>
    </font>
    <font>
      <sz val="12"/>
      <name val="Book Antiqua"/>
      <family val="1"/>
    </font>
    <font>
      <sz val="16"/>
      <color indexed="9"/>
      <name val="Tahoma"/>
      <family val="2"/>
    </font>
    <font>
      <sz val="16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4"/>
      <name val="Arial"/>
      <family val="2"/>
    </font>
    <font>
      <i/>
      <sz val="10"/>
      <name val="Arial"/>
      <family val="2"/>
    </font>
    <font>
      <sz val="18"/>
      <name val="Arial"/>
      <family val="2"/>
    </font>
    <font>
      <sz val="10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2"/>
      <name val="TimesNewRomanPS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sz val="10"/>
      <name val="TimesNewRomanPS"/>
    </font>
    <font>
      <i/>
      <sz val="8"/>
      <name val="Times New Roman"/>
      <family val="1"/>
    </font>
    <font>
      <i/>
      <sz val="10"/>
      <color indexed="8"/>
      <name val="Arial"/>
      <family val="2"/>
    </font>
    <font>
      <b/>
      <sz val="14"/>
      <color indexed="8"/>
      <name val="Arial"/>
      <family val="2"/>
    </font>
    <font>
      <b/>
      <i/>
      <sz val="9"/>
      <color indexed="8"/>
      <name val="Arial"/>
      <family val="2"/>
    </font>
    <font>
      <sz val="12"/>
      <color indexed="8"/>
      <name val="Arial"/>
      <family val="2"/>
    </font>
    <font>
      <b/>
      <sz val="7"/>
      <name val="Arial"/>
      <family val="2"/>
    </font>
    <font>
      <b/>
      <sz val="8"/>
      <color indexed="63"/>
      <name val="Verdana"/>
      <family val="2"/>
    </font>
    <font>
      <sz val="12"/>
      <name val="Palatino"/>
      <family val="1"/>
    </font>
    <font>
      <sz val="11"/>
      <name val="Helvetica-Black"/>
    </font>
    <font>
      <b/>
      <sz val="9"/>
      <color indexed="17"/>
      <name val="Arial"/>
      <family val="2"/>
    </font>
    <font>
      <sz val="12"/>
      <name val="Tms Rmn"/>
      <family val="1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0"/>
      <color rgb="FF00355F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2"/>
      <color theme="1"/>
      <name val="Times New Roman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 Unicode MS"/>
      <family val="2"/>
    </font>
    <font>
      <sz val="10"/>
      <color indexed="8"/>
      <name val="Tahoma"/>
      <family val="2"/>
    </font>
    <font>
      <sz val="10"/>
      <color indexed="9"/>
      <name val="Tahoma"/>
      <family val="2"/>
    </font>
    <font>
      <sz val="10"/>
      <color indexed="20"/>
      <name val="Tahoma"/>
      <family val="2"/>
    </font>
    <font>
      <b/>
      <sz val="10"/>
      <color indexed="52"/>
      <name val="Tahoma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i/>
      <sz val="10"/>
      <color indexed="23"/>
      <name val="Tahoma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sz val="10"/>
      <color indexed="62"/>
      <name val="Tahoma"/>
      <family val="2"/>
    </font>
    <font>
      <sz val="10"/>
      <color indexed="52"/>
      <name val="Tahoma"/>
      <family val="2"/>
    </font>
    <font>
      <sz val="10"/>
      <color indexed="60"/>
      <name val="Tahoma"/>
      <family val="2"/>
    </font>
    <font>
      <sz val="10"/>
      <color indexed="64"/>
      <name val="Arial"/>
      <family val="2"/>
    </font>
    <font>
      <b/>
      <sz val="10"/>
      <color indexed="63"/>
      <name val="Tahoma"/>
      <family val="2"/>
    </font>
    <font>
      <b/>
      <sz val="10"/>
      <color indexed="8"/>
      <name val="Tahoma"/>
      <family val="2"/>
    </font>
    <font>
      <sz val="10"/>
      <color indexed="10"/>
      <name val="Tahoma"/>
      <family val="2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7"/>
      <color rgb="FF707C8A"/>
      <name val="Arial"/>
      <family val="2"/>
    </font>
    <font>
      <b/>
      <sz val="12"/>
      <color theme="0"/>
      <name val="Arial"/>
      <family val="2"/>
    </font>
    <font>
      <b/>
      <sz val="2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sz val="8"/>
      <color rgb="FF0000FF"/>
      <name val="Arial"/>
      <family val="2"/>
    </font>
    <font>
      <sz val="8"/>
      <color rgb="FF008000"/>
      <name val="Arial"/>
      <family val="2"/>
    </font>
    <font>
      <sz val="8"/>
      <color theme="1"/>
      <name val="Arial"/>
      <family val="2"/>
    </font>
    <font>
      <b/>
      <sz val="11"/>
      <color theme="0"/>
      <name val="Book Antiqua"/>
      <family val="1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Lucida Sans"/>
      <family val="2"/>
    </font>
    <font>
      <sz val="12"/>
      <color theme="1"/>
      <name val="Calibri"/>
      <family val="2"/>
      <scheme val="minor"/>
    </font>
    <font>
      <b/>
      <sz val="15"/>
      <color theme="4"/>
      <name val="Calibri"/>
      <family val="2"/>
      <scheme val="minor"/>
    </font>
    <font>
      <b/>
      <sz val="13"/>
      <color theme="7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8"/>
      <color theme="1"/>
      <name val="Arial"/>
      <family val="2"/>
    </font>
    <font>
      <b/>
      <sz val="20"/>
      <color theme="4"/>
      <name val="Cambria"/>
      <family val="1"/>
      <scheme val="major"/>
    </font>
    <font>
      <b/>
      <sz val="8"/>
      <color theme="4"/>
      <name val="Cambria"/>
      <family val="1"/>
      <scheme val="major"/>
    </font>
    <font>
      <b/>
      <sz val="9"/>
      <color theme="7" tint="-0.2499465926084170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theme="4"/>
      <name val="Calibri"/>
      <family val="2"/>
      <scheme val="minor"/>
    </font>
    <font>
      <sz val="6"/>
      <color theme="1"/>
      <name val="Calibri"/>
      <family val="2"/>
      <scheme val="minor"/>
    </font>
    <font>
      <b/>
      <u val="singleAccounting"/>
      <sz val="8"/>
      <color theme="4"/>
      <name val="Calibri"/>
      <family val="2"/>
      <scheme val="minor"/>
    </font>
    <font>
      <sz val="8"/>
      <color theme="4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2"/>
      <color theme="1"/>
      <name val="Calibri"/>
      <family val="2"/>
      <scheme val="minor"/>
    </font>
    <font>
      <sz val="8"/>
      <color theme="4"/>
      <name val="Arial Narrow"/>
      <family val="2"/>
    </font>
    <font>
      <b/>
      <sz val="8"/>
      <color rgb="FFFF0000"/>
      <name val="Arial Narrow"/>
      <family val="2"/>
    </font>
    <font>
      <sz val="18"/>
      <color theme="4"/>
      <name val="Cambria"/>
      <family val="2"/>
      <scheme val="maj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7"/>
      <color indexed="12"/>
      <name val="MS Serif"/>
      <family val="1"/>
    </font>
    <font>
      <sz val="10"/>
      <name val="MS Sans Serif"/>
    </font>
    <font>
      <b/>
      <sz val="10"/>
      <name val="MS Sans Serif"/>
    </font>
    <font>
      <sz val="12"/>
      <name val="Arial"/>
      <family val="2"/>
    </font>
    <font>
      <sz val="18"/>
      <color theme="3"/>
      <name val="Cambria"/>
      <family val="2"/>
      <scheme val="major"/>
    </font>
    <font>
      <sz val="10"/>
      <color theme="1"/>
      <name val="Times New Roman"/>
      <family val="2"/>
    </font>
    <font>
      <sz val="10"/>
      <color rgb="FF0000FF"/>
      <name val="Times New Roman"/>
      <family val="2"/>
    </font>
    <font>
      <b/>
      <sz val="12"/>
      <color theme="1"/>
      <name val="Times New Roman"/>
      <family val="2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indexed="12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sz val="9"/>
      <color rgb="FFFF0000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55"/>
        <bgColor indexed="64"/>
      </patternFill>
    </fill>
    <fill>
      <patternFill patternType="gray0625">
        <fgColor indexed="15"/>
      </patternFill>
    </fill>
    <fill>
      <patternFill patternType="solid">
        <fgColor indexed="42"/>
        <b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3"/>
      </patternFill>
    </fill>
    <fill>
      <patternFill patternType="solid">
        <fgColor indexed="14"/>
      </patternFill>
    </fill>
    <fill>
      <patternFill patternType="solid">
        <fgColor rgb="FFFFEB9C"/>
      </patternFill>
    </fill>
    <fill>
      <patternFill patternType="solid">
        <fgColor rgb="FF707C8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7424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lightGray">
        <bgColor theme="2" tint="-0.24994659260841701"/>
      </patternFill>
    </fill>
    <fill>
      <patternFill patternType="solid">
        <fgColor rgb="FF00336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23283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theme="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C99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9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rgb="FF00355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rgb="FF707C8A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7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2961">
    <xf numFmtId="0" fontId="0" fillId="0" borderId="0"/>
    <xf numFmtId="0" fontId="31" fillId="0" borderId="0"/>
    <xf numFmtId="180" fontId="31" fillId="0" borderId="0" applyFont="0" applyFill="0" applyBorder="0" applyAlignment="0" applyProtection="0"/>
    <xf numFmtId="0" fontId="67" fillId="0" borderId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6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6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6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184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6" fontId="31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70" fillId="0" borderId="0"/>
    <xf numFmtId="187" fontId="31" fillId="0" borderId="0" applyFont="0" applyFill="0" applyBorder="0" applyAlignment="0" applyProtection="0"/>
    <xf numFmtId="0" fontId="71" fillId="0" borderId="0"/>
    <xf numFmtId="0" fontId="72" fillId="0" borderId="0"/>
    <xf numFmtId="187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72" fillId="0" borderId="0"/>
    <xf numFmtId="188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72" fillId="0" borderId="0"/>
    <xf numFmtId="0" fontId="72" fillId="0" borderId="0"/>
    <xf numFmtId="188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70" fillId="0" borderId="0"/>
    <xf numFmtId="0" fontId="70" fillId="0" borderId="0"/>
    <xf numFmtId="0" fontId="71" fillId="0" borderId="0"/>
    <xf numFmtId="0" fontId="70" fillId="0" borderId="0"/>
    <xf numFmtId="0" fontId="71" fillId="0" borderId="0"/>
    <xf numFmtId="0" fontId="71" fillId="0" borderId="0"/>
    <xf numFmtId="0" fontId="71" fillId="0" borderId="0"/>
    <xf numFmtId="0" fontId="69" fillId="0" borderId="0"/>
    <xf numFmtId="0" fontId="72" fillId="0" borderId="0"/>
    <xf numFmtId="0" fontId="69" fillId="0" borderId="0"/>
    <xf numFmtId="188" fontId="31" fillId="0" borderId="0" applyFont="0" applyFill="0" applyBorder="0" applyAlignment="0" applyProtection="0"/>
    <xf numFmtId="0" fontId="69" fillId="0" borderId="0"/>
    <xf numFmtId="188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69" fillId="0" borderId="0"/>
    <xf numFmtId="187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69" fillId="0" borderId="0"/>
    <xf numFmtId="0" fontId="69" fillId="0" borderId="0"/>
    <xf numFmtId="187" fontId="31" fillId="0" borderId="0" applyFont="0" applyFill="0" applyBorder="0" applyAlignment="0" applyProtection="0"/>
    <xf numFmtId="0" fontId="71" fillId="0" borderId="0"/>
    <xf numFmtId="188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70" fillId="0" borderId="0"/>
    <xf numFmtId="187" fontId="31" fillId="0" borderId="0" applyFont="0" applyFill="0" applyBorder="0" applyAlignment="0" applyProtection="0"/>
    <xf numFmtId="0" fontId="71" fillId="0" borderId="0"/>
    <xf numFmtId="188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71" fillId="0" borderId="0"/>
    <xf numFmtId="188" fontId="31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187" fontId="31" fillId="0" borderId="0" applyFont="0" applyFill="0" applyBorder="0" applyAlignment="0" applyProtection="0"/>
    <xf numFmtId="0" fontId="71" fillId="0" borderId="0"/>
    <xf numFmtId="187" fontId="31" fillId="0" borderId="0" applyFont="0" applyFill="0" applyBorder="0" applyAlignment="0" applyProtection="0"/>
    <xf numFmtId="0" fontId="71" fillId="0" borderId="0"/>
    <xf numFmtId="188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187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89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89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89" fontId="31" fillId="0" borderId="0" applyFont="0" applyFill="0" applyBorder="0" applyAlignment="0" applyProtection="0"/>
    <xf numFmtId="189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0" fontId="70" fillId="0" borderId="0"/>
    <xf numFmtId="0" fontId="45" fillId="0" borderId="0"/>
    <xf numFmtId="0" fontId="70" fillId="0" borderId="0"/>
    <xf numFmtId="0" fontId="31" fillId="0" borderId="0"/>
    <xf numFmtId="181" fontId="31" fillId="0" borderId="0" applyFont="0" applyFill="0" applyBorder="0" applyAlignment="0" applyProtection="0"/>
    <xf numFmtId="0" fontId="31" fillId="0" borderId="0"/>
    <xf numFmtId="181" fontId="31" fillId="0" borderId="0" applyFont="0" applyFill="0" applyBorder="0" applyAlignment="0" applyProtection="0"/>
    <xf numFmtId="0" fontId="31" fillId="0" borderId="0"/>
    <xf numFmtId="0" fontId="31" fillId="0" borderId="0"/>
    <xf numFmtId="181" fontId="31" fillId="0" borderId="0" applyFont="0" applyFill="0" applyBorder="0" applyAlignment="0" applyProtection="0"/>
    <xf numFmtId="0" fontId="69" fillId="0" borderId="0"/>
    <xf numFmtId="188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69" fillId="0" borderId="0"/>
    <xf numFmtId="0" fontId="69" fillId="0" borderId="0"/>
    <xf numFmtId="187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70" fillId="0" borderId="0"/>
    <xf numFmtId="188" fontId="31" fillId="0" borderId="0" applyFont="0" applyFill="0" applyBorder="0" applyAlignment="0" applyProtection="0"/>
    <xf numFmtId="8" fontId="68" fillId="0" borderId="0" applyFont="0" applyFill="0" applyBorder="0" applyAlignment="0" applyProtection="0"/>
    <xf numFmtId="0" fontId="69" fillId="0" borderId="0"/>
    <xf numFmtId="40" fontId="68" fillId="0" borderId="0" applyFont="0" applyFill="0" applyBorder="0" applyAlignment="0" applyProtection="0"/>
    <xf numFmtId="0" fontId="69" fillId="0" borderId="0"/>
    <xf numFmtId="40" fontId="68" fillId="0" borderId="0" applyFont="0" applyFill="0" applyBorder="0" applyAlignment="0" applyProtection="0"/>
    <xf numFmtId="8" fontId="68" fillId="0" borderId="0" applyFont="0" applyFill="0" applyBorder="0" applyAlignment="0" applyProtection="0"/>
    <xf numFmtId="8" fontId="68" fillId="0" borderId="0" applyFont="0" applyFill="0" applyBorder="0" applyAlignment="0" applyProtection="0"/>
    <xf numFmtId="8" fontId="68" fillId="0" borderId="0" applyFont="0" applyFill="0" applyBorder="0" applyAlignment="0" applyProtection="0"/>
    <xf numFmtId="0" fontId="69" fillId="0" borderId="0"/>
    <xf numFmtId="40" fontId="68" fillId="0" borderId="0" applyFont="0" applyFill="0" applyBorder="0" applyAlignment="0" applyProtection="0"/>
    <xf numFmtId="0" fontId="69" fillId="0" borderId="0"/>
    <xf numFmtId="0" fontId="69" fillId="0" borderId="0"/>
    <xf numFmtId="8" fontId="68" fillId="0" borderId="0" applyFont="0" applyFill="0" applyBorder="0" applyAlignment="0" applyProtection="0"/>
    <xf numFmtId="0" fontId="70" fillId="0" borderId="0"/>
    <xf numFmtId="180" fontId="31" fillId="0" borderId="0" applyFont="0" applyFill="0" applyBorder="0" applyAlignment="0" applyProtection="0"/>
    <xf numFmtId="0" fontId="70" fillId="0" borderId="0"/>
    <xf numFmtId="180" fontId="31" fillId="0" borderId="0" applyFont="0" applyFill="0" applyBorder="0" applyAlignment="0" applyProtection="0"/>
    <xf numFmtId="0" fontId="70" fillId="0" borderId="0"/>
    <xf numFmtId="0" fontId="70" fillId="0" borderId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70" fillId="0" borderId="0"/>
    <xf numFmtId="180" fontId="31" fillId="0" borderId="0" applyFont="0" applyFill="0" applyBorder="0" applyAlignment="0" applyProtection="0"/>
    <xf numFmtId="0" fontId="72" fillId="0" borderId="0"/>
    <xf numFmtId="0" fontId="70" fillId="0" borderId="0"/>
    <xf numFmtId="0" fontId="68" fillId="0" borderId="0"/>
    <xf numFmtId="0" fontId="73" fillId="0" borderId="0"/>
    <xf numFmtId="0" fontId="74" fillId="0" borderId="0"/>
    <xf numFmtId="0" fontId="31" fillId="0" borderId="0"/>
    <xf numFmtId="0" fontId="71" fillId="0" borderId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71" fillId="0" borderId="0"/>
    <xf numFmtId="0" fontId="71" fillId="0" borderId="0"/>
    <xf numFmtId="188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71" fillId="0" borderId="0"/>
    <xf numFmtId="185" fontId="31" fillId="0" borderId="0" applyFont="0" applyFill="0" applyBorder="0" applyAlignment="0" applyProtection="0"/>
    <xf numFmtId="0" fontId="71" fillId="0" borderId="0"/>
    <xf numFmtId="183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0" fontId="71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0" fontId="71" fillId="0" borderId="0"/>
    <xf numFmtId="0" fontId="71" fillId="0" borderId="0"/>
    <xf numFmtId="183" fontId="31" fillId="0" borderId="0" applyFont="0" applyFill="0" applyBorder="0" applyAlignment="0" applyProtection="0"/>
    <xf numFmtId="0" fontId="71" fillId="0" borderId="0"/>
    <xf numFmtId="0" fontId="31" fillId="0" borderId="0"/>
    <xf numFmtId="0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/>
    <xf numFmtId="188" fontId="31" fillId="0" borderId="0" applyFont="0" applyFill="0" applyBorder="0" applyAlignment="0" applyProtection="0"/>
    <xf numFmtId="0" fontId="69" fillId="0" borderId="0"/>
    <xf numFmtId="187" fontId="31" fillId="0" borderId="0" applyFont="0" applyFill="0" applyBorder="0" applyAlignment="0" applyProtection="0"/>
    <xf numFmtId="0" fontId="69" fillId="0" borderId="0"/>
    <xf numFmtId="0" fontId="69" fillId="0" borderId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69" fillId="0" borderId="0"/>
    <xf numFmtId="0" fontId="70" fillId="0" borderId="0"/>
    <xf numFmtId="0" fontId="45" fillId="0" borderId="0"/>
    <xf numFmtId="190" fontId="31" fillId="0" borderId="0" applyFont="0" applyFill="0" applyBorder="0" applyAlignment="0" applyProtection="0"/>
    <xf numFmtId="0" fontId="45" fillId="0" borderId="0"/>
    <xf numFmtId="190" fontId="31" fillId="0" borderId="0" applyFont="0" applyFill="0" applyBorder="0" applyAlignment="0" applyProtection="0"/>
    <xf numFmtId="0" fontId="45" fillId="0" borderId="0"/>
    <xf numFmtId="0" fontId="45" fillId="0" borderId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0" fontId="45" fillId="0" borderId="0"/>
    <xf numFmtId="0" fontId="45" fillId="0" borderId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0" fontId="45" fillId="0" borderId="0"/>
    <xf numFmtId="185" fontId="31" fillId="0" borderId="0" applyFont="0" applyFill="0" applyBorder="0" applyAlignment="0" applyProtection="0"/>
    <xf numFmtId="0" fontId="31" fillId="0" borderId="0"/>
    <xf numFmtId="0" fontId="73" fillId="0" borderId="0"/>
    <xf numFmtId="0" fontId="71" fillId="0" borderId="0"/>
    <xf numFmtId="0" fontId="70" fillId="0" borderId="0"/>
    <xf numFmtId="191" fontId="31" fillId="0" borderId="0" applyFont="0" applyFill="0" applyBorder="0" applyAlignment="0" applyProtection="0"/>
    <xf numFmtId="0" fontId="70" fillId="0" borderId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69" fontId="31" fillId="0" borderId="0">
      <alignment horizontal="left" wrapText="1"/>
    </xf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169" fontId="31" fillId="0" borderId="0">
      <alignment horizontal="left" wrapText="1"/>
    </xf>
    <xf numFmtId="169" fontId="31" fillId="0" borderId="0">
      <alignment horizontal="left" wrapText="1"/>
    </xf>
    <xf numFmtId="38" fontId="45" fillId="0" borderId="0" applyFont="0" applyFill="0" applyBorder="0" applyAlignment="0" applyProtection="0"/>
    <xf numFmtId="169" fontId="31" fillId="0" borderId="0">
      <alignment horizontal="left" wrapText="1"/>
    </xf>
    <xf numFmtId="169" fontId="31" fillId="0" borderId="0">
      <alignment horizontal="left" wrapText="1"/>
    </xf>
    <xf numFmtId="177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39" fontId="31" fillId="0" borderId="0" applyFont="0" applyFill="0" applyBorder="0" applyAlignment="0" applyProtection="0"/>
    <xf numFmtId="38" fontId="45" fillId="0" borderId="0" applyFont="0" applyFill="0" applyBorder="0" applyAlignment="0" applyProtection="0"/>
    <xf numFmtId="169" fontId="31" fillId="0" borderId="0">
      <alignment horizontal="left" wrapText="1"/>
    </xf>
    <xf numFmtId="169" fontId="31" fillId="0" borderId="0">
      <alignment horizontal="left" wrapText="1"/>
    </xf>
    <xf numFmtId="38" fontId="45" fillId="0" borderId="0" applyFont="0" applyFill="0" applyBorder="0" applyAlignment="0" applyProtection="0"/>
    <xf numFmtId="169" fontId="31" fillId="0" borderId="0">
      <alignment horizontal="left" wrapText="1"/>
    </xf>
    <xf numFmtId="193" fontId="31" fillId="0" borderId="0">
      <alignment horizontal="left" wrapText="1"/>
    </xf>
    <xf numFmtId="193" fontId="31" fillId="0" borderId="0">
      <alignment horizontal="left" wrapText="1"/>
    </xf>
    <xf numFmtId="169" fontId="31" fillId="0" borderId="0">
      <alignment horizontal="left" wrapText="1"/>
    </xf>
    <xf numFmtId="169" fontId="31" fillId="0" borderId="0">
      <alignment horizontal="left" wrapText="1"/>
    </xf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6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0" fontId="31" fillId="0" borderId="0">
      <alignment horizontal="left" wrapText="1"/>
    </xf>
    <xf numFmtId="0" fontId="75" fillId="0" borderId="0" applyNumberFormat="0" applyFill="0" applyBorder="0" applyAlignment="0" applyProtection="0"/>
    <xf numFmtId="198" fontId="31" fillId="0" borderId="0" applyFont="0" applyFill="0" applyBorder="0" applyAlignment="0" applyProtection="0"/>
    <xf numFmtId="199" fontId="31" fillId="0" borderId="0" applyFont="0" applyFill="0" applyBorder="0" applyAlignment="0" applyProtection="0"/>
    <xf numFmtId="200" fontId="31" fillId="0" borderId="0" applyFont="0" applyFill="0" applyBorder="0" applyAlignment="0" applyProtection="0"/>
    <xf numFmtId="20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9" fontId="31" fillId="0" borderId="0">
      <alignment horizontal="left" wrapText="1"/>
    </xf>
    <xf numFmtId="169" fontId="31" fillId="0" borderId="0">
      <alignment horizontal="left" wrapText="1"/>
    </xf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169" fontId="31" fillId="0" borderId="0">
      <alignment horizontal="left" wrapText="1"/>
    </xf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31" fillId="0" borderId="0" applyFont="0" applyFill="0" applyBorder="0" applyAlignment="0" applyProtection="0"/>
    <xf numFmtId="169" fontId="31" fillId="0" borderId="0">
      <alignment horizontal="left" wrapText="1"/>
    </xf>
    <xf numFmtId="169" fontId="31" fillId="0" borderId="0">
      <alignment horizontal="left" wrapText="1"/>
    </xf>
    <xf numFmtId="37" fontId="76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31" fillId="0" borderId="0"/>
    <xf numFmtId="0" fontId="31" fillId="0" borderId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5" fillId="2" borderId="0" applyNumberFormat="0" applyBorder="0" applyAlignment="0" applyProtection="0"/>
    <xf numFmtId="0" fontId="26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5" fillId="4" borderId="0" applyNumberFormat="0" applyBorder="0" applyAlignment="0" applyProtection="0"/>
    <xf numFmtId="0" fontId="26" fillId="4" borderId="0" applyNumberFormat="0" applyBorder="0" applyAlignment="0" applyProtection="0"/>
    <xf numFmtId="0" fontId="25" fillId="2" borderId="0" applyNumberFormat="0" applyBorder="0" applyAlignment="0" applyProtection="0"/>
    <xf numFmtId="0" fontId="26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5" fillId="2" borderId="0" applyNumberFormat="0" applyBorder="0" applyAlignment="0" applyProtection="0"/>
    <xf numFmtId="0" fontId="26" fillId="8" borderId="0" applyNumberFormat="0" applyBorder="0" applyAlignment="0" applyProtection="0"/>
    <xf numFmtId="0" fontId="25" fillId="10" borderId="0" applyNumberFormat="0" applyBorder="0" applyAlignment="0" applyProtection="0"/>
    <xf numFmtId="0" fontId="26" fillId="10" borderId="0" applyNumberFormat="0" applyBorder="0" applyAlignment="0" applyProtection="0"/>
    <xf numFmtId="0" fontId="25" fillId="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77" fillId="16" borderId="0" applyNumberFormat="0" applyBorder="0" applyAlignment="0" applyProtection="0"/>
    <xf numFmtId="0" fontId="26" fillId="11" borderId="0" applyNumberFormat="0" applyBorder="0" applyAlignment="0" applyProtection="0"/>
    <xf numFmtId="0" fontId="77" fillId="11" borderId="0" applyNumberFormat="0" applyBorder="0" applyAlignment="0" applyProtection="0"/>
    <xf numFmtId="0" fontId="26" fillId="12" borderId="0" applyNumberFormat="0" applyBorder="0" applyAlignment="0" applyProtection="0"/>
    <xf numFmtId="0" fontId="77" fillId="13" borderId="0" applyNumberFormat="0" applyBorder="0" applyAlignment="0" applyProtection="0"/>
    <xf numFmtId="0" fontId="26" fillId="17" borderId="0" applyNumberFormat="0" applyBorder="0" applyAlignment="0" applyProtection="0"/>
    <xf numFmtId="0" fontId="77" fillId="18" borderId="0" applyNumberFormat="0" applyBorder="0" applyAlignment="0" applyProtection="0"/>
    <xf numFmtId="0" fontId="26" fillId="15" borderId="0" applyNumberFormat="0" applyBorder="0" applyAlignment="0" applyProtection="0"/>
    <xf numFmtId="0" fontId="77" fillId="15" borderId="0" applyNumberFormat="0" applyBorder="0" applyAlignment="0" applyProtection="0"/>
    <xf numFmtId="0" fontId="26" fillId="4" borderId="0" applyNumberFormat="0" applyBorder="0" applyAlignment="0" applyProtection="0"/>
    <xf numFmtId="0" fontId="77" fillId="19" borderId="0" applyNumberFormat="0" applyBorder="0" applyAlignment="0" applyProtection="0"/>
    <xf numFmtId="0" fontId="28" fillId="0" borderId="0"/>
    <xf numFmtId="0" fontId="26" fillId="15" borderId="0" applyNumberFormat="0" applyBorder="0" applyAlignment="0" applyProtection="0"/>
    <xf numFmtId="0" fontId="77" fillId="20" borderId="0" applyNumberFormat="0" applyBorder="0" applyAlignment="0" applyProtection="0"/>
    <xf numFmtId="0" fontId="26" fillId="21" borderId="0" applyNumberFormat="0" applyBorder="0" applyAlignment="0" applyProtection="0"/>
    <xf numFmtId="0" fontId="77" fillId="22" borderId="0" applyNumberFormat="0" applyBorder="0" applyAlignment="0" applyProtection="0"/>
    <xf numFmtId="0" fontId="26" fillId="23" borderId="0" applyNumberFormat="0" applyBorder="0" applyAlignment="0" applyProtection="0"/>
    <xf numFmtId="0" fontId="77" fillId="23" borderId="0" applyNumberFormat="0" applyBorder="0" applyAlignment="0" applyProtection="0"/>
    <xf numFmtId="0" fontId="26" fillId="24" borderId="0" applyNumberFormat="0" applyBorder="0" applyAlignment="0" applyProtection="0"/>
    <xf numFmtId="0" fontId="77" fillId="18" borderId="0" applyNumberFormat="0" applyBorder="0" applyAlignment="0" applyProtection="0"/>
    <xf numFmtId="0" fontId="26" fillId="15" borderId="0" applyNumberFormat="0" applyBorder="0" applyAlignment="0" applyProtection="0"/>
    <xf numFmtId="0" fontId="77" fillId="15" borderId="0" applyNumberFormat="0" applyBorder="0" applyAlignment="0" applyProtection="0"/>
    <xf numFmtId="0" fontId="26" fillId="21" borderId="0" applyNumberFormat="0" applyBorder="0" applyAlignment="0" applyProtection="0"/>
    <xf numFmtId="0" fontId="77" fillId="21" borderId="0" applyNumberFormat="0" applyBorder="0" applyAlignment="0" applyProtection="0"/>
    <xf numFmtId="202" fontId="31" fillId="25" borderId="1">
      <alignment horizontal="center" vertical="center"/>
    </xf>
    <xf numFmtId="203" fontId="78" fillId="0" borderId="0" applyNumberFormat="0" applyFill="0" applyBorder="0" applyAlignment="0">
      <alignment vertical="top"/>
      <protection locked="0"/>
    </xf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37" fontId="50" fillId="0" borderId="0" applyFill="0" applyBorder="0" applyProtection="0"/>
    <xf numFmtId="0" fontId="79" fillId="0" borderId="0"/>
    <xf numFmtId="0" fontId="80" fillId="0" borderId="2" applyNumberFormat="0" applyFont="0" applyFill="0" applyAlignment="0" applyProtection="0"/>
    <xf numFmtId="0" fontId="80" fillId="0" borderId="3" applyNumberFormat="0" applyFont="0" applyFill="0" applyAlignment="0" applyProtection="0"/>
    <xf numFmtId="170" fontId="28" fillId="0" borderId="0" applyNumberFormat="0" applyFont="0" applyAlignment="0" applyProtection="0"/>
    <xf numFmtId="0" fontId="29" fillId="2" borderId="4" applyNumberFormat="0" applyAlignment="0" applyProtection="0"/>
    <xf numFmtId="0" fontId="29" fillId="26" borderId="4" applyNumberFormat="0" applyAlignment="0" applyProtection="0"/>
    <xf numFmtId="0" fontId="45" fillId="0" borderId="0">
      <alignment horizontal="centerContinuous"/>
    </xf>
    <xf numFmtId="0" fontId="30" fillId="27" borderId="5" applyNumberFormat="0" applyAlignment="0" applyProtection="0"/>
    <xf numFmtId="0" fontId="81" fillId="27" borderId="5" applyNumberFormat="0" applyAlignment="0" applyProtection="0"/>
    <xf numFmtId="43" fontId="19" fillId="0" borderId="0" applyFont="0" applyFill="0" applyBorder="0" applyAlignment="0" applyProtection="0"/>
    <xf numFmtId="204" fontId="42" fillId="0" borderId="0" applyFont="0" applyFill="0" applyBorder="0" applyAlignment="0" applyProtection="0">
      <alignment horizontal="right"/>
    </xf>
    <xf numFmtId="39" fontId="76" fillId="0" borderId="0"/>
    <xf numFmtId="37" fontId="76" fillId="0" borderId="0"/>
    <xf numFmtId="0" fontId="82" fillId="0" borderId="0" applyFont="0" applyFill="0" applyBorder="0" applyAlignment="0" applyProtection="0">
      <alignment horizontal="right"/>
    </xf>
    <xf numFmtId="0" fontId="8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33" fillId="0" borderId="0"/>
    <xf numFmtId="172" fontId="31" fillId="0" borderId="0" applyFont="0" applyFill="0" applyBorder="0" applyAlignment="0" applyProtection="0"/>
    <xf numFmtId="205" fontId="83" fillId="0" borderId="0">
      <alignment horizontal="center"/>
    </xf>
    <xf numFmtId="44" fontId="19" fillId="0" borderId="0" applyFont="0" applyFill="0" applyBorder="0" applyAlignment="0" applyProtection="0"/>
    <xf numFmtId="178" fontId="20" fillId="0" borderId="0" applyFont="0" applyFill="0" applyBorder="0" applyAlignment="0"/>
    <xf numFmtId="8" fontId="31" fillId="0" borderId="0" applyFont="0" applyFill="0" applyBorder="0" applyAlignment="0"/>
    <xf numFmtId="37" fontId="76" fillId="0" borderId="0" applyFont="0" applyFill="0" applyBorder="0" applyAlignment="0" applyProtection="0"/>
    <xf numFmtId="0" fontId="82" fillId="0" borderId="0" applyFont="0" applyFill="0" applyBorder="0" applyAlignment="0" applyProtection="0">
      <alignment horizontal="right"/>
    </xf>
    <xf numFmtId="0" fontId="82" fillId="0" borderId="0" applyFont="0" applyFill="0" applyBorder="0" applyAlignment="0" applyProtection="0">
      <alignment horizontal="right"/>
    </xf>
    <xf numFmtId="44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84" fillId="0" borderId="0" applyNumberFormat="0" applyFill="0" applyBorder="0"/>
    <xf numFmtId="0" fontId="32" fillId="0" borderId="0" applyFont="0" applyFill="0" applyBorder="0" applyAlignment="0" applyProtection="0"/>
    <xf numFmtId="207" fontId="86" fillId="28" borderId="6" applyFont="0" applyFill="0" applyBorder="0" applyAlignment="0" applyProtection="0"/>
    <xf numFmtId="208" fontId="20" fillId="28" borderId="0" applyFont="0" applyFill="0" applyBorder="0" applyAlignment="0" applyProtection="0"/>
    <xf numFmtId="209" fontId="59" fillId="0" borderId="7"/>
    <xf numFmtId="0" fontId="82" fillId="0" borderId="0" applyFont="0" applyFill="0" applyBorder="0" applyAlignment="0" applyProtection="0"/>
    <xf numFmtId="210" fontId="31" fillId="0" borderId="0" applyFont="0" applyFill="0" applyBorder="0" applyAlignment="0" applyProtection="0"/>
    <xf numFmtId="207" fontId="59" fillId="0" borderId="0" applyFill="0" applyBorder="0">
      <alignment horizontal="right"/>
    </xf>
    <xf numFmtId="211" fontId="31" fillId="0" borderId="0" applyFont="0" applyFill="0" applyBorder="0" applyAlignment="0" applyProtection="0">
      <alignment vertical="top"/>
    </xf>
    <xf numFmtId="212" fontId="51" fillId="0" borderId="0" applyFont="0" applyFill="0" applyBorder="0" applyAlignment="0" applyProtection="0"/>
    <xf numFmtId="213" fontId="31" fillId="0" borderId="0" applyFont="0" applyFill="0" applyBorder="0" applyAlignment="0" applyProtection="0">
      <alignment horizontal="right"/>
    </xf>
    <xf numFmtId="40" fontId="87" fillId="0" borderId="0"/>
    <xf numFmtId="214" fontId="31" fillId="0" borderId="0" applyFont="0" applyFill="0" applyBorder="0" applyAlignment="0" applyProtection="0"/>
    <xf numFmtId="215" fontId="31" fillId="0" borderId="0" applyFont="0" applyFill="0" applyBorder="0" applyAlignment="0" applyProtection="0"/>
    <xf numFmtId="0" fontId="88" fillId="0" borderId="0" applyNumberFormat="0"/>
    <xf numFmtId="0" fontId="89" fillId="0" borderId="0">
      <alignment horizontal="centerContinuous"/>
    </xf>
    <xf numFmtId="0" fontId="89" fillId="0" borderId="0" applyNumberFormat="0"/>
    <xf numFmtId="5" fontId="31" fillId="0" borderId="0"/>
    <xf numFmtId="0" fontId="90" fillId="0" borderId="7" applyFont="0" applyFill="0" applyBorder="0" applyAlignment="0" applyProtection="0"/>
    <xf numFmtId="0" fontId="82" fillId="0" borderId="8" applyNumberFormat="0" applyFont="0" applyFill="0" applyAlignment="0" applyProtection="0"/>
    <xf numFmtId="37" fontId="76" fillId="0" borderId="0"/>
    <xf numFmtId="216" fontId="3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17" fontId="57" fillId="0" borderId="0" applyFont="0" applyFill="0" applyBorder="0" applyAlignment="0" applyProtection="0">
      <alignment horizontal="right"/>
    </xf>
    <xf numFmtId="205" fontId="83" fillId="0" borderId="0">
      <alignment horizontal="center"/>
    </xf>
    <xf numFmtId="2" fontId="32" fillId="0" borderId="0" applyFont="0" applyFill="0" applyBorder="0" applyAlignment="0" applyProtection="0"/>
    <xf numFmtId="218" fontId="31" fillId="28" borderId="0" applyFont="0" applyFill="0" applyBorder="0" applyAlignment="0"/>
    <xf numFmtId="2" fontId="31" fillId="0" borderId="0" applyFont="0" applyFill="0" applyBorder="0" applyAlignment="0" applyProtection="0"/>
    <xf numFmtId="0" fontId="33" fillId="0" borderId="0"/>
    <xf numFmtId="0" fontId="80" fillId="0" borderId="0" applyFill="0" applyBorder="0" applyProtection="0">
      <alignment horizontal="left"/>
    </xf>
    <xf numFmtId="219" fontId="31" fillId="0" borderId="0"/>
    <xf numFmtId="219" fontId="78" fillId="0" borderId="9"/>
    <xf numFmtId="0" fontId="91" fillId="0" borderId="0">
      <alignment horizontal="right"/>
    </xf>
    <xf numFmtId="0" fontId="91" fillId="0" borderId="0"/>
    <xf numFmtId="37" fontId="20" fillId="0" borderId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38" fontId="20" fillId="29" borderId="0" applyNumberFormat="0" applyBorder="0" applyAlignment="0" applyProtection="0"/>
    <xf numFmtId="0" fontId="82" fillId="0" borderId="0" applyFont="0" applyFill="0" applyBorder="0" applyAlignment="0" applyProtection="0">
      <alignment horizontal="right"/>
    </xf>
    <xf numFmtId="0" fontId="92" fillId="0" borderId="0" applyNumberFormat="0" applyFill="0" applyBorder="0" applyAlignment="0" applyProtection="0"/>
    <xf numFmtId="0" fontId="24" fillId="0" borderId="10" applyNumberFormat="0" applyAlignment="0" applyProtection="0">
      <alignment horizontal="left" vertical="center"/>
    </xf>
    <xf numFmtId="0" fontId="24" fillId="0" borderId="11">
      <alignment horizontal="left" vertical="center"/>
    </xf>
    <xf numFmtId="0" fontId="36" fillId="0" borderId="0" applyNumberFormat="0" applyFill="0" applyBorder="0" applyAlignment="0" applyProtection="0"/>
    <xf numFmtId="0" fontId="64" fillId="0" borderId="0" applyNumberFormat="0" applyFont="0" applyFill="0" applyAlignment="0" applyProtection="0"/>
    <xf numFmtId="0" fontId="37" fillId="0" borderId="0" applyNumberFormat="0" applyFill="0" applyBorder="0" applyAlignment="0" applyProtection="0"/>
    <xf numFmtId="0" fontId="24" fillId="0" borderId="0" applyNumberFormat="0" applyFont="0" applyFill="0" applyAlignment="0" applyProtection="0"/>
    <xf numFmtId="0" fontId="38" fillId="0" borderId="12" applyNumberFormat="0" applyFill="0" applyAlignment="0" applyProtection="0"/>
    <xf numFmtId="0" fontId="93" fillId="0" borderId="0" applyProtection="0">
      <alignment horizontal="left"/>
    </xf>
    <xf numFmtId="0" fontId="38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06" fontId="95" fillId="0" borderId="0">
      <protection locked="0"/>
    </xf>
    <xf numFmtId="206" fontId="95" fillId="0" borderId="0">
      <protection locked="0"/>
    </xf>
    <xf numFmtId="220" fontId="31" fillId="0" borderId="0">
      <alignment horizontal="left"/>
    </xf>
    <xf numFmtId="37" fontId="76" fillId="0" borderId="0"/>
    <xf numFmtId="0" fontId="78" fillId="0" borderId="13" applyNumberFormat="0" applyFill="0" applyAlignment="0" applyProtection="0"/>
    <xf numFmtId="0" fontId="39" fillId="4" borderId="4" applyNumberFormat="0" applyAlignment="0" applyProtection="0"/>
    <xf numFmtId="10" fontId="20" fillId="28" borderId="9" applyNumberFormat="0" applyBorder="0" applyAlignment="0" applyProtection="0"/>
    <xf numFmtId="0" fontId="39" fillId="4" borderId="4" applyNumberFormat="0" applyAlignment="0" applyProtection="0"/>
    <xf numFmtId="41" fontId="52" fillId="0" borderId="0">
      <alignment horizontal="left"/>
    </xf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168" fontId="31" fillId="0" borderId="0"/>
    <xf numFmtId="14" fontId="76" fillId="0" borderId="0">
      <alignment horizontal="center"/>
    </xf>
    <xf numFmtId="37" fontId="31" fillId="0" borderId="0" applyFont="0" applyFill="0" applyBorder="0" applyAlignment="0" applyProtection="0"/>
    <xf numFmtId="221" fontId="31" fillId="0" borderId="0" applyFont="0" applyFill="0" applyBorder="0" applyAlignment="0" applyProtection="0">
      <alignment horizontal="left" wrapText="1"/>
    </xf>
    <xf numFmtId="37" fontId="76" fillId="0" borderId="9">
      <alignment horizontal="right"/>
    </xf>
    <xf numFmtId="37" fontId="76" fillId="0" borderId="0">
      <alignment horizontal="center"/>
    </xf>
    <xf numFmtId="37" fontId="76" fillId="0" borderId="0">
      <alignment horizontal="center"/>
    </xf>
    <xf numFmtId="17" fontId="76" fillId="0" borderId="0">
      <alignment horizontal="center"/>
    </xf>
    <xf numFmtId="222" fontId="82" fillId="0" borderId="0" applyFont="0" applyFill="0" applyBorder="0" applyProtection="0">
      <alignment horizontal="right"/>
    </xf>
    <xf numFmtId="0" fontId="50" fillId="0" borderId="0" applyFont="0" applyFill="0" applyBorder="0" applyAlignment="0" applyProtection="0"/>
    <xf numFmtId="0" fontId="82" fillId="0" borderId="0" applyFont="0" applyFill="0" applyBorder="0" applyAlignment="0" applyProtection="0">
      <alignment horizontal="right"/>
    </xf>
    <xf numFmtId="223" fontId="20" fillId="29" borderId="0" applyFont="0" applyBorder="0" applyAlignment="0" applyProtection="0">
      <alignment horizontal="right"/>
      <protection hidden="1"/>
    </xf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37" fontId="96" fillId="0" borderId="0"/>
    <xf numFmtId="224" fontId="97" fillId="0" borderId="0"/>
    <xf numFmtId="0" fontId="43" fillId="0" borderId="0"/>
    <xf numFmtId="0" fontId="43" fillId="0" borderId="0"/>
    <xf numFmtId="38" fontId="20" fillId="0" borderId="0" applyFont="0" applyFill="0" applyBorder="0" applyAlignment="0"/>
    <xf numFmtId="208" fontId="31" fillId="0" borderId="0" applyFont="0" applyFill="0" applyBorder="0" applyAlignment="0"/>
    <xf numFmtId="40" fontId="20" fillId="0" borderId="0" applyFont="0" applyFill="0" applyBorder="0" applyAlignment="0"/>
    <xf numFmtId="225" fontId="20" fillId="0" borderId="0" applyFont="0" applyFill="0" applyBorder="0" applyAlignment="0"/>
    <xf numFmtId="0" fontId="31" fillId="0" borderId="0"/>
    <xf numFmtId="0" fontId="31" fillId="0" borderId="0"/>
    <xf numFmtId="0" fontId="19" fillId="0" borderId="0"/>
    <xf numFmtId="208" fontId="59" fillId="0" borderId="0" applyNumberFormat="0" applyFill="0" applyBorder="0" applyAlignment="0" applyProtection="0"/>
    <xf numFmtId="226" fontId="20" fillId="0" borderId="0" applyFont="0" applyFill="0" applyBorder="0" applyAlignment="0" applyProtection="0"/>
    <xf numFmtId="0" fontId="31" fillId="0" borderId="0"/>
    <xf numFmtId="2" fontId="23" fillId="0" borderId="0" applyFont="0" applyFill="0" applyBorder="0">
      <alignment horizontal="center" vertical="top" wrapText="1" shrinkToFit="1"/>
    </xf>
    <xf numFmtId="0" fontId="98" fillId="0" borderId="0"/>
    <xf numFmtId="0" fontId="19" fillId="6" borderId="15" applyNumberFormat="0" applyFont="0" applyAlignment="0" applyProtection="0"/>
    <xf numFmtId="0" fontId="31" fillId="6" borderId="16" applyNumberFormat="0" applyFont="0" applyAlignment="0" applyProtection="0"/>
    <xf numFmtId="43" fontId="53" fillId="0" borderId="0"/>
    <xf numFmtId="227" fontId="20" fillId="0" borderId="0" applyFont="0" applyFill="0" applyBorder="0" applyAlignment="0" applyProtection="0"/>
    <xf numFmtId="170" fontId="43" fillId="0" borderId="0" applyProtection="0"/>
    <xf numFmtId="173" fontId="54" fillId="0" borderId="0"/>
    <xf numFmtId="228" fontId="20" fillId="0" borderId="0" applyFont="0" applyFill="0" applyBorder="0" applyAlignment="0" applyProtection="0"/>
    <xf numFmtId="37" fontId="33" fillId="30" borderId="9" applyNumberFormat="0" applyFont="0" applyFill="0" applyAlignment="0" applyProtection="0"/>
    <xf numFmtId="0" fontId="44" fillId="2" borderId="17" applyNumberFormat="0" applyAlignment="0" applyProtection="0"/>
    <xf numFmtId="0" fontId="44" fillId="26" borderId="17" applyNumberFormat="0" applyAlignment="0" applyProtection="0"/>
    <xf numFmtId="0" fontId="99" fillId="0" borderId="0" applyFill="0" applyBorder="0" applyProtection="0">
      <alignment horizontal="left"/>
    </xf>
    <xf numFmtId="0" fontId="100" fillId="0" borderId="0" applyFill="0" applyBorder="0" applyProtection="0">
      <alignment horizontal="left"/>
    </xf>
    <xf numFmtId="1" fontId="101" fillId="0" borderId="0" applyProtection="0">
      <alignment horizontal="right" vertical="center"/>
    </xf>
    <xf numFmtId="0" fontId="102" fillId="0" borderId="0">
      <alignment horizontal="centerContinuous"/>
    </xf>
    <xf numFmtId="205" fontId="103" fillId="0" borderId="0">
      <alignment horizontal="right"/>
    </xf>
    <xf numFmtId="205" fontId="103" fillId="0" borderId="0">
      <alignment horizontal="right"/>
    </xf>
    <xf numFmtId="0" fontId="33" fillId="0" borderId="0"/>
    <xf numFmtId="9" fontId="19" fillId="0" borderId="0" applyFont="0" applyFill="0" applyBorder="0" applyAlignment="0" applyProtection="0"/>
    <xf numFmtId="10" fontId="20" fillId="0" borderId="0"/>
    <xf numFmtId="229" fontId="31" fillId="0" borderId="0" applyFont="0" applyFill="0" applyBorder="0" applyAlignment="0"/>
    <xf numFmtId="230" fontId="20" fillId="0" borderId="0" applyFont="0" applyFill="0" applyBorder="0" applyAlignment="0"/>
    <xf numFmtId="231" fontId="31" fillId="0" borderId="0" applyFont="0" applyFill="0" applyBorder="0" applyAlignment="0"/>
    <xf numFmtId="9" fontId="31" fillId="0" borderId="0" applyFont="0" applyFill="0" applyBorder="0" applyAlignment="0" applyProtection="0"/>
    <xf numFmtId="232" fontId="80" fillId="0" borderId="0" applyFont="0" applyFill="0" applyBorder="0" applyProtection="0">
      <alignment horizontal="right"/>
    </xf>
    <xf numFmtId="233" fontId="20" fillId="0" borderId="0" applyFont="0" applyFill="0" applyBorder="0" applyAlignment="0" applyProtection="0"/>
    <xf numFmtId="37" fontId="76" fillId="0" borderId="0"/>
    <xf numFmtId="37" fontId="76" fillId="0" borderId="0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6" fillId="0" borderId="2">
      <alignment horizontal="center"/>
    </xf>
    <xf numFmtId="3" fontId="45" fillId="0" borderId="0" applyFont="0" applyFill="0" applyBorder="0" applyAlignment="0" applyProtection="0"/>
    <xf numFmtId="0" fontId="45" fillId="31" borderId="0" applyNumberFormat="0" applyFont="0" applyBorder="0" applyAlignment="0" applyProtection="0"/>
    <xf numFmtId="208" fontId="104" fillId="0" borderId="0" applyNumberFormat="0" applyFill="0" applyBorder="0" applyAlignment="0" applyProtection="0">
      <alignment horizontal="left"/>
    </xf>
    <xf numFmtId="0" fontId="105" fillId="0" borderId="18">
      <alignment vertical="center"/>
    </xf>
    <xf numFmtId="0" fontId="106" fillId="0" borderId="0"/>
    <xf numFmtId="0" fontId="107" fillId="0" borderId="0"/>
    <xf numFmtId="0" fontId="108" fillId="32" borderId="0" applyNumberFormat="0" applyFont="0" applyBorder="0" applyAlignment="0" applyProtection="0"/>
    <xf numFmtId="169" fontId="31" fillId="0" borderId="0">
      <alignment horizontal="left" wrapText="1"/>
    </xf>
    <xf numFmtId="0" fontId="31" fillId="0" borderId="0"/>
    <xf numFmtId="0" fontId="31" fillId="0" borderId="0"/>
    <xf numFmtId="193" fontId="31" fillId="0" borderId="0">
      <alignment horizontal="left" wrapText="1"/>
    </xf>
    <xf numFmtId="0" fontId="109" fillId="0" borderId="19" applyNumberFormat="0"/>
    <xf numFmtId="177" fontId="110" fillId="0" borderId="0"/>
    <xf numFmtId="0" fontId="49" fillId="0" borderId="0" applyFill="0" applyBorder="0" applyProtection="0">
      <alignment horizontal="center" vertical="center"/>
    </xf>
    <xf numFmtId="0" fontId="111" fillId="0" borderId="0" applyBorder="0" applyProtection="0">
      <alignment vertical="center"/>
    </xf>
    <xf numFmtId="0" fontId="111" fillId="0" borderId="7" applyBorder="0" applyProtection="0">
      <alignment horizontal="right" vertical="center"/>
    </xf>
    <xf numFmtId="0" fontId="112" fillId="33" borderId="0" applyBorder="0" applyProtection="0">
      <alignment horizontal="centerContinuous" vertical="center"/>
    </xf>
    <xf numFmtId="0" fontId="112" fillId="34" borderId="7" applyBorder="0" applyProtection="0">
      <alignment horizontal="centerContinuous" vertical="center"/>
    </xf>
    <xf numFmtId="0" fontId="59" fillId="0" borderId="0" applyBorder="0" applyProtection="0">
      <alignment horizontal="left"/>
    </xf>
    <xf numFmtId="0" fontId="49" fillId="0" borderId="0" applyFill="0" applyBorder="0" applyProtection="0"/>
    <xf numFmtId="0" fontId="98" fillId="0" borderId="0"/>
    <xf numFmtId="0" fontId="23" fillId="0" borderId="0" applyFill="0" applyBorder="0" applyProtection="0">
      <alignment horizontal="left"/>
    </xf>
    <xf numFmtId="0" fontId="114" fillId="0" borderId="0" applyFill="0" applyBorder="0" applyProtection="0">
      <alignment horizontal="left" vertical="top"/>
    </xf>
    <xf numFmtId="0" fontId="115" fillId="0" borderId="0">
      <alignment horizontal="centerContinuous"/>
    </xf>
    <xf numFmtId="0" fontId="116" fillId="0" borderId="0"/>
    <xf numFmtId="0" fontId="117" fillId="0" borderId="0"/>
    <xf numFmtId="234" fontId="118" fillId="0" borderId="0" applyFill="0" applyBorder="0" applyAlignment="0" applyProtection="0">
      <alignment horizontal="right"/>
    </xf>
    <xf numFmtId="0" fontId="47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32" fillId="0" borderId="20" applyNumberFormat="0" applyFont="0" applyFill="0" applyAlignment="0" applyProtection="0"/>
    <xf numFmtId="206" fontId="85" fillId="0" borderId="21">
      <protection locked="0"/>
    </xf>
    <xf numFmtId="235" fontId="31" fillId="0" borderId="0"/>
    <xf numFmtId="38" fontId="20" fillId="35" borderId="0" applyNumberFormat="0" applyBorder="0" applyAlignment="0" applyProtection="0"/>
    <xf numFmtId="0" fontId="120" fillId="0" borderId="0">
      <alignment horizontal="fill"/>
    </xf>
    <xf numFmtId="37" fontId="20" fillId="35" borderId="0" applyNumberFormat="0" applyBorder="0" applyAlignment="0" applyProtection="0"/>
    <xf numFmtId="37" fontId="20" fillId="0" borderId="0"/>
    <xf numFmtId="37" fontId="20" fillId="29" borderId="0" applyNumberFormat="0" applyBorder="0" applyAlignment="0" applyProtection="0"/>
    <xf numFmtId="3" fontId="86" fillId="0" borderId="13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0" fontId="80" fillId="0" borderId="0" applyFont="0" applyFill="0" applyBorder="0" applyProtection="0">
      <alignment horizontal="right"/>
    </xf>
    <xf numFmtId="0" fontId="84" fillId="34" borderId="22">
      <alignment horizontal="center" vertical="top"/>
    </xf>
    <xf numFmtId="201" fontId="83" fillId="0" borderId="0">
      <alignment horizontal="center"/>
    </xf>
    <xf numFmtId="205" fontId="31" fillId="0" borderId="0">
      <alignment horizontal="left"/>
    </xf>
    <xf numFmtId="183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9" fontId="31" fillId="0" borderId="0" applyFont="0" applyFill="0" applyBorder="0" applyAlignment="0" applyProtection="0"/>
    <xf numFmtId="0" fontId="31" fillId="0" borderId="0"/>
    <xf numFmtId="43" fontId="122" fillId="0" borderId="0" applyFont="0" applyFill="0" applyBorder="0" applyAlignment="0" applyProtection="0"/>
    <xf numFmtId="9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1" fillId="0" borderId="0"/>
    <xf numFmtId="0" fontId="31" fillId="6" borderId="15" applyNumberFormat="0" applyFont="0" applyAlignment="0" applyProtection="0"/>
    <xf numFmtId="9" fontId="31" fillId="0" borderId="0" applyFont="0" applyFill="0" applyBorder="0" applyAlignment="0" applyProtection="0"/>
    <xf numFmtId="0" fontId="18" fillId="0" borderId="0"/>
    <xf numFmtId="43" fontId="3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0" fontId="18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7" fillId="0" borderId="0"/>
    <xf numFmtId="0" fontId="17" fillId="0" borderId="0"/>
    <xf numFmtId="185" fontId="19" fillId="0" borderId="0" applyFont="0" applyFill="0" applyBorder="0" applyAlignment="0" applyProtection="0"/>
    <xf numFmtId="0" fontId="19" fillId="0" borderId="0"/>
    <xf numFmtId="236" fontId="126" fillId="0" borderId="0">
      <alignment horizontal="right"/>
    </xf>
    <xf numFmtId="10" fontId="127" fillId="0" borderId="0"/>
    <xf numFmtId="9" fontId="128" fillId="0" borderId="0"/>
    <xf numFmtId="9" fontId="128" fillId="0" borderId="0"/>
    <xf numFmtId="174" fontId="128" fillId="0" borderId="0"/>
    <xf numFmtId="174" fontId="128" fillId="0" borderId="0"/>
    <xf numFmtId="10" fontId="128" fillId="0" borderId="0"/>
    <xf numFmtId="10" fontId="128" fillId="0" borderId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>
      <alignment horizontal="left" wrapText="1"/>
    </xf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239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40" fontId="19" fillId="0" borderId="0" applyFont="0" applyFill="0" applyBorder="0" applyAlignment="0" applyProtection="0"/>
    <xf numFmtId="240" fontId="19" fillId="0" borderId="0" applyFont="0" applyFill="0" applyBorder="0" applyAlignment="0" applyProtection="0"/>
    <xf numFmtId="240" fontId="19" fillId="0" borderId="0" applyFont="0" applyFill="0" applyBorder="0" applyAlignment="0" applyProtection="0"/>
    <xf numFmtId="240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41" fontId="19" fillId="0" borderId="0" applyFont="0" applyFill="0" applyBorder="0" applyAlignment="0" applyProtection="0"/>
    <xf numFmtId="241" fontId="19" fillId="0" borderId="0" applyFont="0" applyFill="0" applyBorder="0" applyAlignment="0" applyProtection="0"/>
    <xf numFmtId="241" fontId="19" fillId="0" borderId="0" applyFont="0" applyFill="0" applyBorder="0" applyAlignment="0" applyProtection="0"/>
    <xf numFmtId="241" fontId="19" fillId="0" borderId="0" applyFon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237" fillId="0" borderId="59" applyNumberFormat="0" applyFill="0" applyProtection="0">
      <alignment horizontal="center"/>
    </xf>
    <xf numFmtId="42" fontId="10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42" fontId="128" fillId="0" borderId="0" applyFont="0" applyFill="0" applyBorder="0" applyAlignment="0" applyProtection="0"/>
    <xf numFmtId="242" fontId="128" fillId="0" borderId="0" applyFont="0" applyFill="0" applyBorder="0" applyAlignment="0" applyProtection="0"/>
    <xf numFmtId="243" fontId="128" fillId="0" borderId="0" applyFont="0" applyFill="0" applyBorder="0" applyAlignment="0" applyProtection="0"/>
    <xf numFmtId="243" fontId="128" fillId="0" borderId="0" applyFont="0" applyFill="0" applyBorder="0" applyAlignment="0" applyProtection="0"/>
    <xf numFmtId="237" fontId="22" fillId="0" borderId="0"/>
    <xf numFmtId="0" fontId="108" fillId="0" borderId="0"/>
    <xf numFmtId="0" fontId="108" fillId="0" borderId="0"/>
    <xf numFmtId="237" fontId="45" fillId="0" borderId="0"/>
    <xf numFmtId="9" fontId="19" fillId="0" borderId="0"/>
    <xf numFmtId="9" fontId="19" fillId="0" borderId="0"/>
    <xf numFmtId="9" fontId="19" fillId="0" borderId="0"/>
    <xf numFmtId="9" fontId="19" fillId="0" borderId="0"/>
    <xf numFmtId="238" fontId="45" fillId="0" borderId="0"/>
    <xf numFmtId="174" fontId="45" fillId="0" borderId="0"/>
    <xf numFmtId="2" fontId="45" fillId="0" borderId="0"/>
    <xf numFmtId="10" fontId="45" fillId="0" borderId="0"/>
    <xf numFmtId="0" fontId="129" fillId="0" borderId="31" applyFont="0" applyFill="0" applyBorder="0" applyAlignment="0" applyProtection="0"/>
    <xf numFmtId="237" fontId="45" fillId="0" borderId="0"/>
    <xf numFmtId="0" fontId="130" fillId="0" borderId="0"/>
    <xf numFmtId="244" fontId="128" fillId="0" borderId="0"/>
    <xf numFmtId="244" fontId="128" fillId="0" borderId="0"/>
    <xf numFmtId="43" fontId="19" fillId="0" borderId="0" applyFont="0" applyFill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8" borderId="0" applyNumberFormat="0" applyBorder="0" applyAlignment="0" applyProtection="0"/>
    <xf numFmtId="0" fontId="57" fillId="8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125" fillId="16" borderId="0" applyNumberFormat="0" applyBorder="0" applyAlignment="0" applyProtection="0"/>
    <xf numFmtId="0" fontId="125" fillId="16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3" borderId="0" applyNumberFormat="0" applyBorder="0" applyAlignment="0" applyProtection="0"/>
    <xf numFmtId="0" fontId="125" fillId="13" borderId="0" applyNumberFormat="0" applyBorder="0" applyAlignment="0" applyProtection="0"/>
    <xf numFmtId="0" fontId="125" fillId="18" borderId="0" applyNumberFormat="0" applyBorder="0" applyAlignment="0" applyProtection="0"/>
    <xf numFmtId="0" fontId="125" fillId="18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37" fontId="42" fillId="0" borderId="0">
      <alignment horizontal="center"/>
    </xf>
    <xf numFmtId="0" fontId="125" fillId="20" borderId="0" applyNumberFormat="0" applyBorder="0" applyAlignment="0" applyProtection="0"/>
    <xf numFmtId="0" fontId="125" fillId="20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18" borderId="0" applyNumberFormat="0" applyBorder="0" applyAlignment="0" applyProtection="0"/>
    <xf numFmtId="0" fontId="125" fillId="18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43" fontId="131" fillId="0" borderId="7" applyNumberFormat="0" applyBorder="0"/>
    <xf numFmtId="37" fontId="132" fillId="36" borderId="27" applyBorder="0" applyProtection="0">
      <alignment vertical="center"/>
    </xf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3" fillId="0" borderId="32" applyNumberFormat="0" applyFill="0" applyAlignment="0" applyProtection="0"/>
    <xf numFmtId="0" fontId="134" fillId="0" borderId="7" applyFont="0">
      <alignment horizontal="centerContinuous"/>
    </xf>
    <xf numFmtId="0" fontId="134" fillId="0" borderId="7" applyFont="0">
      <alignment horizontal="centerContinuous"/>
    </xf>
    <xf numFmtId="0" fontId="126" fillId="0" borderId="0"/>
    <xf numFmtId="0" fontId="126" fillId="0" borderId="0"/>
    <xf numFmtId="9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8" fillId="0" borderId="0"/>
    <xf numFmtId="0" fontId="128" fillId="0" borderId="0"/>
    <xf numFmtId="0" fontId="19" fillId="29" borderId="0"/>
    <xf numFmtId="0" fontId="19" fillId="29" borderId="0"/>
    <xf numFmtId="0" fontId="19" fillId="29" borderId="0"/>
    <xf numFmtId="0" fontId="19" fillId="29" borderId="0"/>
    <xf numFmtId="0" fontId="227" fillId="5" borderId="0" applyNumberFormat="0" applyBorder="0" applyAlignment="0" applyProtection="0"/>
    <xf numFmtId="38" fontId="135" fillId="0" borderId="0" applyNumberFormat="0" applyFill="0" applyBorder="0" applyAlignment="0" applyProtection="0"/>
    <xf numFmtId="245" fontId="108" fillId="0" borderId="0" applyFont="0" applyFill="0" applyBorder="0" applyAlignment="0" applyProtection="0"/>
    <xf numFmtId="0" fontId="115" fillId="37" borderId="28" applyFill="0" applyBorder="0" applyProtection="0">
      <alignment horizontal="left"/>
    </xf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28" fillId="0" borderId="0"/>
    <xf numFmtId="0" fontId="128" fillId="0" borderId="0"/>
    <xf numFmtId="0" fontId="138" fillId="38" borderId="0" applyBorder="0">
      <alignment horizontal="left" vertical="center" indent="1"/>
    </xf>
    <xf numFmtId="0" fontId="134" fillId="0" borderId="7" applyNumberFormat="0" applyFill="0" applyAlignment="0" applyProtection="0"/>
    <xf numFmtId="0" fontId="135" fillId="0" borderId="7" applyNumberFormat="0" applyFont="0" applyFill="0" applyAlignment="0" applyProtection="0"/>
    <xf numFmtId="0" fontId="126" fillId="0" borderId="19"/>
    <xf numFmtId="0" fontId="126" fillId="0" borderId="19"/>
    <xf numFmtId="0" fontId="139" fillId="0" borderId="0" applyFill="0" applyBorder="0">
      <alignment vertical="top"/>
    </xf>
    <xf numFmtId="246" fontId="49" fillId="29" borderId="0" applyBorder="0">
      <alignment vertical="top"/>
    </xf>
    <xf numFmtId="246" fontId="50" fillId="29" borderId="0" applyBorder="0">
      <alignment vertical="top"/>
    </xf>
    <xf numFmtId="1" fontId="62" fillId="0" borderId="0" applyFont="0" applyFill="0" applyBorder="0" applyAlignment="0" applyProtection="0"/>
    <xf numFmtId="0" fontId="128" fillId="0" borderId="7">
      <alignment horizontal="centerContinuous"/>
    </xf>
    <xf numFmtId="0" fontId="19" fillId="0" borderId="2" applyBorder="0">
      <alignment horizontal="centerContinuous"/>
    </xf>
    <xf numFmtId="0" fontId="19" fillId="0" borderId="2" applyBorder="0">
      <alignment horizontal="centerContinuous"/>
    </xf>
    <xf numFmtId="0" fontId="19" fillId="0" borderId="2" applyBorder="0">
      <alignment horizontal="centerContinuous"/>
    </xf>
    <xf numFmtId="0" fontId="19" fillId="0" borderId="2" applyBorder="0">
      <alignment horizontal="centerContinuous"/>
    </xf>
    <xf numFmtId="247" fontId="128" fillId="0" borderId="0" applyFont="0" applyFill="0" applyBorder="0" applyAlignment="0" applyProtection="0"/>
    <xf numFmtId="247" fontId="128" fillId="0" borderId="0" applyFont="0" applyFill="0" applyBorder="0" applyAlignment="0" applyProtection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27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26" fillId="0" borderId="0">
      <alignment horizontal="right"/>
    </xf>
    <xf numFmtId="0" fontId="126" fillId="0" borderId="0">
      <alignment horizontal="right"/>
    </xf>
    <xf numFmtId="0" fontId="126" fillId="0" borderId="0">
      <alignment horizontal="right"/>
    </xf>
    <xf numFmtId="0" fontId="126" fillId="0" borderId="0">
      <alignment horizontal="right"/>
    </xf>
    <xf numFmtId="0" fontId="126" fillId="0" borderId="0">
      <alignment horizontal="right"/>
    </xf>
    <xf numFmtId="0" fontId="126" fillId="0" borderId="0">
      <alignment horizontal="right"/>
    </xf>
    <xf numFmtId="0" fontId="126" fillId="0" borderId="0">
      <alignment horizontal="right"/>
    </xf>
    <xf numFmtId="0" fontId="126" fillId="0" borderId="0">
      <alignment horizontal="right"/>
    </xf>
    <xf numFmtId="0" fontId="126" fillId="0" borderId="0">
      <alignment horizontal="right"/>
    </xf>
    <xf numFmtId="0" fontId="140" fillId="0" borderId="0"/>
    <xf numFmtId="0" fontId="140" fillId="0" borderId="0"/>
    <xf numFmtId="0" fontId="140" fillId="0" borderId="0"/>
    <xf numFmtId="43" fontId="126" fillId="0" borderId="0">
      <alignment horizontal="right"/>
    </xf>
    <xf numFmtId="43" fontId="126" fillId="0" borderId="0">
      <alignment horizontal="right"/>
    </xf>
    <xf numFmtId="215" fontId="126" fillId="0" borderId="0">
      <alignment horizontal="right"/>
    </xf>
    <xf numFmtId="215" fontId="126" fillId="0" borderId="0">
      <alignment horizontal="right"/>
    </xf>
    <xf numFmtId="215" fontId="126" fillId="0" borderId="0">
      <alignment horizontal="right"/>
    </xf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37" fontId="128" fillId="0" borderId="0">
      <alignment horizontal="center"/>
    </xf>
    <xf numFmtId="0" fontId="128" fillId="0" borderId="0"/>
    <xf numFmtId="0" fontId="134" fillId="0" borderId="0"/>
    <xf numFmtId="0" fontId="134" fillId="0" borderId="0"/>
    <xf numFmtId="0" fontId="228" fillId="26" borderId="4" applyNumberFormat="0" applyAlignment="0" applyProtection="0"/>
    <xf numFmtId="0" fontId="141" fillId="29" borderId="0" applyNumberFormat="0" applyBorder="0">
      <alignment vertical="center"/>
    </xf>
    <xf numFmtId="0" fontId="49" fillId="0" borderId="0"/>
    <xf numFmtId="0" fontId="49" fillId="0" borderId="0"/>
    <xf numFmtId="0" fontId="142" fillId="0" borderId="0"/>
    <xf numFmtId="1" fontId="143" fillId="0" borderId="0"/>
    <xf numFmtId="0" fontId="229" fillId="27" borderId="5" applyNumberFormat="0" applyAlignment="0" applyProtection="0"/>
    <xf numFmtId="0" fontId="128" fillId="0" borderId="0"/>
    <xf numFmtId="248" fontId="50" fillId="0" borderId="0" applyFill="0" applyBorder="0" applyAlignment="0"/>
    <xf numFmtId="249" fontId="50" fillId="0" borderId="0" applyFill="0" applyBorder="0" applyAlignment="0"/>
    <xf numFmtId="0" fontId="115" fillId="39" borderId="9" applyNumberFormat="0" applyBorder="0" applyProtection="0">
      <alignment horizontal="center" vertical="center" wrapText="1"/>
    </xf>
    <xf numFmtId="43" fontId="19" fillId="0" borderId="0" applyFont="0" applyFill="0" applyBorder="0" applyAlignment="0" applyProtection="0"/>
    <xf numFmtId="250" fontId="144" fillId="0" borderId="0"/>
    <xf numFmtId="250" fontId="144" fillId="0" borderId="0"/>
    <xf numFmtId="250" fontId="144" fillId="0" borderId="0"/>
    <xf numFmtId="250" fontId="144" fillId="0" borderId="0"/>
    <xf numFmtId="250" fontId="144" fillId="0" borderId="0"/>
    <xf numFmtId="250" fontId="144" fillId="0" borderId="0"/>
    <xf numFmtId="250" fontId="144" fillId="0" borderId="0"/>
    <xf numFmtId="250" fontId="144" fillId="0" borderId="0"/>
    <xf numFmtId="0" fontId="145" fillId="0" borderId="0" applyFont="0" applyFill="0" applyBorder="0" applyAlignment="0" applyProtection="0"/>
    <xf numFmtId="40" fontId="1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43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ill="0" applyBorder="0" applyAlignment="0" applyProtection="0"/>
    <xf numFmtId="170" fontId="146" fillId="0" borderId="0" applyFill="0" applyBorder="0">
      <alignment horizontal="left"/>
    </xf>
    <xf numFmtId="251" fontId="19" fillId="0" borderId="29" applyFont="0" applyFill="0" applyBorder="0" applyAlignment="0" applyProtection="0"/>
    <xf numFmtId="251" fontId="19" fillId="0" borderId="29" applyFont="0" applyFill="0" applyBorder="0" applyAlignment="0" applyProtection="0"/>
    <xf numFmtId="251" fontId="19" fillId="0" borderId="29" applyFont="0" applyFill="0" applyBorder="0" applyAlignment="0" applyProtection="0"/>
    <xf numFmtId="251" fontId="19" fillId="0" borderId="29" applyFont="0" applyFill="0" applyBorder="0" applyAlignment="0" applyProtection="0"/>
    <xf numFmtId="0" fontId="147" fillId="0" borderId="0">
      <alignment horizontal="left"/>
    </xf>
    <xf numFmtId="0" fontId="148" fillId="0" borderId="0"/>
    <xf numFmtId="0" fontId="149" fillId="0" borderId="0">
      <alignment horizontal="left"/>
    </xf>
    <xf numFmtId="44" fontId="19" fillId="0" borderId="0" applyFont="0" applyFill="0" applyBorder="0" applyAlignment="0" applyProtection="0"/>
    <xf numFmtId="252" fontId="80" fillId="0" borderId="0"/>
    <xf numFmtId="252" fontId="80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236" fontId="127" fillId="0" borderId="0">
      <alignment horizontal="right"/>
    </xf>
    <xf numFmtId="253" fontId="128" fillId="0" borderId="0" applyFont="0" applyFill="0" applyBorder="0" applyAlignment="0" applyProtection="0"/>
    <xf numFmtId="253" fontId="128" fillId="0" borderId="0" applyFont="0" applyFill="0" applyBorder="0" applyAlignment="0" applyProtection="0"/>
    <xf numFmtId="254" fontId="19" fillId="0" borderId="0" applyFont="0" applyFill="0" applyBorder="0" applyAlignment="0" applyProtection="0"/>
    <xf numFmtId="14" fontId="115" fillId="0" borderId="0"/>
    <xf numFmtId="14" fontId="115" fillId="0" borderId="0"/>
    <xf numFmtId="254" fontId="19" fillId="0" borderId="0" applyFont="0" applyFill="0" applyBorder="0" applyAlignment="0" applyProtection="0"/>
    <xf numFmtId="254" fontId="19" fillId="0" borderId="0" applyFont="0" applyFill="0" applyBorder="0" applyAlignment="0" applyProtection="0"/>
    <xf numFmtId="254" fontId="19" fillId="0" borderId="0" applyFont="0" applyFill="0" applyBorder="0" applyAlignment="0" applyProtection="0"/>
    <xf numFmtId="254" fontId="19" fillId="0" borderId="0" applyFont="0" applyFill="0" applyBorder="0" applyAlignment="0" applyProtection="0"/>
    <xf numFmtId="255" fontId="19" fillId="0" borderId="0"/>
    <xf numFmtId="255" fontId="19" fillId="0" borderId="0"/>
    <xf numFmtId="255" fontId="19" fillId="0" borderId="0"/>
    <xf numFmtId="255" fontId="19" fillId="0" borderId="0"/>
    <xf numFmtId="14" fontId="19" fillId="0" borderId="0"/>
    <xf numFmtId="164" fontId="127" fillId="0" borderId="0"/>
    <xf numFmtId="175" fontId="127" fillId="0" borderId="0"/>
    <xf numFmtId="252" fontId="19" fillId="0" borderId="0"/>
    <xf numFmtId="252" fontId="19" fillId="0" borderId="0"/>
    <xf numFmtId="252" fontId="19" fillId="0" borderId="0"/>
    <xf numFmtId="252" fontId="19" fillId="0" borderId="0"/>
    <xf numFmtId="41" fontId="19" fillId="0" borderId="0" applyFont="0" applyFill="0" applyBorder="0" applyAlignment="0" applyProtection="0"/>
    <xf numFmtId="1" fontId="151" fillId="0" borderId="0" applyFill="0" applyBorder="0" applyAlignment="0" applyProtection="0"/>
    <xf numFmtId="174" fontId="152" fillId="0" borderId="0">
      <alignment horizontal="right"/>
    </xf>
    <xf numFmtId="236" fontId="127" fillId="0" borderId="19">
      <alignment horizontal="right"/>
    </xf>
    <xf numFmtId="176" fontId="19" fillId="0" borderId="0" applyFont="0" applyFill="0" applyBorder="0" applyAlignment="0" applyProtection="0"/>
    <xf numFmtId="170" fontId="28" fillId="0" borderId="0"/>
    <xf numFmtId="2" fontId="153" fillId="0" borderId="0"/>
    <xf numFmtId="256" fontId="19" fillId="0" borderId="0" applyFont="0" applyFill="0" applyBorder="0" applyAlignment="0" applyProtection="0"/>
    <xf numFmtId="216" fontId="19" fillId="0" borderId="0" applyFont="0" applyFill="0" applyBorder="0" applyAlignment="0" applyProtection="0">
      <alignment horizontal="left" wrapText="1"/>
    </xf>
    <xf numFmtId="216" fontId="19" fillId="0" borderId="0" applyFont="0" applyFill="0" applyBorder="0" applyAlignment="0" applyProtection="0">
      <alignment horizontal="left" wrapText="1"/>
    </xf>
    <xf numFmtId="256" fontId="19" fillId="0" borderId="0" applyFont="0" applyFill="0" applyBorder="0" applyAlignment="0" applyProtection="0"/>
    <xf numFmtId="256" fontId="19" fillId="0" borderId="0" applyFont="0" applyFill="0" applyBorder="0" applyAlignment="0" applyProtection="0"/>
    <xf numFmtId="256" fontId="19" fillId="0" borderId="0" applyFont="0" applyFill="0" applyBorder="0" applyAlignment="0" applyProtection="0"/>
    <xf numFmtId="256" fontId="19" fillId="0" borderId="0" applyFont="0" applyFill="0" applyBorder="0" applyAlignment="0" applyProtection="0"/>
    <xf numFmtId="0" fontId="230" fillId="0" borderId="0" applyNumberFormat="0" applyFill="0" applyBorder="0" applyAlignment="0" applyProtection="0"/>
    <xf numFmtId="224" fontId="22" fillId="0" borderId="0" applyNumberFormat="0" applyBorder="0" applyAlignment="0">
      <alignment horizontal="left"/>
    </xf>
    <xf numFmtId="224" fontId="22" fillId="0" borderId="0" applyNumberFormat="0" applyBorder="0" applyAlignment="0">
      <alignment horizontal="left"/>
    </xf>
    <xf numFmtId="236" fontId="126" fillId="0" borderId="0">
      <alignment horizontal="right"/>
    </xf>
    <xf numFmtId="164" fontId="126" fillId="0" borderId="0">
      <alignment horizontal="right"/>
    </xf>
    <xf numFmtId="175" fontId="126" fillId="0" borderId="0">
      <alignment horizontal="right"/>
    </xf>
    <xf numFmtId="1" fontId="50" fillId="0" borderId="0" applyFill="0"/>
    <xf numFmtId="257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57" fontId="19" fillId="0" borderId="0"/>
    <xf numFmtId="257" fontId="19" fillId="0" borderId="0"/>
    <xf numFmtId="257" fontId="19" fillId="0" borderId="0"/>
    <xf numFmtId="257" fontId="19" fillId="0" borderId="0"/>
    <xf numFmtId="0" fontId="43" fillId="0" borderId="0"/>
    <xf numFmtId="258" fontId="126" fillId="0" borderId="0" applyProtection="0">
      <alignment horizontal="left"/>
    </xf>
    <xf numFmtId="258" fontId="126" fillId="0" borderId="0" applyProtection="0">
      <alignment horizontal="left"/>
    </xf>
    <xf numFmtId="0" fontId="154" fillId="0" borderId="0">
      <alignment horizontal="left"/>
    </xf>
    <xf numFmtId="0" fontId="105" fillId="0" borderId="0">
      <alignment horizontal="left"/>
    </xf>
    <xf numFmtId="0" fontId="155" fillId="0" borderId="0">
      <alignment horizontal="left"/>
    </xf>
    <xf numFmtId="0" fontId="80" fillId="0" borderId="0" applyFill="0" applyBorder="0" applyProtection="0">
      <alignment horizontal="left"/>
    </xf>
    <xf numFmtId="0" fontId="155" fillId="0" borderId="0" applyNumberFormat="0" applyFill="0" applyBorder="0" applyProtection="0">
      <alignment horizontal="left"/>
    </xf>
    <xf numFmtId="0" fontId="155" fillId="0" borderId="0">
      <alignment horizontal="left"/>
    </xf>
    <xf numFmtId="259" fontId="156" fillId="0" borderId="0"/>
    <xf numFmtId="260" fontId="156" fillId="0" borderId="0"/>
    <xf numFmtId="261" fontId="156" fillId="0" borderId="0"/>
    <xf numFmtId="0" fontId="157" fillId="7" borderId="0" applyNumberFormat="0" applyBorder="0" applyAlignment="0" applyProtection="0"/>
    <xf numFmtId="0" fontId="157" fillId="7" borderId="0" applyNumberFormat="0" applyBorder="0" applyAlignment="0" applyProtection="0"/>
    <xf numFmtId="38" fontId="20" fillId="29" borderId="0" applyNumberFormat="0" applyBorder="0" applyAlignment="0" applyProtection="0"/>
    <xf numFmtId="0" fontId="23" fillId="38" borderId="11" applyAlignment="0" applyProtection="0"/>
    <xf numFmtId="0" fontId="108" fillId="0" borderId="24" applyFill="0" applyBorder="0" applyProtection="0">
      <alignment horizontal="left"/>
    </xf>
    <xf numFmtId="0" fontId="158" fillId="0" borderId="0" applyNumberFormat="0" applyFill="0" applyProtection="0">
      <alignment horizontal="left"/>
    </xf>
    <xf numFmtId="0" fontId="159" fillId="0" borderId="33">
      <alignment horizontal="centerContinuous"/>
    </xf>
    <xf numFmtId="0" fontId="160" fillId="0" borderId="0">
      <alignment horizontal="centerContinuous"/>
    </xf>
    <xf numFmtId="183" fontId="19" fillId="0" borderId="0" applyFont="0" applyFill="0" applyBorder="0" applyAlignment="0" applyProtection="0"/>
    <xf numFmtId="0" fontId="161" fillId="0" borderId="0">
      <alignment horizontal="left"/>
    </xf>
    <xf numFmtId="0" fontId="162" fillId="0" borderId="0" applyProtection="0">
      <alignment horizontal="right"/>
    </xf>
    <xf numFmtId="0" fontId="161" fillId="0" borderId="0">
      <alignment horizontal="left"/>
    </xf>
    <xf numFmtId="37" fontId="163" fillId="29" borderId="10" applyFill="0">
      <alignment vertical="center"/>
    </xf>
    <xf numFmtId="0" fontId="161" fillId="0" borderId="0">
      <alignment horizontal="left"/>
    </xf>
    <xf numFmtId="0" fontId="163" fillId="0" borderId="2" applyNumberFormat="0" applyFill="0">
      <alignment horizontal="centerContinuous" vertical="top"/>
    </xf>
    <xf numFmtId="0" fontId="164" fillId="36" borderId="34" applyNumberFormat="0" applyBorder="0">
      <alignment horizontal="left" vertical="center" indent="1"/>
    </xf>
    <xf numFmtId="0" fontId="231" fillId="0" borderId="35" applyNumberFormat="0" applyFill="0" applyAlignment="0" applyProtection="0"/>
    <xf numFmtId="0" fontId="165" fillId="0" borderId="0">
      <alignment horizontal="left"/>
    </xf>
    <xf numFmtId="0" fontId="166" fillId="0" borderId="24">
      <alignment horizontal="left" vertical="top"/>
    </xf>
    <xf numFmtId="0" fontId="232" fillId="0" borderId="36" applyNumberFormat="0" applyFill="0" applyAlignment="0" applyProtection="0"/>
    <xf numFmtId="0" fontId="98" fillId="0" borderId="0">
      <alignment horizontal="left"/>
    </xf>
    <xf numFmtId="0" fontId="167" fillId="0" borderId="24">
      <alignment horizontal="left" vertical="top"/>
    </xf>
    <xf numFmtId="0" fontId="233" fillId="0" borderId="37" applyNumberFormat="0" applyFill="0" applyAlignment="0" applyProtection="0"/>
    <xf numFmtId="0" fontId="93" fillId="0" borderId="0">
      <alignment horizontal="left"/>
    </xf>
    <xf numFmtId="0" fontId="233" fillId="0" borderId="0" applyNumberFormat="0" applyFill="0" applyBorder="0" applyAlignment="0" applyProtection="0"/>
    <xf numFmtId="262" fontId="19" fillId="0" borderId="0" applyFill="0" applyBorder="0" applyAlignment="0" applyProtection="0"/>
    <xf numFmtId="262" fontId="19" fillId="0" borderId="0" applyFill="0" applyBorder="0" applyAlignment="0" applyProtection="0"/>
    <xf numFmtId="262" fontId="19" fillId="0" borderId="0" applyFill="0" applyBorder="0" applyAlignment="0" applyProtection="0"/>
    <xf numFmtId="262" fontId="19" fillId="0" borderId="0" applyFill="0" applyBorder="0" applyAlignment="0" applyProtection="0"/>
    <xf numFmtId="0" fontId="64" fillId="0" borderId="0" applyNumberFormat="0" applyFill="0" applyBorder="0" applyAlignment="0" applyProtection="0"/>
    <xf numFmtId="0" fontId="108" fillId="0" borderId="0" applyFill="0" applyBorder="0" applyProtection="0">
      <alignment horizontal="right"/>
    </xf>
    <xf numFmtId="0" fontId="168" fillId="0" borderId="2">
      <alignment horizontal="centerContinuous"/>
    </xf>
    <xf numFmtId="0" fontId="133" fillId="0" borderId="0" applyNumberFormat="0" applyFill="0" applyBorder="0" applyAlignment="0" applyProtection="0"/>
    <xf numFmtId="263" fontId="169" fillId="0" borderId="0" applyNumberFormat="0" applyFill="0" applyBorder="0" applyAlignment="0">
      <protection locked="0"/>
    </xf>
    <xf numFmtId="0" fontId="134" fillId="0" borderId="0" applyFont="0" applyAlignment="0">
      <alignment horizontal="centerContinuous"/>
    </xf>
    <xf numFmtId="0" fontId="134" fillId="0" borderId="0" applyFont="0" applyAlignment="0">
      <alignment horizontal="centerContinuous"/>
    </xf>
    <xf numFmtId="0" fontId="127" fillId="0" borderId="9">
      <alignment horizontal="centerContinuous"/>
    </xf>
    <xf numFmtId="49" fontId="170" fillId="0" borderId="38"/>
    <xf numFmtId="49" fontId="100" fillId="0" borderId="0"/>
    <xf numFmtId="49" fontId="171" fillId="0" borderId="0"/>
    <xf numFmtId="0" fontId="128" fillId="0" borderId="0"/>
    <xf numFmtId="0" fontId="172" fillId="0" borderId="0"/>
    <xf numFmtId="0" fontId="172" fillId="0" borderId="0"/>
    <xf numFmtId="251" fontId="19" fillId="29" borderId="0" applyNumberFormat="0" applyFill="0" applyBorder="0" applyProtection="0">
      <alignment horizontal="left" vertical="center"/>
    </xf>
    <xf numFmtId="251" fontId="19" fillId="29" borderId="0" applyNumberFormat="0" applyFill="0" applyBorder="0" applyProtection="0">
      <alignment horizontal="left" vertical="center"/>
    </xf>
    <xf numFmtId="251" fontId="19" fillId="29" borderId="0" applyNumberFormat="0" applyFill="0" applyBorder="0" applyProtection="0">
      <alignment horizontal="left" vertical="center"/>
    </xf>
    <xf numFmtId="251" fontId="19" fillId="29" borderId="0" applyNumberFormat="0" applyFill="0" applyBorder="0" applyProtection="0">
      <alignment horizontal="left" vertical="center"/>
    </xf>
    <xf numFmtId="263" fontId="173" fillId="0" borderId="0" applyNumberFormat="0" applyFill="0" applyBorder="0" applyAlignment="0"/>
    <xf numFmtId="9" fontId="153" fillId="0" borderId="0" applyAlignment="0">
      <alignment horizontal="center"/>
    </xf>
    <xf numFmtId="10" fontId="20" fillId="28" borderId="9" applyNumberFormat="0" applyBorder="0" applyAlignment="0" applyProtection="0"/>
    <xf numFmtId="0" fontId="53" fillId="4" borderId="4" applyNumberFormat="0" applyAlignment="0" applyProtection="0"/>
    <xf numFmtId="264" fontId="174" fillId="0" borderId="0" applyNumberFormat="0" applyBorder="0" applyProtection="0"/>
    <xf numFmtId="264" fontId="175" fillId="0" borderId="0"/>
    <xf numFmtId="0" fontId="175" fillId="40" borderId="0" applyNumberFormat="0" applyBorder="0" applyProtection="0">
      <alignment horizontal="center" vertical="center"/>
    </xf>
    <xf numFmtId="249" fontId="176" fillId="0" borderId="0" applyBorder="0">
      <alignment horizontal="right" vertical="top"/>
      <protection locked="0"/>
    </xf>
    <xf numFmtId="0" fontId="127" fillId="0" borderId="0" applyNumberFormat="0" applyFill="0" applyBorder="0" applyAlignment="0">
      <protection locked="0"/>
    </xf>
    <xf numFmtId="0" fontId="78" fillId="0" borderId="0" applyNumberFormat="0" applyFill="0" applyBorder="0" applyAlignment="0"/>
    <xf numFmtId="0" fontId="78" fillId="0" borderId="0" applyNumberFormat="0" applyFill="0" applyBorder="0" applyAlignment="0"/>
    <xf numFmtId="265" fontId="176" fillId="0" borderId="0" applyBorder="0">
      <alignment horizontal="right" vertical="top"/>
      <protection locked="0"/>
    </xf>
    <xf numFmtId="237" fontId="157" fillId="29" borderId="0" applyFill="0" applyBorder="0">
      <protection locked="0"/>
    </xf>
    <xf numFmtId="237" fontId="157" fillId="29" borderId="0" applyFill="0" applyBorder="0">
      <protection locked="0"/>
    </xf>
    <xf numFmtId="249" fontId="176" fillId="0" borderId="0" applyBorder="0" applyProtection="0"/>
    <xf numFmtId="249" fontId="176" fillId="0" borderId="0" applyBorder="0" applyProtection="0"/>
    <xf numFmtId="266" fontId="176" fillId="0" borderId="0" applyBorder="0">
      <alignment horizontal="right" vertical="top"/>
      <protection locked="0"/>
    </xf>
    <xf numFmtId="266" fontId="176" fillId="0" borderId="0" applyBorder="0">
      <alignment horizontal="right" vertical="top"/>
      <protection locked="0"/>
    </xf>
    <xf numFmtId="267" fontId="19" fillId="0" borderId="0"/>
    <xf numFmtId="267" fontId="19" fillId="0" borderId="0"/>
    <xf numFmtId="267" fontId="19" fillId="0" borderId="0"/>
    <xf numFmtId="267" fontId="19" fillId="0" borderId="0"/>
    <xf numFmtId="268" fontId="177" fillId="0" borderId="24" applyFill="0" applyBorder="0" applyProtection="0"/>
    <xf numFmtId="0" fontId="178" fillId="0" borderId="0"/>
    <xf numFmtId="269" fontId="179" fillId="0" borderId="0" applyFont="0" applyFill="0" applyBorder="0" applyAlignment="0" applyProtection="0"/>
    <xf numFmtId="270" fontId="179" fillId="0" borderId="0" applyFont="0" applyFill="0" applyBorder="0" applyAlignment="0" applyProtection="0"/>
    <xf numFmtId="1" fontId="180" fillId="1" borderId="39">
      <protection locked="0"/>
    </xf>
    <xf numFmtId="271" fontId="181" fillId="0" borderId="40" applyFont="0" applyFill="0" applyBorder="0" applyAlignment="0" applyProtection="0"/>
    <xf numFmtId="0" fontId="50" fillId="29" borderId="0" applyNumberFormat="0" applyFill="0" applyBorder="0"/>
    <xf numFmtId="249" fontId="182" fillId="0" borderId="0" applyNumberFormat="0" applyFill="0" applyBorder="0" applyProtection="0">
      <alignment horizontal="left" vertical="top"/>
    </xf>
    <xf numFmtId="0" fontId="183" fillId="0" borderId="0">
      <alignment horizontal="left"/>
    </xf>
    <xf numFmtId="0" fontId="184" fillId="0" borderId="0">
      <alignment horizontal="left"/>
    </xf>
    <xf numFmtId="0" fontId="158" fillId="0" borderId="0">
      <alignment horizontal="left"/>
    </xf>
    <xf numFmtId="0" fontId="158" fillId="0" borderId="0">
      <alignment horizontal="left"/>
    </xf>
    <xf numFmtId="0" fontId="124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37" fontId="185" fillId="0" borderId="0" applyNumberFormat="0" applyFill="0" applyBorder="0" applyAlignment="0" applyProtection="0">
      <alignment horizontal="right"/>
    </xf>
    <xf numFmtId="0" fontId="234" fillId="0" borderId="14" applyNumberFormat="0" applyFill="0" applyAlignment="0" applyProtection="0"/>
    <xf numFmtId="272" fontId="126" fillId="0" borderId="0">
      <alignment horizontal="right"/>
    </xf>
    <xf numFmtId="273" fontId="126" fillId="0" borderId="0">
      <alignment horizontal="right"/>
    </xf>
    <xf numFmtId="0" fontId="100" fillId="0" borderId="0" applyNumberFormat="0" applyFill="0" applyBorder="0" applyProtection="0">
      <alignment horizontal="left" vertical="center"/>
    </xf>
    <xf numFmtId="0" fontId="100" fillId="0" borderId="0" applyNumberFormat="0" applyFill="0" applyBorder="0" applyProtection="0">
      <alignment horizontal="left" vertical="center"/>
    </xf>
    <xf numFmtId="0" fontId="139" fillId="0" borderId="0">
      <alignment vertical="top"/>
    </xf>
    <xf numFmtId="0" fontId="186" fillId="0" borderId="0" applyNumberFormat="0" applyFill="0" applyBorder="0" applyAlignment="0" applyProtection="0"/>
    <xf numFmtId="0" fontId="20" fillId="0" borderId="0" applyNumberFormat="0" applyFill="0" applyBorder="0"/>
    <xf numFmtId="0" fontId="20" fillId="0" borderId="0" applyNumberFormat="0" applyFill="0" applyBorder="0"/>
    <xf numFmtId="265" fontId="20" fillId="0" borderId="0" applyFill="0" applyBorder="0">
      <alignment vertical="top"/>
    </xf>
    <xf numFmtId="265" fontId="20" fillId="0" borderId="0" applyFill="0" applyBorder="0" applyAlignment="0"/>
    <xf numFmtId="265" fontId="20" fillId="0" borderId="0" applyFill="0" applyBorder="0" applyAlignment="0"/>
    <xf numFmtId="249" fontId="186" fillId="0" borderId="0" applyNumberFormat="0" applyFill="0" applyBorder="0" applyAlignment="0"/>
    <xf numFmtId="249" fontId="187" fillId="0" borderId="0" applyNumberFormat="0" applyFill="0" applyBorder="0">
      <alignment vertical="center"/>
    </xf>
    <xf numFmtId="249" fontId="20" fillId="0" borderId="0" applyFill="0" applyBorder="0">
      <alignment horizontal="right"/>
    </xf>
    <xf numFmtId="249" fontId="20" fillId="0" borderId="0" applyFill="0" applyBorder="0">
      <alignment horizontal="right"/>
    </xf>
    <xf numFmtId="0" fontId="20" fillId="0" borderId="0" applyFill="0" applyBorder="0" applyProtection="0">
      <alignment vertical="top"/>
    </xf>
    <xf numFmtId="0" fontId="20" fillId="0" borderId="0" applyFill="0" applyBorder="0" applyProtection="0">
      <alignment vertical="top"/>
    </xf>
    <xf numFmtId="249" fontId="20" fillId="0" borderId="0" applyFill="0" applyBorder="0">
      <alignment horizontal="right" vertical="top"/>
    </xf>
    <xf numFmtId="249" fontId="20" fillId="0" borderId="0" applyFill="0" applyBorder="0">
      <alignment horizontal="right" vertical="top"/>
    </xf>
    <xf numFmtId="41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274" fontId="19" fillId="0" borderId="0" applyFont="0" applyFill="0" applyBorder="0" applyAlignment="0" applyProtection="0"/>
    <xf numFmtId="27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76" fontId="181" fillId="0" borderId="40" applyFont="0" applyFill="0" applyBorder="0" applyAlignment="0" applyProtection="0"/>
    <xf numFmtId="0" fontId="188" fillId="0" borderId="0">
      <alignment horizontal="centerContinuous"/>
    </xf>
    <xf numFmtId="277" fontId="189" fillId="0" borderId="0" applyFont="0" applyFill="0" applyBorder="0" applyProtection="0">
      <alignment horizontal="right"/>
    </xf>
    <xf numFmtId="0" fontId="82" fillId="0" borderId="0" applyFont="0" applyFill="0" applyBorder="0" applyAlignment="0" applyProtection="0">
      <alignment horizontal="right"/>
    </xf>
    <xf numFmtId="43" fontId="128" fillId="0" borderId="0"/>
    <xf numFmtId="43" fontId="128" fillId="0" borderId="0"/>
    <xf numFmtId="0" fontId="190" fillId="0" borderId="0" applyNumberFormat="0" applyFill="0" applyBorder="0" applyProtection="0">
      <alignment horizontal="left"/>
    </xf>
    <xf numFmtId="0" fontId="235" fillId="12" borderId="0" applyNumberFormat="0" applyBorder="0" applyAlignment="0" applyProtection="0"/>
    <xf numFmtId="0" fontId="126" fillId="0" borderId="0">
      <alignment horizontal="left"/>
    </xf>
    <xf numFmtId="170" fontId="45" fillId="0" borderId="0"/>
    <xf numFmtId="0" fontId="191" fillId="29" borderId="0">
      <alignment horizontal="left" indent="1"/>
    </xf>
    <xf numFmtId="0" fontId="192" fillId="0" borderId="0"/>
    <xf numFmtId="0" fontId="192" fillId="0" borderId="0"/>
    <xf numFmtId="0" fontId="192" fillId="0" borderId="0"/>
    <xf numFmtId="0" fontId="192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238" fillId="0" borderId="0"/>
    <xf numFmtId="0" fontId="19" fillId="0" borderId="0"/>
    <xf numFmtId="0" fontId="19" fillId="0" borderId="0"/>
    <xf numFmtId="0" fontId="19" fillId="0" borderId="0"/>
    <xf numFmtId="0" fontId="192" fillId="0" borderId="0"/>
    <xf numFmtId="0" fontId="19" fillId="0" borderId="0"/>
    <xf numFmtId="0" fontId="192" fillId="0" borderId="0"/>
    <xf numFmtId="0" fontId="192" fillId="0" borderId="0"/>
    <xf numFmtId="0" fontId="19" fillId="0" borderId="0"/>
    <xf numFmtId="0" fontId="19" fillId="0" borderId="0"/>
    <xf numFmtId="0" fontId="192" fillId="0" borderId="0"/>
    <xf numFmtId="0" fontId="192" fillId="0" borderId="0"/>
    <xf numFmtId="0" fontId="193" fillId="0" borderId="0"/>
    <xf numFmtId="37" fontId="194" fillId="0" borderId="0" applyNumberFormat="0" applyFont="0" applyFill="0" applyBorder="0" applyAlignment="0" applyProtection="0"/>
    <xf numFmtId="0" fontId="57" fillId="6" borderId="16" applyNumberFormat="0" applyFont="0" applyAlignment="0" applyProtection="0"/>
    <xf numFmtId="0" fontId="57" fillId="6" borderId="16" applyNumberFormat="0" applyFont="0" applyAlignment="0" applyProtection="0"/>
    <xf numFmtId="0" fontId="195" fillId="0" borderId="30"/>
    <xf numFmtId="38" fontId="108" fillId="0" borderId="25" applyFont="0" applyFill="0" applyBorder="0" applyAlignment="0" applyProtection="0"/>
    <xf numFmtId="37" fontId="19" fillId="0" borderId="0"/>
    <xf numFmtId="215" fontId="108" fillId="0" borderId="0" applyFont="0" applyFill="0" applyBorder="0" applyAlignment="0" applyProtection="0"/>
    <xf numFmtId="214" fontId="108" fillId="0" borderId="0" applyFont="0" applyFill="0" applyBorder="0" applyAlignment="0" applyProtection="0"/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19" fillId="0" borderId="0">
      <alignment horizontal="left"/>
    </xf>
    <xf numFmtId="0" fontId="236" fillId="26" borderId="17" applyNumberFormat="0" applyAlignment="0" applyProtection="0"/>
    <xf numFmtId="10" fontId="128" fillId="0" borderId="25"/>
    <xf numFmtId="174" fontId="196" fillId="0" borderId="0" applyProtection="0">
      <alignment horizontal="right"/>
    </xf>
    <xf numFmtId="174" fontId="126" fillId="0" borderId="0"/>
    <xf numFmtId="0" fontId="19" fillId="0" borderId="0" applyFill="0" applyBorder="0" applyProtection="0">
      <alignment horizontal="left"/>
    </xf>
    <xf numFmtId="0" fontId="19" fillId="0" borderId="0" applyFill="0" applyBorder="0" applyProtection="0">
      <alignment horizontal="left"/>
    </xf>
    <xf numFmtId="0" fontId="19" fillId="0" borderId="0" applyFill="0" applyBorder="0" applyProtection="0">
      <alignment horizontal="left"/>
    </xf>
    <xf numFmtId="0" fontId="19" fillId="0" borderId="0" applyFill="0" applyBorder="0" applyProtection="0">
      <alignment horizontal="left"/>
    </xf>
    <xf numFmtId="0" fontId="19" fillId="0" borderId="0" applyFill="0" applyBorder="0" applyProtection="0">
      <alignment horizontal="left"/>
    </xf>
    <xf numFmtId="0" fontId="19" fillId="0" borderId="0" applyFill="0" applyBorder="0" applyProtection="0">
      <alignment horizontal="left"/>
    </xf>
    <xf numFmtId="0" fontId="19" fillId="0" borderId="0" applyFill="0" applyBorder="0" applyProtection="0">
      <alignment horizontal="left"/>
    </xf>
    <xf numFmtId="0" fontId="19" fillId="0" borderId="0" applyFill="0" applyBorder="0" applyProtection="0">
      <alignment horizontal="left"/>
    </xf>
    <xf numFmtId="0" fontId="165" fillId="0" borderId="0" applyNumberFormat="0" applyFill="0" applyBorder="0" applyProtection="0">
      <alignment horizontal="left"/>
    </xf>
    <xf numFmtId="1" fontId="101" fillId="0" borderId="0" applyProtection="0">
      <alignment horizontal="right" vertical="center"/>
    </xf>
    <xf numFmtId="246" fontId="50" fillId="0" borderId="0" applyFont="0" applyFill="0" applyBorder="0">
      <alignment horizontal="right" vertical="top"/>
    </xf>
    <xf numFmtId="278" fontId="50" fillId="29" borderId="0" applyFill="0" applyBorder="0">
      <alignment horizontal="right" vertical="top"/>
    </xf>
    <xf numFmtId="174" fontId="152" fillId="0" borderId="0">
      <alignment horizontal="right"/>
    </xf>
    <xf numFmtId="0" fontId="126" fillId="0" borderId="0"/>
    <xf numFmtId="0" fontId="126" fillId="0" borderId="0"/>
    <xf numFmtId="0" fontId="197" fillId="0" borderId="0"/>
    <xf numFmtId="0" fontId="43" fillId="0" borderId="0"/>
    <xf numFmtId="9" fontId="19" fillId="0" borderId="0" applyFont="0" applyFill="0" applyBorder="0" applyAlignment="0" applyProtection="0"/>
    <xf numFmtId="9" fontId="135" fillId="0" borderId="0" applyFont="0" applyFill="0" applyBorder="0" applyAlignment="0" applyProtection="0"/>
    <xf numFmtId="0" fontId="198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45" fillId="0" borderId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279" fontId="189" fillId="0" borderId="0" applyFont="0" applyFill="0" applyBorder="0" applyProtection="0">
      <alignment horizontal="right"/>
    </xf>
    <xf numFmtId="280" fontId="19" fillId="0" borderId="0" applyFont="0" applyFill="0" applyBorder="0" applyAlignment="0" applyProtection="0"/>
    <xf numFmtId="280" fontId="19" fillId="0" borderId="0" applyFont="0" applyFill="0" applyBorder="0" applyAlignment="0" applyProtection="0"/>
    <xf numFmtId="280" fontId="19" fillId="0" borderId="0" applyFont="0" applyFill="0" applyBorder="0" applyAlignment="0" applyProtection="0"/>
    <xf numFmtId="280" fontId="19" fillId="0" borderId="0" applyFont="0" applyFill="0" applyBorder="0" applyAlignment="0" applyProtection="0"/>
    <xf numFmtId="174" fontId="196" fillId="0" borderId="0">
      <alignment horizontal="right"/>
    </xf>
    <xf numFmtId="0" fontId="199" fillId="0" borderId="0" applyFont="0" applyFill="0" applyBorder="0" applyAlignment="0" applyProtection="0">
      <alignment horizontal="center"/>
    </xf>
    <xf numFmtId="0" fontId="199" fillId="0" borderId="0" applyFont="0" applyFill="0" applyBorder="0" applyAlignment="0" applyProtection="0">
      <alignment horizontal="center"/>
    </xf>
    <xf numFmtId="0" fontId="199" fillId="0" borderId="0" applyFont="0" applyFill="0" applyBorder="0" applyAlignment="0" applyProtection="0">
      <alignment horizontal="center"/>
    </xf>
    <xf numFmtId="10" fontId="127" fillId="0" borderId="0"/>
    <xf numFmtId="9" fontId="127" fillId="0" borderId="0"/>
    <xf numFmtId="281" fontId="19" fillId="0" borderId="0" applyFont="0" applyFill="0" applyBorder="0" applyAlignment="0" applyProtection="0"/>
    <xf numFmtId="282" fontId="19" fillId="0" borderId="0" applyFont="0" applyFill="0" applyBorder="0" applyAlignment="0" applyProtection="0"/>
    <xf numFmtId="0" fontId="200" fillId="38" borderId="0">
      <alignment horizontal="left" indent="1"/>
    </xf>
    <xf numFmtId="0" fontId="201" fillId="0" borderId="0">
      <alignment horizontal="centerContinuous"/>
    </xf>
    <xf numFmtId="0" fontId="202" fillId="0" borderId="7"/>
    <xf numFmtId="236" fontId="203" fillId="0" borderId="0">
      <alignment horizontal="right"/>
    </xf>
    <xf numFmtId="10" fontId="126" fillId="0" borderId="9"/>
    <xf numFmtId="10" fontId="126" fillId="0" borderId="9"/>
    <xf numFmtId="10" fontId="19" fillId="0" borderId="0"/>
    <xf numFmtId="10" fontId="19" fillId="0" borderId="0"/>
    <xf numFmtId="10" fontId="19" fillId="0" borderId="0"/>
    <xf numFmtId="10" fontId="19" fillId="0" borderId="0"/>
    <xf numFmtId="248" fontId="130" fillId="0" borderId="0" applyFont="0" applyFill="0" applyBorder="0" applyAlignment="0" applyProtection="0">
      <alignment horizontal="right"/>
    </xf>
    <xf numFmtId="283" fontId="49" fillId="41" borderId="9" applyNumberFormat="0" applyProtection="0">
      <alignment horizontal="center" vertical="center" wrapText="1"/>
    </xf>
    <xf numFmtId="166" fontId="19" fillId="0" borderId="0" applyFont="0" applyFill="0" applyBorder="0" applyAlignment="0" applyProtection="0"/>
    <xf numFmtId="0" fontId="19" fillId="0" borderId="41" applyNumberFormat="0" applyFont="0" applyFill="0" applyAlignment="0" applyProtection="0"/>
    <xf numFmtId="0" fontId="19" fillId="0" borderId="42" applyNumberFormat="0" applyFont="0" applyFill="0" applyAlignment="0" applyProtection="0"/>
    <xf numFmtId="0" fontId="19" fillId="0" borderId="31" applyNumberFormat="0" applyFont="0" applyFill="0" applyAlignment="0" applyProtection="0"/>
    <xf numFmtId="0" fontId="19" fillId="0" borderId="43" applyNumberFormat="0" applyFont="0" applyFill="0" applyAlignment="0" applyProtection="0"/>
    <xf numFmtId="0" fontId="19" fillId="0" borderId="44" applyNumberFormat="0" applyFont="0" applyFill="0" applyAlignment="0" applyProtection="0"/>
    <xf numFmtId="0" fontId="19" fillId="17" borderId="0" applyNumberFormat="0" applyFont="0" applyBorder="0" applyAlignment="0" applyProtection="0"/>
    <xf numFmtId="0" fontId="19" fillId="0" borderId="45" applyNumberFormat="0" applyFont="0" applyFill="0" applyAlignment="0" applyProtection="0"/>
    <xf numFmtId="0" fontId="19" fillId="0" borderId="46" applyNumberFormat="0" applyFont="0" applyFill="0" applyAlignment="0" applyProtection="0"/>
    <xf numFmtId="46" fontId="1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19" fillId="0" borderId="47" applyNumberFormat="0" applyFont="0" applyFill="0" applyAlignment="0" applyProtection="0"/>
    <xf numFmtId="0" fontId="19" fillId="0" borderId="48" applyNumberFormat="0" applyFont="0" applyFill="0" applyAlignment="0" applyProtection="0"/>
    <xf numFmtId="0" fontId="19" fillId="0" borderId="16" applyNumberFormat="0" applyFont="0" applyFill="0" applyAlignment="0" applyProtection="0"/>
    <xf numFmtId="0" fontId="19" fillId="0" borderId="49" applyNumberFormat="0" applyFont="0" applyFill="0" applyAlignment="0" applyProtection="0"/>
    <xf numFmtId="0" fontId="19" fillId="0" borderId="16" applyNumberFormat="0" applyFont="0" applyFill="0" applyAlignment="0" applyProtection="0"/>
    <xf numFmtId="0" fontId="19" fillId="0" borderId="0" applyNumberFormat="0" applyFont="0" applyFill="0" applyBorder="0" applyProtection="0">
      <alignment horizontal="center"/>
    </xf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49" fillId="0" borderId="0" applyNumberFormat="0" applyFill="0" applyBorder="0" applyProtection="0">
      <alignment horizontal="left"/>
    </xf>
    <xf numFmtId="0" fontId="19" fillId="17" borderId="0" applyNumberFormat="0" applyFont="0" applyBorder="0" applyAlignment="0" applyProtection="0"/>
    <xf numFmtId="0" fontId="20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9" fillId="0" borderId="50" applyNumberFormat="0" applyFont="0" applyFill="0" applyAlignment="0" applyProtection="0"/>
    <xf numFmtId="0" fontId="19" fillId="0" borderId="51" applyNumberFormat="0" applyFont="0" applyFill="0" applyAlignment="0" applyProtection="0"/>
    <xf numFmtId="284" fontId="19" fillId="0" borderId="0" applyFont="0" applyFill="0" applyBorder="0" applyAlignment="0" applyProtection="0"/>
    <xf numFmtId="0" fontId="19" fillId="0" borderId="52" applyNumberFormat="0" applyFont="0" applyFill="0" applyAlignment="0" applyProtection="0"/>
    <xf numFmtId="0" fontId="19" fillId="0" borderId="53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54" applyNumberFormat="0" applyFont="0" applyFill="0" applyAlignment="0" applyProtection="0"/>
    <xf numFmtId="0" fontId="19" fillId="0" borderId="55" applyNumberFormat="0" applyFont="0" applyFill="0" applyAlignment="0" applyProtection="0"/>
    <xf numFmtId="0" fontId="115" fillId="39" borderId="6" applyNumberFormat="0" applyBorder="0" applyProtection="0">
      <alignment horizontal="left" wrapText="1"/>
    </xf>
    <xf numFmtId="1" fontId="189" fillId="17" borderId="0" applyNumberFormat="0" applyFont="0" applyFill="0" applyBorder="0" applyAlignment="0" applyProtection="0"/>
    <xf numFmtId="1" fontId="189" fillId="17" borderId="0" applyNumberFormat="0" applyFont="0" applyFill="0" applyBorder="0" applyAlignment="0" applyProtection="0"/>
    <xf numFmtId="1" fontId="189" fillId="17" borderId="0" applyNumberFormat="0" applyFont="0" applyFill="0" applyBorder="0" applyAlignment="0" applyProtection="0"/>
    <xf numFmtId="1" fontId="189" fillId="17" borderId="0" applyNumberFormat="0" applyFont="0" applyFill="0" applyBorder="0" applyAlignment="0" applyProtection="0"/>
    <xf numFmtId="0" fontId="207" fillId="0" borderId="31">
      <protection locked="0"/>
    </xf>
    <xf numFmtId="0" fontId="207" fillId="0" borderId="31">
      <protection locked="0"/>
    </xf>
    <xf numFmtId="0" fontId="207" fillId="0" borderId="31">
      <alignment horizontal="centerContinuous"/>
    </xf>
    <xf numFmtId="0" fontId="207" fillId="0" borderId="31">
      <protection locked="0"/>
    </xf>
    <xf numFmtId="177" fontId="207" fillId="0" borderId="0"/>
    <xf numFmtId="0" fontId="207" fillId="0" borderId="31">
      <alignment horizontal="centerContinuous"/>
    </xf>
    <xf numFmtId="177" fontId="207" fillId="0" borderId="0"/>
    <xf numFmtId="0" fontId="207" fillId="0" borderId="31">
      <alignment horizontal="centerContinuous"/>
    </xf>
    <xf numFmtId="177" fontId="207" fillId="0" borderId="0"/>
    <xf numFmtId="0" fontId="207" fillId="0" borderId="31">
      <alignment horizontal="centerContinuous"/>
    </xf>
    <xf numFmtId="0" fontId="207" fillId="0" borderId="31">
      <alignment horizontal="centerContinuous"/>
    </xf>
    <xf numFmtId="0" fontId="207" fillId="0" borderId="31">
      <alignment horizontal="centerContinuous"/>
    </xf>
    <xf numFmtId="0" fontId="207" fillId="0" borderId="31">
      <alignment horizontal="centerContinuous"/>
    </xf>
    <xf numFmtId="177" fontId="207" fillId="0" borderId="0"/>
    <xf numFmtId="0" fontId="207" fillId="0" borderId="31">
      <protection locked="0"/>
    </xf>
    <xf numFmtId="0" fontId="207" fillId="0" borderId="31">
      <alignment horizontal="centerContinuous"/>
    </xf>
    <xf numFmtId="0" fontId="207" fillId="0" borderId="31">
      <protection locked="0"/>
    </xf>
    <xf numFmtId="0" fontId="207" fillId="0" borderId="31">
      <alignment horizontal="centerContinuous"/>
    </xf>
    <xf numFmtId="0" fontId="207" fillId="0" borderId="31">
      <alignment horizontal="centerContinuous"/>
    </xf>
    <xf numFmtId="0" fontId="207" fillId="0" borderId="31">
      <alignment horizontal="centerContinuous"/>
    </xf>
    <xf numFmtId="177" fontId="207" fillId="0" borderId="0"/>
    <xf numFmtId="177" fontId="207" fillId="0" borderId="0"/>
    <xf numFmtId="0" fontId="207" fillId="0" borderId="31">
      <protection locked="0"/>
    </xf>
    <xf numFmtId="0" fontId="207" fillId="0" borderId="31">
      <alignment horizontal="centerContinuous"/>
    </xf>
    <xf numFmtId="0" fontId="207" fillId="0" borderId="31">
      <protection locked="0"/>
    </xf>
    <xf numFmtId="0" fontId="207" fillId="0" borderId="31">
      <alignment horizontal="centerContinuous"/>
    </xf>
    <xf numFmtId="0" fontId="207" fillId="0" borderId="0"/>
    <xf numFmtId="0" fontId="207" fillId="0" borderId="31">
      <protection locked="0"/>
    </xf>
    <xf numFmtId="0" fontId="28" fillId="0" borderId="31">
      <alignment horizontal="centerContinuous"/>
    </xf>
    <xf numFmtId="0" fontId="207" fillId="0" borderId="31">
      <alignment horizontal="centerContinuous"/>
    </xf>
    <xf numFmtId="177" fontId="207" fillId="0" borderId="0"/>
    <xf numFmtId="0" fontId="207" fillId="0" borderId="31">
      <protection locked="0"/>
    </xf>
    <xf numFmtId="0" fontId="207" fillId="0" borderId="31">
      <alignment horizontal="centerContinuous"/>
    </xf>
    <xf numFmtId="0" fontId="207" fillId="0" borderId="31">
      <protection locked="0"/>
    </xf>
    <xf numFmtId="0" fontId="207" fillId="0" borderId="31">
      <alignment horizontal="centerContinuous"/>
    </xf>
    <xf numFmtId="0" fontId="207" fillId="0" borderId="31">
      <alignment horizontal="centerContinuous"/>
    </xf>
    <xf numFmtId="177" fontId="207" fillId="0" borderId="0"/>
    <xf numFmtId="0" fontId="207" fillId="0" borderId="31">
      <alignment horizontal="centerContinuous"/>
    </xf>
    <xf numFmtId="0" fontId="207" fillId="0" borderId="31">
      <alignment horizontal="centerContinuous"/>
    </xf>
    <xf numFmtId="0" fontId="207" fillId="0" borderId="31">
      <protection locked="0"/>
    </xf>
    <xf numFmtId="0" fontId="108" fillId="0" borderId="0">
      <alignment horizontal="center"/>
    </xf>
    <xf numFmtId="0" fontId="108" fillId="0" borderId="0">
      <alignment horizontal="center"/>
    </xf>
    <xf numFmtId="0" fontId="207" fillId="0" borderId="31">
      <alignment horizontal="centerContinuous"/>
    </xf>
    <xf numFmtId="177" fontId="207" fillId="0" borderId="0"/>
    <xf numFmtId="0" fontId="207" fillId="0" borderId="31">
      <protection locked="0"/>
    </xf>
    <xf numFmtId="177" fontId="207" fillId="0" borderId="0"/>
    <xf numFmtId="0" fontId="207" fillId="0" borderId="31">
      <alignment horizontal="centerContinuous"/>
    </xf>
    <xf numFmtId="0" fontId="207" fillId="0" borderId="31">
      <protection locked="0"/>
    </xf>
    <xf numFmtId="177" fontId="207" fillId="0" borderId="0"/>
    <xf numFmtId="0" fontId="207" fillId="0" borderId="31">
      <protection locked="0"/>
    </xf>
    <xf numFmtId="0" fontId="207" fillId="0" borderId="31">
      <alignment horizontal="centerContinuous"/>
    </xf>
    <xf numFmtId="177" fontId="207" fillId="0" borderId="0"/>
    <xf numFmtId="0" fontId="207" fillId="0" borderId="31">
      <alignment horizontal="centerContinuous"/>
    </xf>
    <xf numFmtId="0" fontId="207" fillId="0" borderId="31">
      <alignment horizontal="centerContinuous"/>
    </xf>
    <xf numFmtId="0" fontId="207" fillId="0" borderId="31">
      <alignment horizontal="centerContinuous"/>
    </xf>
    <xf numFmtId="0" fontId="207" fillId="0" borderId="31">
      <alignment horizontal="centerContinuous"/>
    </xf>
    <xf numFmtId="177" fontId="207" fillId="0" borderId="0"/>
    <xf numFmtId="0" fontId="207" fillId="0" borderId="31">
      <protection locked="0"/>
    </xf>
    <xf numFmtId="177" fontId="207" fillId="0" borderId="0"/>
    <xf numFmtId="0" fontId="207" fillId="0" borderId="31">
      <alignment horizontal="centerContinuous"/>
    </xf>
    <xf numFmtId="0" fontId="207" fillId="0" borderId="31">
      <alignment horizontal="centerContinuous"/>
    </xf>
    <xf numFmtId="0" fontId="207" fillId="0" borderId="31">
      <protection locked="0"/>
    </xf>
    <xf numFmtId="177" fontId="207" fillId="0" borderId="0"/>
    <xf numFmtId="0" fontId="207" fillId="0" borderId="31">
      <alignment horizontal="centerContinuous"/>
    </xf>
    <xf numFmtId="0" fontId="207" fillId="0" borderId="31">
      <alignment horizontal="centerContinuous"/>
    </xf>
    <xf numFmtId="0" fontId="207" fillId="0" borderId="31">
      <alignment horizontal="centerContinuous"/>
    </xf>
    <xf numFmtId="177" fontId="207" fillId="0" borderId="0"/>
    <xf numFmtId="0" fontId="207" fillId="0" borderId="31">
      <alignment horizontal="centerContinuous"/>
    </xf>
    <xf numFmtId="0" fontId="207" fillId="0" borderId="31">
      <protection locked="0"/>
    </xf>
    <xf numFmtId="0" fontId="207" fillId="0" borderId="31">
      <alignment horizontal="centerContinuous"/>
    </xf>
    <xf numFmtId="0" fontId="207" fillId="0" borderId="31">
      <protection locked="0"/>
    </xf>
    <xf numFmtId="0" fontId="207" fillId="0" borderId="31">
      <alignment horizontal="centerContinuous"/>
    </xf>
    <xf numFmtId="177" fontId="207" fillId="0" borderId="0"/>
    <xf numFmtId="0" fontId="207" fillId="0" borderId="31">
      <alignment horizontal="centerContinuous"/>
    </xf>
    <xf numFmtId="0" fontId="207" fillId="0" borderId="31">
      <alignment horizontal="centerContinuous"/>
    </xf>
    <xf numFmtId="236" fontId="126" fillId="0" borderId="19">
      <alignment horizontal="right"/>
    </xf>
    <xf numFmtId="236" fontId="126" fillId="0" borderId="19">
      <alignment horizontal="right"/>
    </xf>
    <xf numFmtId="177" fontId="207" fillId="0" borderId="0"/>
    <xf numFmtId="0" fontId="207" fillId="0" borderId="31">
      <protection locked="0"/>
    </xf>
    <xf numFmtId="0" fontId="207" fillId="0" borderId="31">
      <alignment horizontal="centerContinuous"/>
    </xf>
    <xf numFmtId="177" fontId="207" fillId="0" borderId="0"/>
    <xf numFmtId="0" fontId="207" fillId="0" borderId="31">
      <protection locked="0"/>
    </xf>
    <xf numFmtId="0" fontId="207" fillId="0" borderId="31">
      <alignment horizontal="centerContinuous"/>
    </xf>
    <xf numFmtId="0" fontId="207" fillId="0" borderId="31">
      <alignment horizontal="centerContinuous"/>
    </xf>
    <xf numFmtId="0" fontId="207" fillId="0" borderId="31">
      <protection locked="0"/>
    </xf>
    <xf numFmtId="177" fontId="207" fillId="0" borderId="0"/>
    <xf numFmtId="177" fontId="207" fillId="0" borderId="0"/>
    <xf numFmtId="0" fontId="207" fillId="0" borderId="31">
      <alignment horizontal="centerContinuous"/>
    </xf>
    <xf numFmtId="0" fontId="207" fillId="0" borderId="31">
      <protection locked="0"/>
    </xf>
    <xf numFmtId="177" fontId="207" fillId="0" borderId="0"/>
    <xf numFmtId="0" fontId="207" fillId="0" borderId="31">
      <alignment horizontal="centerContinuous"/>
    </xf>
    <xf numFmtId="0" fontId="207" fillId="0" borderId="31">
      <protection locked="0"/>
    </xf>
    <xf numFmtId="0" fontId="207" fillId="0" borderId="31">
      <protection locked="0"/>
    </xf>
    <xf numFmtId="0" fontId="207" fillId="0" borderId="31">
      <alignment horizontal="centerContinuous"/>
    </xf>
    <xf numFmtId="177" fontId="207" fillId="0" borderId="0"/>
    <xf numFmtId="177" fontId="207" fillId="0" borderId="0"/>
    <xf numFmtId="0" fontId="207" fillId="0" borderId="31">
      <alignment horizontal="centerContinuous"/>
    </xf>
    <xf numFmtId="0" fontId="207" fillId="0" borderId="31">
      <protection locked="0"/>
    </xf>
    <xf numFmtId="0" fontId="207" fillId="0" borderId="31">
      <alignment horizontal="centerContinuous"/>
    </xf>
    <xf numFmtId="0" fontId="207" fillId="0" borderId="31">
      <protection locked="0"/>
    </xf>
    <xf numFmtId="177" fontId="207" fillId="0" borderId="0"/>
    <xf numFmtId="0" fontId="207" fillId="0" borderId="31">
      <alignment horizontal="centerContinuous"/>
    </xf>
    <xf numFmtId="0" fontId="207" fillId="0" borderId="31">
      <alignment horizontal="centerContinuous"/>
    </xf>
    <xf numFmtId="0" fontId="207" fillId="0" borderId="31">
      <protection locked="0"/>
    </xf>
    <xf numFmtId="4" fontId="57" fillId="35" borderId="17" applyNumberFormat="0" applyProtection="0">
      <alignment vertical="center"/>
    </xf>
    <xf numFmtId="4" fontId="57" fillId="35" borderId="17" applyNumberFormat="0" applyProtection="0">
      <alignment vertical="center"/>
    </xf>
    <xf numFmtId="4" fontId="57" fillId="35" borderId="17" applyNumberFormat="0" applyProtection="0">
      <alignment vertical="center"/>
    </xf>
    <xf numFmtId="4" fontId="208" fillId="35" borderId="17" applyNumberFormat="0" applyProtection="0">
      <alignment vertical="center"/>
    </xf>
    <xf numFmtId="4" fontId="57" fillId="35" borderId="17" applyNumberFormat="0" applyProtection="0">
      <alignment horizontal="left" vertical="center" indent="1"/>
    </xf>
    <xf numFmtId="4" fontId="57" fillId="35" borderId="17" applyNumberFormat="0" applyProtection="0">
      <alignment horizontal="left" vertical="center" indent="1"/>
    </xf>
    <xf numFmtId="4" fontId="57" fillId="35" borderId="17" applyNumberFormat="0" applyProtection="0">
      <alignment horizontal="left" vertical="center" indent="1"/>
    </xf>
    <xf numFmtId="4" fontId="57" fillId="35" borderId="17" applyNumberFormat="0" applyProtection="0">
      <alignment horizontal="left" vertical="center" indent="1"/>
    </xf>
    <xf numFmtId="4" fontId="57" fillId="35" borderId="17" applyNumberFormat="0" applyProtection="0">
      <alignment horizontal="left" vertical="center" indent="1"/>
    </xf>
    <xf numFmtId="4" fontId="57" fillId="35" borderId="17" applyNumberFormat="0" applyProtection="0">
      <alignment horizontal="left" vertical="center" indent="1"/>
    </xf>
    <xf numFmtId="0" fontId="19" fillId="42" borderId="17" applyNumberFormat="0" applyProtection="0">
      <alignment horizontal="left" vertical="center" indent="1"/>
    </xf>
    <xf numFmtId="0" fontId="19" fillId="42" borderId="17" applyNumberFormat="0" applyProtection="0">
      <alignment horizontal="left" vertical="center" indent="1"/>
    </xf>
    <xf numFmtId="0" fontId="19" fillId="42" borderId="17" applyNumberFormat="0" applyProtection="0">
      <alignment horizontal="left" vertical="center" indent="1"/>
    </xf>
    <xf numFmtId="0" fontId="19" fillId="42" borderId="17" applyNumberFormat="0" applyProtection="0">
      <alignment horizontal="left" vertical="center" indent="1"/>
    </xf>
    <xf numFmtId="4" fontId="57" fillId="43" borderId="17" applyNumberFormat="0" applyProtection="0">
      <alignment horizontal="right" vertical="center"/>
    </xf>
    <xf numFmtId="4" fontId="57" fillId="43" borderId="17" applyNumberFormat="0" applyProtection="0">
      <alignment horizontal="right" vertical="center"/>
    </xf>
    <xf numFmtId="4" fontId="57" fillId="43" borderId="17" applyNumberFormat="0" applyProtection="0">
      <alignment horizontal="right" vertical="center"/>
    </xf>
    <xf numFmtId="4" fontId="57" fillId="44" borderId="17" applyNumberFormat="0" applyProtection="0">
      <alignment horizontal="right" vertical="center"/>
    </xf>
    <xf numFmtId="4" fontId="57" fillId="44" borderId="17" applyNumberFormat="0" applyProtection="0">
      <alignment horizontal="right" vertical="center"/>
    </xf>
    <xf numFmtId="4" fontId="57" fillId="44" borderId="17" applyNumberFormat="0" applyProtection="0">
      <alignment horizontal="right" vertical="center"/>
    </xf>
    <xf numFmtId="4" fontId="57" fillId="45" borderId="17" applyNumberFormat="0" applyProtection="0">
      <alignment horizontal="right" vertical="center"/>
    </xf>
    <xf numFmtId="4" fontId="57" fillId="45" borderId="17" applyNumberFormat="0" applyProtection="0">
      <alignment horizontal="right" vertical="center"/>
    </xf>
    <xf numFmtId="4" fontId="57" fillId="45" borderId="17" applyNumberFormat="0" applyProtection="0">
      <alignment horizontal="right" vertical="center"/>
    </xf>
    <xf numFmtId="4" fontId="57" fillId="46" borderId="17" applyNumberFormat="0" applyProtection="0">
      <alignment horizontal="right" vertical="center"/>
    </xf>
    <xf numFmtId="4" fontId="57" fillId="46" borderId="17" applyNumberFormat="0" applyProtection="0">
      <alignment horizontal="right" vertical="center"/>
    </xf>
    <xf numFmtId="4" fontId="57" fillId="46" borderId="17" applyNumberFormat="0" applyProtection="0">
      <alignment horizontal="right" vertical="center"/>
    </xf>
    <xf numFmtId="4" fontId="57" fillId="47" borderId="17" applyNumberFormat="0" applyProtection="0">
      <alignment horizontal="right" vertical="center"/>
    </xf>
    <xf numFmtId="4" fontId="57" fillId="47" borderId="17" applyNumberFormat="0" applyProtection="0">
      <alignment horizontal="right" vertical="center"/>
    </xf>
    <xf numFmtId="4" fontId="57" fillId="47" borderId="17" applyNumberFormat="0" applyProtection="0">
      <alignment horizontal="right" vertical="center"/>
    </xf>
    <xf numFmtId="4" fontId="57" fillId="48" borderId="17" applyNumberFormat="0" applyProtection="0">
      <alignment horizontal="right" vertical="center"/>
    </xf>
    <xf numFmtId="4" fontId="57" fillId="48" borderId="17" applyNumberFormat="0" applyProtection="0">
      <alignment horizontal="right" vertical="center"/>
    </xf>
    <xf numFmtId="4" fontId="57" fillId="48" borderId="17" applyNumberFormat="0" applyProtection="0">
      <alignment horizontal="right" vertical="center"/>
    </xf>
    <xf numFmtId="4" fontId="57" fillId="49" borderId="17" applyNumberFormat="0" applyProtection="0">
      <alignment horizontal="right" vertical="center"/>
    </xf>
    <xf numFmtId="4" fontId="57" fillId="49" borderId="17" applyNumberFormat="0" applyProtection="0">
      <alignment horizontal="right" vertical="center"/>
    </xf>
    <xf numFmtId="4" fontId="57" fillId="49" borderId="17" applyNumberFormat="0" applyProtection="0">
      <alignment horizontal="right" vertical="center"/>
    </xf>
    <xf numFmtId="4" fontId="57" fillId="50" borderId="17" applyNumberFormat="0" applyProtection="0">
      <alignment horizontal="right" vertical="center"/>
    </xf>
    <xf numFmtId="4" fontId="57" fillId="50" borderId="17" applyNumberFormat="0" applyProtection="0">
      <alignment horizontal="right" vertical="center"/>
    </xf>
    <xf numFmtId="4" fontId="57" fillId="50" borderId="17" applyNumberFormat="0" applyProtection="0">
      <alignment horizontal="right" vertical="center"/>
    </xf>
    <xf numFmtId="4" fontId="57" fillId="51" borderId="17" applyNumberFormat="0" applyProtection="0">
      <alignment horizontal="right" vertical="center"/>
    </xf>
    <xf numFmtId="4" fontId="57" fillId="51" borderId="17" applyNumberFormat="0" applyProtection="0">
      <alignment horizontal="right" vertical="center"/>
    </xf>
    <xf numFmtId="4" fontId="57" fillId="51" borderId="17" applyNumberFormat="0" applyProtection="0">
      <alignment horizontal="right" vertical="center"/>
    </xf>
    <xf numFmtId="4" fontId="209" fillId="52" borderId="17" applyNumberFormat="0" applyProtection="0">
      <alignment horizontal="left" vertical="center" indent="1"/>
    </xf>
    <xf numFmtId="4" fontId="57" fillId="53" borderId="56" applyNumberFormat="0" applyProtection="0">
      <alignment horizontal="left" vertical="center" indent="1"/>
    </xf>
    <xf numFmtId="4" fontId="57" fillId="53" borderId="56" applyNumberFormat="0" applyProtection="0">
      <alignment horizontal="left" vertical="center" indent="1"/>
    </xf>
    <xf numFmtId="4" fontId="57" fillId="53" borderId="56" applyNumberFormat="0" applyProtection="0">
      <alignment horizontal="left" vertical="center" indent="1"/>
    </xf>
    <xf numFmtId="4" fontId="210" fillId="54" borderId="0" applyNumberFormat="0" applyProtection="0">
      <alignment horizontal="left" vertical="center" indent="1"/>
    </xf>
    <xf numFmtId="0" fontId="19" fillId="42" borderId="17" applyNumberFormat="0" applyProtection="0">
      <alignment horizontal="left" vertical="center" indent="1"/>
    </xf>
    <xf numFmtId="0" fontId="19" fillId="42" borderId="17" applyNumberFormat="0" applyProtection="0">
      <alignment horizontal="left" vertical="center" indent="1"/>
    </xf>
    <xf numFmtId="0" fontId="19" fillId="42" borderId="17" applyNumberFormat="0" applyProtection="0">
      <alignment horizontal="left" vertical="center" indent="1"/>
    </xf>
    <xf numFmtId="0" fontId="19" fillId="42" borderId="17" applyNumberFormat="0" applyProtection="0">
      <alignment horizontal="left" vertical="center" indent="1"/>
    </xf>
    <xf numFmtId="4" fontId="57" fillId="53" borderId="17" applyNumberFormat="0" applyProtection="0">
      <alignment horizontal="left" vertical="center" indent="1"/>
    </xf>
    <xf numFmtId="4" fontId="57" fillId="55" borderId="17" applyNumberFormat="0" applyProtection="0">
      <alignment horizontal="left" vertical="center" indent="1"/>
    </xf>
    <xf numFmtId="0" fontId="19" fillId="55" borderId="17" applyNumberFormat="0" applyProtection="0">
      <alignment horizontal="left" vertical="center" indent="1"/>
    </xf>
    <xf numFmtId="0" fontId="19" fillId="55" borderId="17" applyNumberFormat="0" applyProtection="0">
      <alignment horizontal="left" vertical="center" indent="1"/>
    </xf>
    <xf numFmtId="0" fontId="19" fillId="55" borderId="17" applyNumberFormat="0" applyProtection="0">
      <alignment horizontal="left" vertical="center" indent="1"/>
    </xf>
    <xf numFmtId="0" fontId="19" fillId="55" borderId="17" applyNumberFormat="0" applyProtection="0">
      <alignment horizontal="left" vertical="center" indent="1"/>
    </xf>
    <xf numFmtId="0" fontId="19" fillId="55" borderId="17" applyNumberFormat="0" applyProtection="0">
      <alignment horizontal="left" vertical="center" indent="1"/>
    </xf>
    <xf numFmtId="0" fontId="19" fillId="55" borderId="17" applyNumberFormat="0" applyProtection="0">
      <alignment horizontal="left" vertical="center" indent="1"/>
    </xf>
    <xf numFmtId="0" fontId="19" fillId="55" borderId="17" applyNumberFormat="0" applyProtection="0">
      <alignment horizontal="left" vertical="center" indent="1"/>
    </xf>
    <xf numFmtId="0" fontId="19" fillId="55" borderId="17" applyNumberFormat="0" applyProtection="0">
      <alignment horizontal="left" vertical="center" indent="1"/>
    </xf>
    <xf numFmtId="0" fontId="19" fillId="38" borderId="17" applyNumberFormat="0" applyProtection="0">
      <alignment horizontal="left" vertical="center" indent="1"/>
    </xf>
    <xf numFmtId="0" fontId="19" fillId="38" borderId="17" applyNumberFormat="0" applyProtection="0">
      <alignment horizontal="left" vertical="center" indent="1"/>
    </xf>
    <xf numFmtId="0" fontId="19" fillId="38" borderId="17" applyNumberFormat="0" applyProtection="0">
      <alignment horizontal="left" vertical="center" indent="1"/>
    </xf>
    <xf numFmtId="0" fontId="19" fillId="38" borderId="17" applyNumberFormat="0" applyProtection="0">
      <alignment horizontal="left" vertical="center" indent="1"/>
    </xf>
    <xf numFmtId="0" fontId="19" fillId="38" borderId="17" applyNumberFormat="0" applyProtection="0">
      <alignment horizontal="left" vertical="center" indent="1"/>
    </xf>
    <xf numFmtId="0" fontId="19" fillId="38" borderId="17" applyNumberFormat="0" applyProtection="0">
      <alignment horizontal="left" vertical="center" indent="1"/>
    </xf>
    <xf numFmtId="0" fontId="19" fillId="38" borderId="17" applyNumberFormat="0" applyProtection="0">
      <alignment horizontal="left" vertical="center" indent="1"/>
    </xf>
    <xf numFmtId="0" fontId="19" fillId="38" borderId="17" applyNumberFormat="0" applyProtection="0">
      <alignment horizontal="left" vertical="center" indent="1"/>
    </xf>
    <xf numFmtId="0" fontId="19" fillId="29" borderId="17" applyNumberFormat="0" applyProtection="0">
      <alignment horizontal="left" vertical="center" indent="1"/>
    </xf>
    <xf numFmtId="0" fontId="19" fillId="29" borderId="17" applyNumberFormat="0" applyProtection="0">
      <alignment horizontal="left" vertical="center" indent="1"/>
    </xf>
    <xf numFmtId="0" fontId="19" fillId="29" borderId="17" applyNumberFormat="0" applyProtection="0">
      <alignment horizontal="left" vertical="center" indent="1"/>
    </xf>
    <xf numFmtId="0" fontId="19" fillId="29" borderId="17" applyNumberFormat="0" applyProtection="0">
      <alignment horizontal="left" vertical="center" indent="1"/>
    </xf>
    <xf numFmtId="0" fontId="19" fillId="29" borderId="17" applyNumberFormat="0" applyProtection="0">
      <alignment horizontal="left" vertical="center" indent="1"/>
    </xf>
    <xf numFmtId="0" fontId="19" fillId="29" borderId="17" applyNumberFormat="0" applyProtection="0">
      <alignment horizontal="left" vertical="center" indent="1"/>
    </xf>
    <xf numFmtId="0" fontId="19" fillId="29" borderId="17" applyNumberFormat="0" applyProtection="0">
      <alignment horizontal="left" vertical="center" indent="1"/>
    </xf>
    <xf numFmtId="0" fontId="19" fillId="29" borderId="17" applyNumberFormat="0" applyProtection="0">
      <alignment horizontal="left" vertical="center" indent="1"/>
    </xf>
    <xf numFmtId="0" fontId="19" fillId="42" borderId="17" applyNumberFormat="0" applyProtection="0">
      <alignment horizontal="left" vertical="center" indent="1"/>
    </xf>
    <xf numFmtId="0" fontId="19" fillId="42" borderId="17" applyNumberFormat="0" applyProtection="0">
      <alignment horizontal="left" vertical="center" indent="1"/>
    </xf>
    <xf numFmtId="0" fontId="19" fillId="42" borderId="17" applyNumberFormat="0" applyProtection="0">
      <alignment horizontal="left" vertical="center" indent="1"/>
    </xf>
    <xf numFmtId="0" fontId="19" fillId="42" borderId="17" applyNumberFormat="0" applyProtection="0">
      <alignment horizontal="left" vertical="center" indent="1"/>
    </xf>
    <xf numFmtId="0" fontId="19" fillId="42" borderId="17" applyNumberFormat="0" applyProtection="0">
      <alignment horizontal="left" vertical="center" indent="1"/>
    </xf>
    <xf numFmtId="0" fontId="19" fillId="42" borderId="17" applyNumberFormat="0" applyProtection="0">
      <alignment horizontal="left" vertical="center" indent="1"/>
    </xf>
    <xf numFmtId="0" fontId="19" fillId="42" borderId="17" applyNumberFormat="0" applyProtection="0">
      <alignment horizontal="left" vertical="center" indent="1"/>
    </xf>
    <xf numFmtId="0" fontId="19" fillId="42" borderId="17" applyNumberFormat="0" applyProtection="0">
      <alignment horizontal="left" vertical="center" indent="1"/>
    </xf>
    <xf numFmtId="4" fontId="57" fillId="28" borderId="17" applyNumberFormat="0" applyProtection="0">
      <alignment vertical="center"/>
    </xf>
    <xf numFmtId="4" fontId="57" fillId="28" borderId="17" applyNumberFormat="0" applyProtection="0">
      <alignment vertical="center"/>
    </xf>
    <xf numFmtId="4" fontId="57" fillId="28" borderId="17" applyNumberFormat="0" applyProtection="0">
      <alignment vertical="center"/>
    </xf>
    <xf numFmtId="4" fontId="208" fillId="28" borderId="17" applyNumberFormat="0" applyProtection="0">
      <alignment vertical="center"/>
    </xf>
    <xf numFmtId="4" fontId="57" fillId="28" borderId="17" applyNumberFormat="0" applyProtection="0">
      <alignment horizontal="left" vertical="center" indent="1"/>
    </xf>
    <xf numFmtId="4" fontId="57" fillId="28" borderId="17" applyNumberFormat="0" applyProtection="0">
      <alignment horizontal="left" vertical="center" indent="1"/>
    </xf>
    <xf numFmtId="4" fontId="57" fillId="28" borderId="17" applyNumberFormat="0" applyProtection="0">
      <alignment horizontal="left" vertical="center" indent="1"/>
    </xf>
    <xf numFmtId="4" fontId="57" fillId="28" borderId="17" applyNumberFormat="0" applyProtection="0">
      <alignment horizontal="left" vertical="center" indent="1"/>
    </xf>
    <xf numFmtId="4" fontId="57" fillId="28" borderId="17" applyNumberFormat="0" applyProtection="0">
      <alignment horizontal="left" vertical="center" indent="1"/>
    </xf>
    <xf numFmtId="4" fontId="57" fillId="28" borderId="17" applyNumberFormat="0" applyProtection="0">
      <alignment horizontal="left" vertical="center" indent="1"/>
    </xf>
    <xf numFmtId="4" fontId="57" fillId="53" borderId="17" applyNumberFormat="0" applyProtection="0">
      <alignment horizontal="right" vertical="center"/>
    </xf>
    <xf numFmtId="4" fontId="57" fillId="53" borderId="17" applyNumberFormat="0" applyProtection="0">
      <alignment horizontal="right" vertical="center"/>
    </xf>
    <xf numFmtId="4" fontId="57" fillId="53" borderId="17" applyNumberFormat="0" applyProtection="0">
      <alignment horizontal="right" vertical="center"/>
    </xf>
    <xf numFmtId="4" fontId="208" fillId="53" borderId="17" applyNumberFormat="0" applyProtection="0">
      <alignment horizontal="right" vertical="center"/>
    </xf>
    <xf numFmtId="0" fontId="19" fillId="42" borderId="17" applyNumberFormat="0" applyProtection="0">
      <alignment horizontal="left" vertical="center" indent="1"/>
    </xf>
    <xf numFmtId="0" fontId="19" fillId="42" borderId="17" applyNumberFormat="0" applyProtection="0">
      <alignment horizontal="left" vertical="center" indent="1"/>
    </xf>
    <xf numFmtId="0" fontId="19" fillId="42" borderId="17" applyNumberFormat="0" applyProtection="0">
      <alignment horizontal="left" vertical="center" indent="1"/>
    </xf>
    <xf numFmtId="0" fontId="19" fillId="42" borderId="17" applyNumberFormat="0" applyProtection="0">
      <alignment horizontal="left" vertical="center" indent="1"/>
    </xf>
    <xf numFmtId="0" fontId="19" fillId="42" borderId="17" applyNumberFormat="0" applyProtection="0">
      <alignment horizontal="left" vertical="center" indent="1"/>
    </xf>
    <xf numFmtId="0" fontId="19" fillId="42" borderId="17" applyNumberFormat="0" applyProtection="0">
      <alignment horizontal="left" vertical="center" indent="1"/>
    </xf>
    <xf numFmtId="0" fontId="19" fillId="42" borderId="17" applyNumberFormat="0" applyProtection="0">
      <alignment horizontal="left" vertical="center" indent="1"/>
    </xf>
    <xf numFmtId="0" fontId="19" fillId="42" borderId="17" applyNumberFormat="0" applyProtection="0">
      <alignment horizontal="left" vertical="center" indent="1"/>
    </xf>
    <xf numFmtId="0" fontId="211" fillId="0" borderId="0"/>
    <xf numFmtId="4" fontId="51" fillId="53" borderId="17" applyNumberFormat="0" applyProtection="0">
      <alignment horizontal="right" vertical="center"/>
    </xf>
    <xf numFmtId="177" fontId="212" fillId="0" borderId="0">
      <protection locked="0"/>
    </xf>
    <xf numFmtId="285" fontId="65" fillId="0" borderId="0" applyNumberFormat="0" applyFill="0" applyBorder="0"/>
    <xf numFmtId="0" fontId="213" fillId="0" borderId="9">
      <alignment horizontal="center" vertical="center"/>
    </xf>
    <xf numFmtId="0" fontId="214" fillId="0" borderId="0" applyNumberFormat="0" applyFill="0" applyBorder="0" applyProtection="0">
      <alignment horizontal="left" vertical="center"/>
    </xf>
    <xf numFmtId="0" fontId="60" fillId="29" borderId="0" applyNumberFormat="0" applyBorder="0">
      <alignment vertical="center"/>
    </xf>
    <xf numFmtId="177" fontId="215" fillId="0" borderId="0"/>
    <xf numFmtId="37" fontId="215" fillId="0" borderId="0"/>
    <xf numFmtId="0" fontId="108" fillId="32" borderId="0" applyNumberFormat="0" applyFont="0" applyBorder="0" applyAlignment="0" applyProtection="0"/>
    <xf numFmtId="0" fontId="175" fillId="37" borderId="0" applyNumberFormat="0" applyFont="0" applyBorder="0" applyAlignment="0" applyProtection="0"/>
    <xf numFmtId="0" fontId="175" fillId="37" borderId="0" applyNumberFormat="0" applyFont="0" applyBorder="0" applyAlignment="0" applyProtection="0"/>
    <xf numFmtId="1" fontId="62" fillId="0" borderId="0" applyFill="0" applyBorder="0" applyAlignment="0" applyProtection="0"/>
    <xf numFmtId="286" fontId="19" fillId="0" borderId="26" applyFont="0" applyFill="0" applyBorder="0" applyAlignment="0" applyProtection="0"/>
    <xf numFmtId="286" fontId="19" fillId="0" borderId="26" applyFont="0" applyFill="0" applyBorder="0" applyAlignment="0" applyProtection="0"/>
    <xf numFmtId="286" fontId="19" fillId="0" borderId="26" applyFont="0" applyFill="0" applyBorder="0" applyAlignment="0" applyProtection="0"/>
    <xf numFmtId="286" fontId="19" fillId="0" borderId="26" applyFont="0" applyFill="0" applyBorder="0" applyAlignment="0" applyProtection="0"/>
    <xf numFmtId="0" fontId="19" fillId="37" borderId="0" applyFill="0" applyBorder="0">
      <alignment horizontal="center"/>
    </xf>
    <xf numFmtId="0" fontId="19" fillId="37" borderId="0" applyFill="0" applyBorder="0">
      <alignment horizontal="center"/>
    </xf>
    <xf numFmtId="0" fontId="19" fillId="37" borderId="0" applyFill="0" applyBorder="0">
      <alignment horizontal="center"/>
    </xf>
    <xf numFmtId="0" fontId="19" fillId="37" borderId="0" applyFill="0" applyBorder="0">
      <alignment horizontal="center"/>
    </xf>
    <xf numFmtId="40" fontId="10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202" fillId="0" borderId="20">
      <alignment horizontal="right"/>
    </xf>
    <xf numFmtId="0" fontId="216" fillId="0" borderId="31"/>
    <xf numFmtId="0" fontId="134" fillId="0" borderId="0">
      <alignment horizontal="centerContinuous"/>
    </xf>
    <xf numFmtId="0" fontId="134" fillId="0" borderId="0">
      <alignment horizontal="centerContinuous"/>
    </xf>
    <xf numFmtId="0" fontId="179" fillId="0" borderId="0"/>
    <xf numFmtId="0" fontId="193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57" fillId="0" borderId="0" applyNumberFormat="0" applyBorder="0" applyAlignment="0"/>
    <xf numFmtId="0" fontId="217" fillId="0" borderId="0" applyNumberFormat="0" applyBorder="0" applyAlignment="0"/>
    <xf numFmtId="0" fontId="140" fillId="0" borderId="0" applyNumberFormat="0" applyBorder="0" applyAlignment="0"/>
    <xf numFmtId="0" fontId="218" fillId="0" borderId="0" applyNumberFormat="0" applyBorder="0" applyAlignment="0"/>
    <xf numFmtId="0" fontId="218" fillId="0" borderId="0" applyNumberFormat="0" applyBorder="0" applyAlignment="0"/>
    <xf numFmtId="0" fontId="140" fillId="0" borderId="0" applyNumberFormat="0" applyBorder="0" applyAlignment="0"/>
    <xf numFmtId="0" fontId="140" fillId="0" borderId="0" applyNumberFormat="0" applyBorder="0" applyAlignment="0"/>
    <xf numFmtId="0" fontId="140" fillId="0" borderId="0" applyNumberFormat="0" applyBorder="0" applyAlignment="0"/>
    <xf numFmtId="0" fontId="57" fillId="0" borderId="0" applyNumberFormat="0" applyBorder="0" applyAlignment="0"/>
    <xf numFmtId="0" fontId="140" fillId="0" borderId="0" applyNumberFormat="0" applyBorder="0" applyAlignment="0"/>
    <xf numFmtId="0" fontId="219" fillId="0" borderId="0" applyNumberFormat="0" applyBorder="0" applyAlignment="0"/>
    <xf numFmtId="0" fontId="219" fillId="0" borderId="0" applyNumberFormat="0" applyBorder="0" applyAlignment="0"/>
    <xf numFmtId="0" fontId="140" fillId="0" borderId="0" applyNumberFormat="0" applyBorder="0" applyAlignment="0"/>
    <xf numFmtId="0" fontId="140" fillId="0" borderId="0" applyNumberFormat="0" applyBorder="0" applyAlignment="0"/>
    <xf numFmtId="0" fontId="140" fillId="0" borderId="0" applyNumberFormat="0" applyBorder="0" applyAlignment="0"/>
    <xf numFmtId="0" fontId="210" fillId="0" borderId="0" applyNumberFormat="0" applyBorder="0" applyAlignment="0"/>
    <xf numFmtId="0" fontId="66" fillId="0" borderId="0" applyNumberFormat="0" applyBorder="0" applyAlignment="0"/>
    <xf numFmtId="0" fontId="220" fillId="0" borderId="0" applyNumberFormat="0" applyBorder="0" applyAlignment="0"/>
    <xf numFmtId="0" fontId="63" fillId="0" borderId="0" applyNumberFormat="0" applyBorder="0" applyAlignment="0"/>
    <xf numFmtId="287" fontId="49" fillId="0" borderId="0" applyFill="0" applyBorder="0" applyProtection="0"/>
    <xf numFmtId="287" fontId="49" fillId="0" borderId="0" applyFill="0" applyBorder="0" applyProtection="0"/>
    <xf numFmtId="0" fontId="134" fillId="0" borderId="7">
      <alignment horizontal="center"/>
    </xf>
    <xf numFmtId="0" fontId="134" fillId="0" borderId="7">
      <alignment horizontal="center"/>
    </xf>
    <xf numFmtId="0" fontId="126" fillId="0" borderId="0"/>
    <xf numFmtId="0" fontId="134" fillId="0" borderId="7">
      <alignment horizontal="centerContinuous"/>
    </xf>
    <xf numFmtId="0" fontId="134" fillId="0" borderId="7">
      <alignment horizontal="centerContinuous"/>
    </xf>
    <xf numFmtId="0" fontId="134" fillId="0" borderId="31">
      <alignment horizontal="centerContinuous"/>
    </xf>
    <xf numFmtId="0" fontId="134" fillId="0" borderId="31">
      <alignment horizontal="centerContinuous"/>
    </xf>
    <xf numFmtId="0" fontId="134" fillId="0" borderId="31">
      <alignment horizontal="centerContinuous"/>
    </xf>
    <xf numFmtId="0" fontId="134" fillId="0" borderId="31">
      <alignment horizontal="centerContinuous"/>
    </xf>
    <xf numFmtId="9" fontId="134" fillId="0" borderId="0">
      <alignment horizontal="centerContinuous"/>
    </xf>
    <xf numFmtId="9" fontId="134" fillId="0" borderId="0">
      <alignment horizontal="centerContinuous"/>
    </xf>
    <xf numFmtId="0" fontId="113" fillId="0" borderId="0" applyNumberFormat="0" applyFill="0" applyBorder="0" applyProtection="0">
      <alignment horizontal="left"/>
    </xf>
    <xf numFmtId="0" fontId="111" fillId="0" borderId="0" applyBorder="0" applyProtection="0">
      <alignment vertical="center"/>
    </xf>
    <xf numFmtId="0" fontId="113" fillId="0" borderId="0" applyNumberFormat="0" applyFill="0" applyBorder="0" applyProtection="0">
      <alignment horizontal="left"/>
    </xf>
    <xf numFmtId="187" fontId="19" fillId="0" borderId="0" applyFont="0" applyFill="0" applyBorder="0" applyAlignment="0" applyProtection="0"/>
    <xf numFmtId="0" fontId="59" fillId="0" borderId="0" applyBorder="0" applyProtection="0">
      <alignment horizontal="left"/>
    </xf>
    <xf numFmtId="0" fontId="155" fillId="0" borderId="0" applyNumberFormat="0" applyFill="0" applyBorder="0" applyProtection="0">
      <alignment horizontal="left"/>
    </xf>
    <xf numFmtId="0" fontId="221" fillId="0" borderId="0" applyFill="0" applyBorder="0" applyProtection="0"/>
    <xf numFmtId="0" fontId="98" fillId="0" borderId="0" applyNumberFormat="0" applyFill="0" applyBorder="0" applyProtection="0"/>
    <xf numFmtId="0" fontId="165" fillId="0" borderId="0" applyNumberFormat="0" applyFill="0" applyBorder="0" applyProtection="0"/>
    <xf numFmtId="0" fontId="49" fillId="0" borderId="0" applyFill="0" applyBorder="0" applyProtection="0">
      <alignment horizontal="left"/>
    </xf>
    <xf numFmtId="0" fontId="155" fillId="0" borderId="0" applyNumberFormat="0" applyFill="0" applyBorder="0" applyProtection="0"/>
    <xf numFmtId="0" fontId="20" fillId="0" borderId="24" applyFill="0" applyBorder="0" applyProtection="0">
      <alignment horizontal="left" vertical="top"/>
    </xf>
    <xf numFmtId="0" fontId="222" fillId="38" borderId="0" applyBorder="0">
      <alignment horizontal="left" vertical="center" indent="1"/>
    </xf>
    <xf numFmtId="0" fontId="223" fillId="0" borderId="0" applyNumberFormat="0" applyFill="0" applyBorder="0" applyProtection="0"/>
    <xf numFmtId="0" fontId="223" fillId="0" borderId="0" applyNumberFormat="0" applyFill="0" applyBorder="0" applyProtection="0"/>
    <xf numFmtId="0" fontId="224" fillId="0" borderId="0" applyNumberFormat="0" applyFill="0" applyBorder="0" applyProtection="0"/>
    <xf numFmtId="0" fontId="224" fillId="0" borderId="0" applyNumberFormat="0" applyFill="0" applyBorder="0" applyProtection="0"/>
    <xf numFmtId="0" fontId="223" fillId="0" borderId="0" applyNumberFormat="0" applyFill="0" applyBorder="0" applyProtection="0"/>
    <xf numFmtId="0" fontId="223" fillId="0" borderId="0"/>
    <xf numFmtId="288" fontId="50" fillId="56" borderId="0" applyFill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15" fillId="39" borderId="57" applyNumberFormat="0" applyBorder="0" applyProtection="0">
      <alignment horizontal="left" vertical="center"/>
    </xf>
    <xf numFmtId="289" fontId="51" fillId="0" borderId="0" applyNumberFormat="0" applyFill="0" applyBorder="0" applyAlignment="0" applyProtection="0"/>
    <xf numFmtId="0" fontId="224" fillId="0" borderId="0"/>
    <xf numFmtId="0" fontId="223" fillId="0" borderId="0"/>
    <xf numFmtId="0" fontId="135" fillId="0" borderId="21" applyNumberFormat="0" applyFont="0" applyFill="0" applyAlignment="0" applyProtection="0"/>
    <xf numFmtId="0" fontId="209" fillId="0" borderId="58" applyNumberFormat="0" applyFill="0" applyAlignment="0" applyProtection="0"/>
    <xf numFmtId="0" fontId="134" fillId="0" borderId="0">
      <alignment horizontal="centerContinuous"/>
    </xf>
    <xf numFmtId="0" fontId="134" fillId="0" borderId="0">
      <alignment horizontal="centerContinuous"/>
    </xf>
    <xf numFmtId="164" fontId="127" fillId="0" borderId="0" applyFont="0" applyFill="0" applyBorder="0">
      <alignment horizontal="right"/>
    </xf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262" fontId="19" fillId="0" borderId="0" applyNumberFormat="0"/>
    <xf numFmtId="262" fontId="19" fillId="0" borderId="0" applyNumberFormat="0"/>
    <xf numFmtId="262" fontId="19" fillId="0" borderId="0" applyNumberFormat="0"/>
    <xf numFmtId="262" fontId="19" fillId="0" borderId="0" applyNumberFormat="0"/>
    <xf numFmtId="290" fontId="19" fillId="0" borderId="0" applyFont="0" applyFill="0" applyBorder="0" applyAlignment="0" applyProtection="0"/>
    <xf numFmtId="291" fontId="179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96" fillId="0" borderId="0" applyFill="0" applyBorder="0" applyProtection="0">
      <alignment horizontal="right"/>
    </xf>
    <xf numFmtId="0" fontId="196" fillId="0" borderId="0" applyFill="0" applyBorder="0" applyProtection="0">
      <alignment horizontal="right"/>
    </xf>
    <xf numFmtId="0" fontId="203" fillId="0" borderId="9"/>
    <xf numFmtId="236" fontId="203" fillId="0" borderId="0">
      <alignment horizontal="right"/>
    </xf>
    <xf numFmtId="0" fontId="51" fillId="0" borderId="0" applyNumberFormat="0" applyFill="0" applyBorder="0" applyAlignment="0" applyProtection="0"/>
    <xf numFmtId="288" fontId="225" fillId="0" borderId="9">
      <alignment horizontal="right" vertical="top"/>
      <protection locked="0"/>
    </xf>
    <xf numFmtId="249" fontId="50" fillId="29" borderId="0" applyFill="0" applyBorder="0">
      <alignment horizontal="right" vertical="top"/>
    </xf>
    <xf numFmtId="249" fontId="49" fillId="0" borderId="0" applyFill="0" applyBorder="0">
      <alignment horizontal="right" vertical="top"/>
    </xf>
    <xf numFmtId="249" fontId="49" fillId="0" borderId="0" applyFill="0" applyBorder="0">
      <alignment horizontal="right" vertical="top"/>
    </xf>
    <xf numFmtId="0" fontId="108" fillId="39" borderId="0" applyNumberFormat="0" applyBorder="0" applyProtection="0">
      <alignment horizontal="left"/>
    </xf>
    <xf numFmtId="14" fontId="108" fillId="0" borderId="0" applyFont="0" applyFill="0" applyBorder="0" applyProtection="0"/>
    <xf numFmtId="1" fontId="61" fillId="0" borderId="0">
      <alignment horizontal="right"/>
    </xf>
    <xf numFmtId="1" fontId="108" fillId="0" borderId="0" applyFill="0" applyBorder="0" applyProtection="0">
      <alignment horizontal="center"/>
    </xf>
    <xf numFmtId="1" fontId="62" fillId="0" borderId="0" applyFont="0" applyFill="0" applyBorder="0" applyAlignment="0" applyProtection="0"/>
    <xf numFmtId="0" fontId="134" fillId="0" borderId="0">
      <alignment horizontal="centerContinuous"/>
    </xf>
    <xf numFmtId="0" fontId="134" fillId="0" borderId="0">
      <alignment horizontal="centerContinuous"/>
    </xf>
    <xf numFmtId="292" fontId="19" fillId="0" borderId="0" applyFont="0" applyFill="0" applyBorder="0" applyAlignment="0" applyProtection="0"/>
    <xf numFmtId="9" fontId="126" fillId="0" borderId="0">
      <alignment horizontal="left"/>
    </xf>
    <xf numFmtId="0" fontId="126" fillId="0" borderId="0">
      <alignment horizontal="left"/>
    </xf>
    <xf numFmtId="0" fontId="126" fillId="0" borderId="0">
      <alignment horizontal="left"/>
    </xf>
    <xf numFmtId="0" fontId="19" fillId="0" borderId="0"/>
    <xf numFmtId="293" fontId="226" fillId="0" borderId="0"/>
    <xf numFmtId="0" fontId="19" fillId="0" borderId="0">
      <alignment horizontal="left" wrapText="1"/>
    </xf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9" fillId="0" borderId="0" applyFont="0" applyFill="0" applyBorder="0" applyAlignment="0" applyProtection="0"/>
    <xf numFmtId="0" fontId="19" fillId="0" borderId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19" fillId="0" borderId="0"/>
    <xf numFmtId="181" fontId="19" fillId="0" borderId="0" applyFont="0" applyFill="0" applyBorder="0" applyAlignment="0" applyProtection="0"/>
    <xf numFmtId="0" fontId="19" fillId="0" borderId="0"/>
    <xf numFmtId="181" fontId="19" fillId="0" borderId="0" applyFont="0" applyFill="0" applyBorder="0" applyAlignment="0" applyProtection="0"/>
    <xf numFmtId="0" fontId="19" fillId="0" borderId="0"/>
    <xf numFmtId="0" fontId="19" fillId="0" borderId="0"/>
    <xf numFmtId="181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18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19" fillId="0" borderId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18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25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191" fontId="19" fillId="0" borderId="0" applyFont="0" applyFill="0" applyBorder="0" applyAlignment="0" applyProtection="0"/>
    <xf numFmtId="254" fontId="19" fillId="0" borderId="0" applyFont="0" applyFill="0" applyBorder="0" applyAlignment="0" applyProtection="0"/>
    <xf numFmtId="169" fontId="19" fillId="0" borderId="0">
      <alignment horizontal="left" wrapText="1"/>
    </xf>
    <xf numFmtId="254" fontId="19" fillId="0" borderId="0" applyFont="0" applyFill="0" applyBorder="0" applyAlignment="0" applyProtection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93" fontId="19" fillId="0" borderId="0">
      <alignment horizontal="left" wrapText="1"/>
    </xf>
    <xf numFmtId="193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95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0" fontId="19" fillId="0" borderId="0">
      <alignment horizontal="left" wrapText="1"/>
    </xf>
    <xf numFmtId="199" fontId="19" fillId="0" borderId="0" applyFont="0" applyFill="0" applyBorder="0" applyAlignment="0" applyProtection="0"/>
    <xf numFmtId="257" fontId="19" fillId="0" borderId="0"/>
    <xf numFmtId="20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257" fontId="19" fillId="0" borderId="0"/>
    <xf numFmtId="0" fontId="19" fillId="0" borderId="0" applyFont="0" applyFill="0" applyBorder="0" applyAlignment="0" applyProtection="0"/>
    <xf numFmtId="169" fontId="19" fillId="0" borderId="0">
      <alignment horizontal="left" wrapText="1"/>
    </xf>
    <xf numFmtId="169" fontId="19" fillId="0" borderId="0">
      <alignment horizontal="left" wrapText="1"/>
    </xf>
    <xf numFmtId="257" fontId="19" fillId="0" borderId="0"/>
    <xf numFmtId="0" fontId="19" fillId="0" borderId="0"/>
    <xf numFmtId="0" fontId="19" fillId="0" borderId="0"/>
    <xf numFmtId="202" fontId="19" fillId="25" borderId="1">
      <alignment horizontal="center" vertical="center"/>
    </xf>
    <xf numFmtId="8" fontId="19" fillId="0" borderId="0" applyFont="0" applyFill="0" applyBorder="0" applyAlignment="0"/>
    <xf numFmtId="211" fontId="19" fillId="0" borderId="0" applyFont="0" applyFill="0" applyBorder="0" applyAlignment="0" applyProtection="0">
      <alignment vertical="top"/>
    </xf>
    <xf numFmtId="213" fontId="19" fillId="0" borderId="0" applyFont="0" applyFill="0" applyBorder="0" applyAlignment="0" applyProtection="0">
      <alignment horizontal="right"/>
    </xf>
    <xf numFmtId="216" fontId="19" fillId="0" borderId="0" applyFont="0" applyFill="0" applyBorder="0" applyAlignment="0" applyProtection="0"/>
    <xf numFmtId="218" fontId="19" fillId="28" borderId="0" applyFont="0" applyFill="0" applyBorder="0" applyAlignment="0"/>
    <xf numFmtId="277" fontId="189" fillId="0" borderId="0" applyFont="0" applyFill="0" applyBorder="0" applyProtection="0">
      <alignment horizontal="right"/>
    </xf>
    <xf numFmtId="277" fontId="189" fillId="0" borderId="0" applyFont="0" applyFill="0" applyBorder="0" applyProtection="0">
      <alignment horizontal="right"/>
    </xf>
    <xf numFmtId="277" fontId="189" fillId="0" borderId="0" applyFont="0" applyFill="0" applyBorder="0" applyProtection="0">
      <alignment horizontal="right"/>
    </xf>
    <xf numFmtId="37" fontId="19" fillId="0" borderId="0" applyFont="0" applyFill="0" applyBorder="0" applyAlignment="0" applyProtection="0"/>
    <xf numFmtId="221" fontId="19" fillId="0" borderId="0" applyFont="0" applyFill="0" applyBorder="0" applyAlignment="0" applyProtection="0">
      <alignment horizontal="left" wrapText="1"/>
    </xf>
    <xf numFmtId="277" fontId="189" fillId="0" borderId="0" applyFont="0" applyFill="0" applyBorder="0" applyProtection="0">
      <alignment horizontal="right"/>
    </xf>
    <xf numFmtId="277" fontId="189" fillId="0" borderId="0" applyFont="0" applyFill="0" applyBorder="0" applyProtection="0">
      <alignment horizontal="right"/>
    </xf>
    <xf numFmtId="277" fontId="189" fillId="0" borderId="0" applyFont="0" applyFill="0" applyBorder="0" applyProtection="0">
      <alignment horizontal="right"/>
    </xf>
    <xf numFmtId="0" fontId="19" fillId="6" borderId="16" applyNumberFormat="0" applyFont="0" applyAlignment="0" applyProtection="0"/>
    <xf numFmtId="229" fontId="19" fillId="0" borderId="0" applyFont="0" applyFill="0" applyBorder="0" applyAlignment="0"/>
    <xf numFmtId="231" fontId="19" fillId="0" borderId="0" applyFont="0" applyFill="0" applyBorder="0" applyAlignment="0"/>
    <xf numFmtId="169" fontId="19" fillId="0" borderId="0">
      <alignment horizontal="left" wrapText="1"/>
    </xf>
    <xf numFmtId="0" fontId="19" fillId="0" borderId="0"/>
    <xf numFmtId="0" fontId="19" fillId="0" borderId="0"/>
    <xf numFmtId="193" fontId="19" fillId="0" borderId="0">
      <alignment horizontal="left" wrapText="1"/>
    </xf>
    <xf numFmtId="235" fontId="19" fillId="0" borderId="0"/>
    <xf numFmtId="205" fontId="19" fillId="0" borderId="0">
      <alignment horizontal="left"/>
    </xf>
    <xf numFmtId="257" fontId="19" fillId="0" borderId="0"/>
    <xf numFmtId="257" fontId="19" fillId="0" borderId="0"/>
    <xf numFmtId="257" fontId="19" fillId="0" borderId="0"/>
    <xf numFmtId="254" fontId="19" fillId="0" borderId="0" applyFont="0" applyFill="0" applyBorder="0" applyAlignment="0" applyProtection="0"/>
    <xf numFmtId="254" fontId="19" fillId="0" borderId="0" applyFont="0" applyFill="0" applyBorder="0" applyAlignment="0" applyProtection="0"/>
    <xf numFmtId="254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168" fontId="19" fillId="0" borderId="0"/>
    <xf numFmtId="0" fontId="19" fillId="0" borderId="0"/>
    <xf numFmtId="19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208" fontId="19" fillId="0" borderId="0" applyFont="0" applyFill="0" applyBorder="0" applyAlignment="0"/>
    <xf numFmtId="220" fontId="19" fillId="0" borderId="0">
      <alignment horizontal="left"/>
    </xf>
    <xf numFmtId="43" fontId="239" fillId="0" borderId="0" applyFont="0" applyFill="0" applyBorder="0" applyAlignment="0" applyProtection="0"/>
    <xf numFmtId="43" fontId="239" fillId="0" borderId="0" applyFont="0" applyFill="0" applyBorder="0" applyAlignment="0" applyProtection="0"/>
    <xf numFmtId="43" fontId="239" fillId="0" borderId="0" applyFont="0" applyFill="0" applyBorder="0" applyAlignment="0" applyProtection="0"/>
    <xf numFmtId="43" fontId="239" fillId="0" borderId="0" applyFont="0" applyFill="0" applyBorder="0" applyAlignment="0" applyProtection="0"/>
    <xf numFmtId="0" fontId="240" fillId="0" borderId="0"/>
    <xf numFmtId="44" fontId="240" fillId="0" borderId="0" applyFont="0" applyFill="0" applyBorder="0" applyAlignment="0" applyProtection="0"/>
    <xf numFmtId="9" fontId="240" fillId="0" borderId="0" applyFont="0" applyFill="0" applyBorder="0" applyAlignment="0" applyProtection="0"/>
    <xf numFmtId="0" fontId="15" fillId="0" borderId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244" fillId="3" borderId="0" applyNumberFormat="0" applyBorder="0" applyAlignment="0" applyProtection="0"/>
    <xf numFmtId="0" fontId="57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244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244" fillId="7" borderId="0" applyNumberFormat="0" applyBorder="0" applyAlignment="0" applyProtection="0"/>
    <xf numFmtId="0" fontId="5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244" fillId="8" borderId="0" applyNumberFormat="0" applyBorder="0" applyAlignment="0" applyProtection="0"/>
    <xf numFmtId="0" fontId="5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244" fillId="9" borderId="0" applyNumberFormat="0" applyBorder="0" applyAlignment="0" applyProtection="0"/>
    <xf numFmtId="0" fontId="26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244" fillId="4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244" fillId="10" borderId="0" applyNumberFormat="0" applyBorder="0" applyAlignment="0" applyProtection="0"/>
    <xf numFmtId="0" fontId="5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244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244" fillId="13" borderId="0" applyNumberFormat="0" applyBorder="0" applyAlignment="0" applyProtection="0"/>
    <xf numFmtId="0" fontId="5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244" fillId="8" borderId="0" applyNumberFormat="0" applyBorder="0" applyAlignment="0" applyProtection="0"/>
    <xf numFmtId="0" fontId="5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244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244" fillId="14" borderId="0" applyNumberFormat="0" applyBorder="0" applyAlignment="0" applyProtection="0"/>
    <xf numFmtId="0" fontId="57" fillId="14" borderId="0" applyNumberFormat="0" applyBorder="0" applyAlignment="0" applyProtection="0"/>
    <xf numFmtId="0" fontId="26" fillId="14" borderId="0" applyNumberFormat="0" applyBorder="0" applyAlignment="0" applyProtection="0"/>
    <xf numFmtId="0" fontId="77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245" fillId="16" borderId="0" applyNumberFormat="0" applyBorder="0" applyAlignment="0" applyProtection="0"/>
    <xf numFmtId="0" fontId="125" fillId="16" borderId="0" applyNumberFormat="0" applyBorder="0" applyAlignment="0" applyProtection="0"/>
    <xf numFmtId="0" fontId="77" fillId="16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245" fillId="11" borderId="0" applyNumberFormat="0" applyBorder="0" applyAlignment="0" applyProtection="0"/>
    <xf numFmtId="0" fontId="77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125" fillId="12" borderId="0" applyNumberFormat="0" applyBorder="0" applyAlignment="0" applyProtection="0"/>
    <xf numFmtId="0" fontId="245" fillId="13" borderId="0" applyNumberFormat="0" applyBorder="0" applyAlignment="0" applyProtection="0"/>
    <xf numFmtId="0" fontId="125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57" borderId="0" applyNumberFormat="0" applyBorder="0" applyAlignment="0" applyProtection="0"/>
    <xf numFmtId="0" fontId="125" fillId="57" borderId="0" applyNumberFormat="0" applyBorder="0" applyAlignment="0" applyProtection="0"/>
    <xf numFmtId="0" fontId="125" fillId="57" borderId="0" applyNumberFormat="0" applyBorder="0" applyAlignment="0" applyProtection="0"/>
    <xf numFmtId="0" fontId="125" fillId="57" borderId="0" applyNumberFormat="0" applyBorder="0" applyAlignment="0" applyProtection="0"/>
    <xf numFmtId="0" fontId="245" fillId="18" borderId="0" applyNumberFormat="0" applyBorder="0" applyAlignment="0" applyProtection="0"/>
    <xf numFmtId="0" fontId="125" fillId="18" borderId="0" applyNumberFormat="0" applyBorder="0" applyAlignment="0" applyProtection="0"/>
    <xf numFmtId="0" fontId="77" fillId="18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245" fillId="15" borderId="0" applyNumberFormat="0" applyBorder="0" applyAlignment="0" applyProtection="0"/>
    <xf numFmtId="0" fontId="77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125" fillId="11" borderId="0" applyNumberFormat="0" applyBorder="0" applyAlignment="0" applyProtection="0"/>
    <xf numFmtId="0" fontId="245" fillId="19" borderId="0" applyNumberFormat="0" applyBorder="0" applyAlignment="0" applyProtection="0"/>
    <xf numFmtId="0" fontId="125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245" fillId="20" borderId="0" applyNumberFormat="0" applyBorder="0" applyAlignment="0" applyProtection="0"/>
    <xf numFmtId="0" fontId="125" fillId="20" borderId="0" applyNumberFormat="0" applyBorder="0" applyAlignment="0" applyProtection="0"/>
    <xf numFmtId="0" fontId="77" fillId="20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245" fillId="22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245" fillId="23" borderId="0" applyNumberFormat="0" applyBorder="0" applyAlignment="0" applyProtection="0"/>
    <xf numFmtId="0" fontId="77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245" fillId="18" borderId="0" applyNumberFormat="0" applyBorder="0" applyAlignment="0" applyProtection="0"/>
    <xf numFmtId="0" fontId="125" fillId="18" borderId="0" applyNumberFormat="0" applyBorder="0" applyAlignment="0" applyProtection="0"/>
    <xf numFmtId="0" fontId="77" fillId="18" borderId="0" applyNumberFormat="0" applyBorder="0" applyAlignment="0" applyProtection="0"/>
    <xf numFmtId="0" fontId="125" fillId="15" borderId="0" applyNumberFormat="0" applyBorder="0" applyAlignment="0" applyProtection="0"/>
    <xf numFmtId="0" fontId="125" fillId="15" borderId="0" applyNumberFormat="0" applyBorder="0" applyAlignment="0" applyProtection="0"/>
    <xf numFmtId="0" fontId="245" fillId="15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245" fillId="21" borderId="0" applyNumberFormat="0" applyBorder="0" applyAlignment="0" applyProtection="0"/>
    <xf numFmtId="0" fontId="27" fillId="58" borderId="0" applyNumberFormat="0" applyBorder="0" applyAlignment="0" applyProtection="0"/>
    <xf numFmtId="0" fontId="227" fillId="58" borderId="0" applyNumberFormat="0" applyBorder="0" applyAlignment="0" applyProtection="0"/>
    <xf numFmtId="0" fontId="227" fillId="58" borderId="0" applyNumberFormat="0" applyBorder="0" applyAlignment="0" applyProtection="0"/>
    <xf numFmtId="0" fontId="227" fillId="58" borderId="0" applyNumberFormat="0" applyBorder="0" applyAlignment="0" applyProtection="0"/>
    <xf numFmtId="0" fontId="246" fillId="5" borderId="0" applyNumberFormat="0" applyBorder="0" applyAlignment="0" applyProtection="0"/>
    <xf numFmtId="0" fontId="227" fillId="5" borderId="0" applyNumberFormat="0" applyBorder="0" applyAlignment="0" applyProtection="0"/>
    <xf numFmtId="0" fontId="27" fillId="5" borderId="0" applyNumberFormat="0" applyBorder="0" applyAlignment="0" applyProtection="0"/>
    <xf numFmtId="0" fontId="228" fillId="26" borderId="4" applyNumberFormat="0" applyAlignment="0" applyProtection="0"/>
    <xf numFmtId="0" fontId="228" fillId="26" borderId="4" applyNumberFormat="0" applyAlignment="0" applyProtection="0"/>
    <xf numFmtId="0" fontId="228" fillId="26" borderId="4" applyNumberFormat="0" applyAlignment="0" applyProtection="0"/>
    <xf numFmtId="0" fontId="247" fillId="26" borderId="4" applyNumberFormat="0" applyAlignment="0" applyProtection="0"/>
    <xf numFmtId="0" fontId="81" fillId="57" borderId="5" applyNumberFormat="0" applyAlignment="0" applyProtection="0"/>
    <xf numFmtId="0" fontId="229" fillId="57" borderId="5" applyNumberFormat="0" applyAlignment="0" applyProtection="0"/>
    <xf numFmtId="0" fontId="229" fillId="57" borderId="5" applyNumberFormat="0" applyAlignment="0" applyProtection="0"/>
    <xf numFmtId="0" fontId="229" fillId="57" borderId="5" applyNumberFormat="0" applyAlignment="0" applyProtection="0"/>
    <xf numFmtId="0" fontId="248" fillId="27" borderId="5" applyNumberFormat="0" applyAlignment="0" applyProtection="0"/>
    <xf numFmtId="0" fontId="229" fillId="27" borderId="5" applyNumberFormat="0" applyAlignment="0" applyProtection="0"/>
    <xf numFmtId="0" fontId="81" fillId="27" borderId="5" applyNumberFormat="0" applyAlignment="0" applyProtection="0"/>
    <xf numFmtId="43" fontId="1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9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4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43" fillId="0" borderId="0" applyFont="0" applyFill="0" applyBorder="0" applyAlignment="0" applyProtection="0"/>
    <xf numFmtId="44" fontId="243" fillId="0" borderId="0" applyFont="0" applyFill="0" applyBorder="0" applyAlignment="0" applyProtection="0"/>
    <xf numFmtId="44" fontId="24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43" fillId="0" borderId="0" applyFont="0" applyFill="0" applyBorder="0" applyAlignment="0" applyProtection="0"/>
    <xf numFmtId="8" fontId="45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57" fillId="7" borderId="0" applyNumberFormat="0" applyBorder="0" applyAlignment="0" applyProtection="0"/>
    <xf numFmtId="0" fontId="157" fillId="7" borderId="0" applyNumberFormat="0" applyBorder="0" applyAlignment="0" applyProtection="0"/>
    <xf numFmtId="0" fontId="251" fillId="7" borderId="0" applyNumberFormat="0" applyBorder="0" applyAlignment="0" applyProtection="0"/>
    <xf numFmtId="0" fontId="252" fillId="0" borderId="60" applyNumberFormat="0" applyFill="0" applyAlignment="0" applyProtection="0"/>
    <xf numFmtId="0" fontId="253" fillId="0" borderId="60" applyNumberFormat="0" applyFill="0" applyAlignment="0" applyProtection="0"/>
    <xf numFmtId="0" fontId="253" fillId="0" borderId="60" applyNumberFormat="0" applyFill="0" applyAlignment="0" applyProtection="0"/>
    <xf numFmtId="0" fontId="253" fillId="0" borderId="60" applyNumberFormat="0" applyFill="0" applyAlignment="0" applyProtection="0"/>
    <xf numFmtId="0" fontId="254" fillId="0" borderId="35" applyNumberFormat="0" applyFill="0" applyAlignment="0" applyProtection="0"/>
    <xf numFmtId="0" fontId="231" fillId="0" borderId="35" applyNumberFormat="0" applyFill="0" applyAlignment="0" applyProtection="0"/>
    <xf numFmtId="0" fontId="241" fillId="0" borderId="35" applyNumberFormat="0" applyFill="0" applyAlignment="0" applyProtection="0"/>
    <xf numFmtId="0" fontId="255" fillId="0" borderId="61" applyNumberFormat="0" applyFill="0" applyAlignment="0" applyProtection="0"/>
    <xf numFmtId="0" fontId="256" fillId="0" borderId="61" applyNumberFormat="0" applyFill="0" applyAlignment="0" applyProtection="0"/>
    <xf numFmtId="0" fontId="256" fillId="0" borderId="61" applyNumberFormat="0" applyFill="0" applyAlignment="0" applyProtection="0"/>
    <xf numFmtId="0" fontId="256" fillId="0" borderId="61" applyNumberFormat="0" applyFill="0" applyAlignment="0" applyProtection="0"/>
    <xf numFmtId="0" fontId="257" fillId="0" borderId="36" applyNumberFormat="0" applyFill="0" applyAlignment="0" applyProtection="0"/>
    <xf numFmtId="0" fontId="232" fillId="0" borderId="36" applyNumberFormat="0" applyFill="0" applyAlignment="0" applyProtection="0"/>
    <xf numFmtId="0" fontId="242" fillId="0" borderId="36" applyNumberFormat="0" applyFill="0" applyAlignment="0" applyProtection="0"/>
    <xf numFmtId="0" fontId="38" fillId="0" borderId="12" applyNumberFormat="0" applyFill="0" applyAlignment="0" applyProtection="0"/>
    <xf numFmtId="0" fontId="258" fillId="0" borderId="12" applyNumberFormat="0" applyFill="0" applyAlignment="0" applyProtection="0"/>
    <xf numFmtId="0" fontId="258" fillId="0" borderId="12" applyNumberFormat="0" applyFill="0" applyAlignment="0" applyProtection="0"/>
    <xf numFmtId="0" fontId="258" fillId="0" borderId="12" applyNumberFormat="0" applyFill="0" applyAlignment="0" applyProtection="0"/>
    <xf numFmtId="0" fontId="259" fillId="0" borderId="37" applyNumberFormat="0" applyFill="0" applyAlignment="0" applyProtection="0"/>
    <xf numFmtId="0" fontId="233" fillId="0" borderId="37" applyNumberFormat="0" applyFill="0" applyAlignment="0" applyProtection="0"/>
    <xf numFmtId="0" fontId="94" fillId="0" borderId="37" applyNumberFormat="0" applyFill="0" applyAlignment="0" applyProtection="0"/>
    <xf numFmtId="0" fontId="3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3" fillId="4" borderId="4" applyNumberFormat="0" applyAlignment="0" applyProtection="0"/>
    <xf numFmtId="0" fontId="53" fillId="4" borderId="4" applyNumberFormat="0" applyAlignment="0" applyProtection="0"/>
    <xf numFmtId="0" fontId="53" fillId="4" borderId="4" applyNumberFormat="0" applyAlignment="0" applyProtection="0"/>
    <xf numFmtId="0" fontId="260" fillId="4" borderId="4" applyNumberFormat="0" applyAlignment="0" applyProtection="0"/>
    <xf numFmtId="0" fontId="234" fillId="0" borderId="14" applyNumberFormat="0" applyFill="0" applyAlignment="0" applyProtection="0"/>
    <xf numFmtId="0" fontId="234" fillId="0" borderId="14" applyNumberFormat="0" applyFill="0" applyAlignment="0" applyProtection="0"/>
    <xf numFmtId="0" fontId="234" fillId="0" borderId="14" applyNumberFormat="0" applyFill="0" applyAlignment="0" applyProtection="0"/>
    <xf numFmtId="0" fontId="261" fillId="0" borderId="14" applyNumberFormat="0" applyFill="0" applyAlignment="0" applyProtection="0"/>
    <xf numFmtId="0" fontId="235" fillId="12" borderId="0" applyNumberFormat="0" applyBorder="0" applyAlignment="0" applyProtection="0"/>
    <xf numFmtId="0" fontId="235" fillId="12" borderId="0" applyNumberFormat="0" applyBorder="0" applyAlignment="0" applyProtection="0"/>
    <xf numFmtId="0" fontId="235" fillId="12" borderId="0" applyNumberFormat="0" applyBorder="0" applyAlignment="0" applyProtection="0"/>
    <xf numFmtId="0" fontId="262" fillId="12" borderId="0" applyNumberFormat="0" applyBorder="0" applyAlignment="0" applyProtection="0"/>
    <xf numFmtId="0" fontId="238" fillId="0" borderId="0"/>
    <xf numFmtId="0" fontId="243" fillId="0" borderId="0"/>
    <xf numFmtId="37" fontId="42" fillId="0" borderId="0"/>
    <xf numFmtId="0" fontId="42" fillId="0" borderId="0"/>
    <xf numFmtId="0" fontId="4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8" fontId="19" fillId="0" borderId="0"/>
    <xf numFmtId="38" fontId="19" fillId="0" borderId="0"/>
    <xf numFmtId="38" fontId="19" fillId="0" borderId="0"/>
    <xf numFmtId="38" fontId="19" fillId="0" borderId="0"/>
    <xf numFmtId="0" fontId="1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8" fontId="19" fillId="0" borderId="0"/>
    <xf numFmtId="38" fontId="19" fillId="0" borderId="0"/>
    <xf numFmtId="38" fontId="19" fillId="0" borderId="0"/>
    <xf numFmtId="38" fontId="19" fillId="0" borderId="0"/>
    <xf numFmtId="38" fontId="19" fillId="0" borderId="0"/>
    <xf numFmtId="38" fontId="19" fillId="0" borderId="0"/>
    <xf numFmtId="38" fontId="19" fillId="0" borderId="0"/>
    <xf numFmtId="38" fontId="19" fillId="0" borderId="0"/>
    <xf numFmtId="38" fontId="19" fillId="0" borderId="0"/>
    <xf numFmtId="38" fontId="19" fillId="0" borderId="0"/>
    <xf numFmtId="0" fontId="263" fillId="0" borderId="0"/>
    <xf numFmtId="0" fontId="263" fillId="0" borderId="0"/>
    <xf numFmtId="0" fontId="243" fillId="0" borderId="0"/>
    <xf numFmtId="0" fontId="45" fillId="0" borderId="0"/>
    <xf numFmtId="0" fontId="243" fillId="0" borderId="0"/>
    <xf numFmtId="0" fontId="243" fillId="0" borderId="0"/>
    <xf numFmtId="0" fontId="19" fillId="0" borderId="0"/>
    <xf numFmtId="0" fontId="263" fillId="0" borderId="0"/>
    <xf numFmtId="38" fontId="19" fillId="0" borderId="0"/>
    <xf numFmtId="38" fontId="19" fillId="0" borderId="0"/>
    <xf numFmtId="38" fontId="19" fillId="0" borderId="0"/>
    <xf numFmtId="38" fontId="19" fillId="0" borderId="0"/>
    <xf numFmtId="38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45" fillId="0" borderId="0"/>
    <xf numFmtId="0" fontId="243" fillId="0" borderId="0"/>
    <xf numFmtId="0" fontId="243" fillId="0" borderId="0"/>
    <xf numFmtId="0" fontId="19" fillId="0" borderId="0"/>
    <xf numFmtId="0" fontId="4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238" fillId="0" borderId="0"/>
    <xf numFmtId="0" fontId="238" fillId="0" borderId="0"/>
    <xf numFmtId="0" fontId="238" fillId="0" borderId="0"/>
    <xf numFmtId="0" fontId="19" fillId="6" borderId="16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19" fillId="6" borderId="4" applyNumberFormat="0" applyFont="0" applyAlignment="0" applyProtection="0"/>
    <xf numFmtId="0" fontId="236" fillId="26" borderId="17" applyNumberFormat="0" applyAlignment="0" applyProtection="0"/>
    <xf numFmtId="0" fontId="236" fillId="26" borderId="17" applyNumberFormat="0" applyAlignment="0" applyProtection="0"/>
    <xf numFmtId="0" fontId="236" fillId="26" borderId="17" applyNumberFormat="0" applyAlignment="0" applyProtection="0"/>
    <xf numFmtId="0" fontId="264" fillId="26" borderId="17" applyNumberFormat="0" applyAlignment="0" applyProtection="0"/>
    <xf numFmtId="9" fontId="1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6" fillId="0" borderId="2">
      <alignment horizontal="center"/>
    </xf>
    <xf numFmtId="0" fontId="46" fillId="0" borderId="2">
      <alignment horizontal="center"/>
    </xf>
    <xf numFmtId="0" fontId="46" fillId="0" borderId="2">
      <alignment horizontal="center"/>
    </xf>
    <xf numFmtId="0" fontId="46" fillId="0" borderId="2">
      <alignment horizontal="center"/>
    </xf>
    <xf numFmtId="0" fontId="46" fillId="0" borderId="2">
      <alignment horizontal="center"/>
    </xf>
    <xf numFmtId="0" fontId="46" fillId="0" borderId="2">
      <alignment horizontal="center"/>
    </xf>
    <xf numFmtId="0" fontId="46" fillId="0" borderId="2">
      <alignment horizontal="center"/>
    </xf>
    <xf numFmtId="0" fontId="46" fillId="0" borderId="2">
      <alignment horizontal="center"/>
    </xf>
    <xf numFmtId="0" fontId="46" fillId="0" borderId="2">
      <alignment horizontal="center"/>
    </xf>
    <xf numFmtId="0" fontId="46" fillId="0" borderId="2">
      <alignment horizontal="center"/>
    </xf>
    <xf numFmtId="0" fontId="46" fillId="0" borderId="2">
      <alignment horizontal="center"/>
    </xf>
    <xf numFmtId="0" fontId="46" fillId="0" borderId="2">
      <alignment horizontal="center"/>
    </xf>
    <xf numFmtId="0" fontId="46" fillId="0" borderId="2">
      <alignment horizontal="center"/>
    </xf>
    <xf numFmtId="0" fontId="46" fillId="0" borderId="2">
      <alignment horizontal="center"/>
    </xf>
    <xf numFmtId="0" fontId="46" fillId="0" borderId="2">
      <alignment horizontal="center"/>
    </xf>
    <xf numFmtId="0" fontId="46" fillId="0" borderId="2">
      <alignment horizontal="center"/>
    </xf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5" fillId="31" borderId="0" applyNumberFormat="0" applyFont="0" applyBorder="0" applyAlignment="0" applyProtection="0"/>
    <xf numFmtId="0" fontId="45" fillId="31" borderId="0" applyNumberFormat="0" applyFont="0" applyBorder="0" applyAlignment="0" applyProtection="0"/>
    <xf numFmtId="0" fontId="45" fillId="31" borderId="0" applyNumberFormat="0" applyFont="0" applyBorder="0" applyAlignment="0" applyProtection="0"/>
    <xf numFmtId="0" fontId="45" fillId="31" borderId="0" applyNumberFormat="0" applyFont="0" applyBorder="0" applyAlignment="0" applyProtection="0"/>
    <xf numFmtId="0" fontId="45" fillId="31" borderId="0" applyNumberFormat="0" applyFont="0" applyBorder="0" applyAlignment="0" applyProtection="0"/>
    <xf numFmtId="0" fontId="45" fillId="31" borderId="0" applyNumberFormat="0" applyFont="0" applyBorder="0" applyAlignment="0" applyProtection="0"/>
    <xf numFmtId="0" fontId="45" fillId="31" borderId="0" applyNumberFormat="0" applyFont="0" applyBorder="0" applyAlignment="0" applyProtection="0"/>
    <xf numFmtId="0" fontId="45" fillId="31" borderId="0" applyNumberFormat="0" applyFon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30" fillId="0" borderId="62" applyNumberFormat="0" applyFill="0" applyAlignment="0" applyProtection="0"/>
    <xf numFmtId="0" fontId="209" fillId="0" borderId="62" applyNumberFormat="0" applyFill="0" applyAlignment="0" applyProtection="0"/>
    <xf numFmtId="0" fontId="209" fillId="0" borderId="62" applyNumberFormat="0" applyFill="0" applyAlignment="0" applyProtection="0"/>
    <xf numFmtId="0" fontId="209" fillId="0" borderId="62" applyNumberFormat="0" applyFill="0" applyAlignment="0" applyProtection="0"/>
    <xf numFmtId="0" fontId="265" fillId="0" borderId="58" applyNumberFormat="0" applyFill="0" applyAlignment="0" applyProtection="0"/>
    <xf numFmtId="0" fontId="209" fillId="0" borderId="58" applyNumberFormat="0" applyFill="0" applyAlignment="0" applyProtection="0"/>
    <xf numFmtId="0" fontId="30" fillId="0" borderId="58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9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24" fillId="0" borderId="0" applyNumberFormat="0" applyFill="0" applyBorder="0" applyAlignment="0" applyProtection="0">
      <alignment vertical="top"/>
      <protection locked="0"/>
    </xf>
    <xf numFmtId="0" fontId="20" fillId="29" borderId="0"/>
    <xf numFmtId="168" fontId="19" fillId="0" borderId="0"/>
    <xf numFmtId="0" fontId="267" fillId="59" borderId="0" applyNumberFormat="0" applyBorder="0" applyAlignment="0" applyProtection="0"/>
    <xf numFmtId="0" fontId="45" fillId="0" borderId="0"/>
    <xf numFmtId="0" fontId="45" fillId="0" borderId="0"/>
    <xf numFmtId="0" fontId="19" fillId="0" borderId="0"/>
    <xf numFmtId="0" fontId="19" fillId="0" borderId="0"/>
    <xf numFmtId="0" fontId="14" fillId="0" borderId="0"/>
    <xf numFmtId="0" fontId="19" fillId="0" borderId="0" applyNumberFormat="0" applyFill="0" applyBorder="0" applyAlignment="0" applyProtection="0"/>
    <xf numFmtId="0" fontId="14" fillId="0" borderId="0"/>
    <xf numFmtId="0" fontId="268" fillId="0" borderId="0"/>
    <xf numFmtId="0" fontId="268" fillId="0" borderId="0"/>
    <xf numFmtId="0" fontId="19" fillId="0" borderId="0"/>
    <xf numFmtId="0" fontId="45" fillId="0" borderId="0"/>
    <xf numFmtId="0" fontId="4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9" fillId="0" borderId="0"/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44" fontId="14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9" fillId="0" borderId="0" applyNumberFormat="0">
      <alignment horizontal="right" vertical="top" wrapText="1"/>
    </xf>
    <xf numFmtId="0" fontId="19" fillId="0" borderId="0" applyNumberFormat="0">
      <alignment horizontal="left" vertical="top" wrapText="1"/>
    </xf>
    <xf numFmtId="0" fontId="118" fillId="0" borderId="0"/>
    <xf numFmtId="0" fontId="269" fillId="0" borderId="0"/>
    <xf numFmtId="0" fontId="270" fillId="60" borderId="0">
      <alignment horizontal="left" vertical="center"/>
    </xf>
    <xf numFmtId="0" fontId="23" fillId="0" borderId="63" applyNumberFormat="0">
      <alignment horizontal="right"/>
    </xf>
    <xf numFmtId="0" fontId="23" fillId="0" borderId="63">
      <alignment horizontal="left"/>
    </xf>
    <xf numFmtId="168" fontId="19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70" fillId="60" borderId="0">
      <alignment horizontal="left" vertical="center"/>
    </xf>
    <xf numFmtId="0" fontId="14" fillId="0" borderId="0"/>
    <xf numFmtId="0" fontId="270" fillId="60" borderId="0">
      <alignment horizontal="left" vertical="center"/>
    </xf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8" fontId="19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8" fontId="19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70" fillId="60" borderId="0">
      <alignment horizontal="left" vertical="center"/>
    </xf>
    <xf numFmtId="0" fontId="13" fillId="0" borderId="0"/>
    <xf numFmtId="0" fontId="270" fillId="60" borderId="0">
      <alignment horizontal="left" vertical="center"/>
    </xf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8" fontId="19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70" fillId="60" borderId="0">
      <alignment horizontal="left" vertical="center"/>
    </xf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8" fontId="19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70" fillId="60" borderId="0">
      <alignment horizontal="left" vertical="center"/>
    </xf>
    <xf numFmtId="40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8" fillId="0" borderId="0" applyFont="0" applyFill="0" applyBorder="0" applyAlignment="0" applyProtection="0"/>
    <xf numFmtId="3" fontId="19" fillId="0" borderId="0" applyFont="0" applyFill="0" applyBorder="0" applyAlignment="0" applyProtection="0"/>
    <xf numFmtId="44" fontId="23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82" fillId="0" borderId="0" applyFont="0" applyFill="0" applyBorder="0" applyAlignment="0" applyProtection="0">
      <alignment horizontal="right"/>
    </xf>
    <xf numFmtId="254" fontId="19" fillId="0" borderId="0" applyFont="0" applyFill="0" applyBorder="0" applyAlignment="0" applyProtection="0"/>
    <xf numFmtId="257" fontId="19" fillId="0" borderId="0"/>
    <xf numFmtId="272" fontId="126" fillId="0" borderId="0">
      <alignment horizontal="right"/>
    </xf>
    <xf numFmtId="277" fontId="189" fillId="0" borderId="0" applyFont="0" applyFill="0" applyBorder="0" applyProtection="0">
      <alignment horizontal="right"/>
    </xf>
    <xf numFmtId="277" fontId="189" fillId="0" borderId="0" applyFont="0" applyFill="0" applyBorder="0" applyProtection="0">
      <alignment horizontal="right"/>
    </xf>
    <xf numFmtId="272" fontId="126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8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0" fillId="0" borderId="0" applyFont="0" applyFill="0" applyBorder="0" applyAlignment="0" applyProtection="0"/>
    <xf numFmtId="257" fontId="19" fillId="0" borderId="0"/>
    <xf numFmtId="254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70" fillId="60" borderId="0">
      <alignment horizontal="left" vertical="center"/>
    </xf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6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7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94" fontId="26" fillId="0" borderId="0"/>
    <xf numFmtId="0" fontId="4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75" fillId="62" borderId="0" applyBorder="0"/>
    <xf numFmtId="41" fontId="276" fillId="63" borderId="0" applyNumberFormat="0"/>
    <xf numFmtId="9" fontId="26" fillId="0" borderId="0" applyFont="0" applyFill="0" applyBorder="0" applyAlignment="0" applyProtection="0"/>
    <xf numFmtId="41" fontId="276" fillId="63" borderId="9" applyNumberFormat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4" fontId="277" fillId="64" borderId="9" applyNumberFormat="0"/>
    <xf numFmtId="0" fontId="278" fillId="65" borderId="9" applyNumberFormat="0"/>
    <xf numFmtId="9" fontId="268" fillId="0" borderId="0" applyFont="0" applyFill="0" applyBorder="0" applyAlignment="0" applyProtection="0"/>
    <xf numFmtId="0" fontId="268" fillId="0" borderId="0"/>
    <xf numFmtId="0" fontId="279" fillId="66" borderId="0">
      <alignment horizontal="left" vertical="center"/>
    </xf>
    <xf numFmtId="215" fontId="4" fillId="0" borderId="0" applyFont="0" applyFill="0" applyBorder="0" applyAlignment="0" applyProtection="0"/>
    <xf numFmtId="0" fontId="282" fillId="0" borderId="0"/>
    <xf numFmtId="0" fontId="19" fillId="0" borderId="0"/>
    <xf numFmtId="0" fontId="50" fillId="0" borderId="0"/>
    <xf numFmtId="0" fontId="19" fillId="0" borderId="0"/>
    <xf numFmtId="9" fontId="4" fillId="0" borderId="0" applyFont="0" applyFill="0" applyBorder="0" applyAlignment="0" applyProtection="0"/>
    <xf numFmtId="43" fontId="280" fillId="0" borderId="0" applyFont="0" applyFill="0" applyBorder="0" applyAlignment="0" applyProtection="0"/>
    <xf numFmtId="295" fontId="19" fillId="0" borderId="0" applyFont="0" applyFill="0" applyBorder="0" applyProtection="0">
      <alignment vertical="top"/>
    </xf>
    <xf numFmtId="0" fontId="19" fillId="0" borderId="0"/>
    <xf numFmtId="0" fontId="283" fillId="0" borderId="0"/>
    <xf numFmtId="0" fontId="4" fillId="0" borderId="0"/>
    <xf numFmtId="0" fontId="284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285" fillId="0" borderId="0" applyBorder="0"/>
    <xf numFmtId="0" fontId="283" fillId="0" borderId="0"/>
    <xf numFmtId="0" fontId="303" fillId="0" borderId="0" applyNumberFormat="0" applyFill="0" applyBorder="0" applyAlignment="0" applyProtection="0"/>
    <xf numFmtId="0" fontId="286" fillId="0" borderId="64" applyNumberFormat="0" applyFill="0" applyAlignment="0" applyProtection="0"/>
    <xf numFmtId="0" fontId="287" fillId="0" borderId="65" applyNumberFormat="0" applyFill="0" applyAlignment="0" applyProtection="0"/>
    <xf numFmtId="0" fontId="288" fillId="0" borderId="66" applyNumberFormat="0" applyFill="0" applyAlignment="0" applyProtection="0"/>
    <xf numFmtId="0" fontId="289" fillId="0" borderId="0" applyNumberFormat="0" applyFill="0" applyBorder="0" applyAlignment="0" applyProtection="0"/>
    <xf numFmtId="0" fontId="297" fillId="0" borderId="0" applyProtection="0"/>
    <xf numFmtId="0" fontId="298" fillId="69" borderId="0" applyProtection="0">
      <alignment vertical="center"/>
    </xf>
    <xf numFmtId="0" fontId="283" fillId="72" borderId="0" applyProtection="0">
      <alignment vertical="center"/>
    </xf>
    <xf numFmtId="0" fontId="294" fillId="70" borderId="0" applyProtection="0">
      <alignment horizontal="center" vertical="center" readingOrder="1"/>
    </xf>
    <xf numFmtId="0" fontId="299" fillId="67" borderId="0" applyProtection="0">
      <alignment horizontal="left" vertical="center" readingOrder="1"/>
    </xf>
    <xf numFmtId="0" fontId="294" fillId="68" borderId="0" applyProtection="0">
      <alignment horizontal="center" vertical="center" wrapText="1" readingOrder="1"/>
    </xf>
    <xf numFmtId="0" fontId="299" fillId="68" borderId="0" applyProtection="0">
      <alignment horizontal="left" vertical="center" readingOrder="1"/>
    </xf>
    <xf numFmtId="0" fontId="300" fillId="0" borderId="0" applyProtection="0">
      <alignment vertical="center"/>
    </xf>
    <xf numFmtId="0" fontId="301" fillId="71" borderId="0" applyProtection="0">
      <alignment vertical="center" readingOrder="1"/>
    </xf>
    <xf numFmtId="0" fontId="302" fillId="0" borderId="0" applyProtection="0">
      <alignment horizontal="right" vertical="center" readingOrder="1"/>
    </xf>
    <xf numFmtId="298" fontId="20" fillId="0" borderId="0" applyProtection="0"/>
    <xf numFmtId="296" fontId="20" fillId="0" borderId="0" applyProtection="0"/>
    <xf numFmtId="0" fontId="291" fillId="0" borderId="67" applyNumberFormat="0" applyProtection="0">
      <alignment vertical="center"/>
    </xf>
    <xf numFmtId="0" fontId="292" fillId="0" borderId="0" applyNumberFormat="0" applyProtection="0">
      <alignment vertical="center"/>
    </xf>
    <xf numFmtId="0" fontId="293" fillId="0" borderId="0" applyNumberFormat="0" applyProtection="0">
      <alignment vertical="center"/>
    </xf>
    <xf numFmtId="297" fontId="294" fillId="70" borderId="68" applyProtection="0">
      <alignment vertical="center" readingOrder="1"/>
    </xf>
    <xf numFmtId="297" fontId="294" fillId="68" borderId="68" applyProtection="0">
      <alignment vertical="center" readingOrder="1"/>
    </xf>
    <xf numFmtId="297" fontId="295" fillId="0" borderId="67" applyProtection="0">
      <alignment vertical="center" readingOrder="1"/>
    </xf>
    <xf numFmtId="0" fontId="283" fillId="0" borderId="0" applyNumberFormat="0" applyProtection="0">
      <alignment vertical="center"/>
    </xf>
    <xf numFmtId="0" fontId="283" fillId="0" borderId="67" applyProtection="0">
      <alignment vertical="center" wrapText="1" readingOrder="1"/>
    </xf>
    <xf numFmtId="298" fontId="290" fillId="0" borderId="69" applyProtection="0">
      <alignment vertical="center"/>
    </xf>
    <xf numFmtId="0" fontId="296" fillId="0" borderId="0" applyProtection="0">
      <alignment vertical="top"/>
    </xf>
    <xf numFmtId="0" fontId="283" fillId="0" borderId="0"/>
    <xf numFmtId="0" fontId="19" fillId="0" borderId="0"/>
    <xf numFmtId="0" fontId="19" fillId="0" borderId="0"/>
    <xf numFmtId="0" fontId="4" fillId="0" borderId="0"/>
    <xf numFmtId="9" fontId="284" fillId="0" borderId="0" applyFont="0" applyFill="0" applyBorder="0" applyAlignment="0" applyProtection="0"/>
    <xf numFmtId="0" fontId="4" fillId="0" borderId="0"/>
    <xf numFmtId="43" fontId="284" fillId="0" borderId="0" applyFont="0" applyFill="0" applyBorder="0" applyAlignment="0" applyProtection="0"/>
    <xf numFmtId="0" fontId="19" fillId="0" borderId="0"/>
    <xf numFmtId="0" fontId="4" fillId="0" borderId="0"/>
    <xf numFmtId="0" fontId="19" fillId="0" borderId="0"/>
    <xf numFmtId="0" fontId="4" fillId="0" borderId="0"/>
    <xf numFmtId="44" fontId="19" fillId="0" borderId="0" applyFont="0" applyFill="0" applyBorder="0" applyAlignment="0" applyProtection="0"/>
    <xf numFmtId="9" fontId="285" fillId="0" borderId="0" applyFont="0" applyFill="0" applyBorder="0" applyAlignment="0" applyProtection="0"/>
    <xf numFmtId="44" fontId="283" fillId="0" borderId="0" applyFont="0" applyFill="0" applyBorder="0" applyAlignment="0" applyProtection="0"/>
    <xf numFmtId="0" fontId="4" fillId="0" borderId="0"/>
    <xf numFmtId="0" fontId="281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04" fillId="0" borderId="70" applyNumberFormat="0" applyFont="0" applyProtection="0">
      <alignment wrapText="1"/>
    </xf>
    <xf numFmtId="0" fontId="304" fillId="0" borderId="0" applyNumberFormat="0" applyFill="0" applyBorder="0" applyAlignment="0" applyProtection="0"/>
    <xf numFmtId="0" fontId="304" fillId="0" borderId="71" applyNumberFormat="0" applyProtection="0">
      <alignment wrapText="1"/>
    </xf>
    <xf numFmtId="0" fontId="305" fillId="0" borderId="72" applyNumberFormat="0" applyProtection="0">
      <alignment wrapText="1"/>
    </xf>
    <xf numFmtId="0" fontId="305" fillId="0" borderId="73" applyNumberFormat="0" applyProtection="0">
      <alignment wrapText="1"/>
    </xf>
    <xf numFmtId="0" fontId="306" fillId="0" borderId="0" applyNumberFormat="0" applyProtection="0">
      <alignment horizontal="left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74" fillId="0" borderId="0" applyFont="0" applyFill="0" applyBorder="0" applyAlignment="0" applyProtection="0"/>
    <xf numFmtId="0" fontId="309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8" fontId="312" fillId="0" borderId="0">
      <protection locked="0"/>
    </xf>
    <xf numFmtId="0" fontId="3" fillId="0" borderId="0"/>
    <xf numFmtId="0" fontId="313" fillId="0" borderId="0" applyNumberFormat="0" applyFont="0" applyFill="0" applyBorder="0" applyAlignment="0" applyProtection="0">
      <alignment horizontal="left"/>
    </xf>
    <xf numFmtId="15" fontId="313" fillId="0" borderId="0" applyFont="0" applyFill="0" applyBorder="0" applyAlignment="0" applyProtection="0"/>
    <xf numFmtId="4" fontId="313" fillId="0" borderId="0" applyFont="0" applyFill="0" applyBorder="0" applyAlignment="0" applyProtection="0"/>
    <xf numFmtId="0" fontId="314" fillId="0" borderId="2">
      <alignment horizontal="center"/>
    </xf>
    <xf numFmtId="3" fontId="313" fillId="0" borderId="0" applyFont="0" applyFill="0" applyBorder="0" applyAlignment="0" applyProtection="0"/>
    <xf numFmtId="0" fontId="313" fillId="31" borderId="0" applyNumberFormat="0" applyFon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268" fillId="0" borderId="0" applyFont="0" applyFill="0" applyBorder="0" applyAlignment="0" applyProtection="0"/>
    <xf numFmtId="0" fontId="310" fillId="0" borderId="0"/>
    <xf numFmtId="43" fontId="310" fillId="0" borderId="0" applyFont="0" applyFill="0" applyBorder="0" applyAlignment="0" applyProtection="0"/>
    <xf numFmtId="9" fontId="310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310" fillId="0" borderId="0"/>
    <xf numFmtId="0" fontId="22" fillId="0" borderId="0"/>
    <xf numFmtId="9" fontId="23" fillId="0" borderId="0" applyFont="0" applyFill="0" applyBorder="0" applyAlignment="0" applyProtection="0"/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315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8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6" fillId="0" borderId="0" applyNumberFormat="0" applyFill="0" applyBorder="0" applyAlignment="0" applyProtection="0"/>
    <xf numFmtId="0" fontId="317" fillId="75" borderId="77">
      <alignment horizontal="left"/>
    </xf>
    <xf numFmtId="38" fontId="317" fillId="75" borderId="77"/>
    <xf numFmtId="0" fontId="318" fillId="63" borderId="76" applyProtection="0"/>
    <xf numFmtId="300" fontId="317" fillId="76" borderId="77">
      <alignment horizontal="center"/>
    </xf>
    <xf numFmtId="9" fontId="318" fillId="63" borderId="76" applyProtection="0">
      <alignment horizontal="center"/>
    </xf>
    <xf numFmtId="38" fontId="317" fillId="75" borderId="77"/>
    <xf numFmtId="0" fontId="319" fillId="0" borderId="0">
      <alignment horizontal="center"/>
    </xf>
    <xf numFmtId="0" fontId="320" fillId="77" borderId="76" applyNumberFormat="0" applyAlignment="0" applyProtection="0"/>
    <xf numFmtId="0" fontId="311" fillId="0" borderId="7">
      <alignment horizontal="center" wrapText="1"/>
    </xf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5" fontId="19" fillId="0" borderId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66">
    <xf numFmtId="0" fontId="0" fillId="0" borderId="0" xfId="0"/>
    <xf numFmtId="0" fontId="0" fillId="0" borderId="0" xfId="0" applyFill="1"/>
    <xf numFmtId="0" fontId="31" fillId="0" borderId="0" xfId="0" applyFont="1" applyFill="1" applyBorder="1"/>
    <xf numFmtId="0" fontId="31" fillId="0" borderId="0" xfId="0" applyFont="1" applyFill="1"/>
    <xf numFmtId="164" fontId="31" fillId="0" borderId="0" xfId="0" applyNumberFormat="1" applyFont="1" applyFill="1" applyBorder="1"/>
    <xf numFmtId="37" fontId="31" fillId="0" borderId="0" xfId="0" applyNumberFormat="1" applyFont="1" applyFill="1"/>
    <xf numFmtId="164" fontId="31" fillId="0" borderId="0" xfId="0" applyNumberFormat="1" applyFont="1" applyFill="1"/>
    <xf numFmtId="0" fontId="19" fillId="0" borderId="0" xfId="0" applyFont="1" applyFill="1"/>
    <xf numFmtId="0" fontId="31" fillId="0" borderId="0" xfId="0" applyFont="1" applyFill="1" applyAlignment="1"/>
    <xf numFmtId="37" fontId="23" fillId="0" borderId="23" xfId="0" applyNumberFormat="1" applyFont="1" applyFill="1" applyBorder="1" applyAlignment="1"/>
    <xf numFmtId="8" fontId="31" fillId="0" borderId="0" xfId="0" applyNumberFormat="1" applyFont="1" applyFill="1"/>
    <xf numFmtId="3" fontId="31" fillId="0" borderId="0" xfId="0" applyNumberFormat="1" applyFont="1" applyFill="1" applyAlignment="1"/>
    <xf numFmtId="43" fontId="31" fillId="0" borderId="0" xfId="0" applyNumberFormat="1" applyFont="1" applyFill="1"/>
    <xf numFmtId="179" fontId="31" fillId="0" borderId="0" xfId="436" applyNumberFormat="1" applyFont="1" applyFill="1"/>
    <xf numFmtId="0" fontId="23" fillId="61" borderId="0" xfId="0" applyFont="1" applyFill="1" applyAlignment="1"/>
    <xf numFmtId="0" fontId="23" fillId="61" borderId="0" xfId="0" applyFont="1" applyFill="1" applyBorder="1" applyAlignment="1">
      <alignment horizontal="center"/>
    </xf>
    <xf numFmtId="0" fontId="24" fillId="61" borderId="7" xfId="0" applyFont="1" applyFill="1" applyBorder="1" applyAlignment="1">
      <alignment horizontal="center" vertical="center" wrapText="1"/>
    </xf>
    <xf numFmtId="0" fontId="23" fillId="61" borderId="7" xfId="0" applyFont="1" applyFill="1" applyBorder="1" applyAlignment="1">
      <alignment horizontal="center" vertical="center" wrapText="1"/>
    </xf>
    <xf numFmtId="0" fontId="23" fillId="61" borderId="19" xfId="0" applyFont="1" applyFill="1" applyBorder="1" applyAlignment="1">
      <alignment horizontal="left"/>
    </xf>
    <xf numFmtId="0" fontId="23" fillId="61" borderId="0" xfId="0" applyFont="1" applyFill="1" applyBorder="1" applyAlignment="1">
      <alignment horizontal="left"/>
    </xf>
    <xf numFmtId="0" fontId="23" fillId="61" borderId="0" xfId="0" applyFont="1" applyFill="1" applyBorder="1" applyAlignment="1">
      <alignment horizontal="left" vertical="center" wrapText="1"/>
    </xf>
    <xf numFmtId="0" fontId="23" fillId="61" borderId="0" xfId="0" applyFont="1" applyFill="1" applyAlignment="1">
      <alignment vertical="center" wrapText="1"/>
    </xf>
    <xf numFmtId="0" fontId="23" fillId="61" borderId="0" xfId="0" applyFont="1" applyFill="1" applyBorder="1" applyAlignment="1">
      <alignment horizontal="left" vertical="center"/>
    </xf>
    <xf numFmtId="38" fontId="121" fillId="61" borderId="0" xfId="0" applyNumberFormat="1" applyFont="1" applyFill="1" applyBorder="1"/>
    <xf numFmtId="43" fontId="23" fillId="61" borderId="0" xfId="0" applyNumberFormat="1" applyFont="1" applyFill="1" applyBorder="1" applyAlignment="1">
      <alignment horizontal="left" vertical="center"/>
    </xf>
    <xf numFmtId="0" fontId="56" fillId="61" borderId="0" xfId="0" applyFont="1" applyFill="1" applyAlignment="1">
      <alignment vertical="center"/>
    </xf>
    <xf numFmtId="37" fontId="31" fillId="0" borderId="19" xfId="0" applyNumberFormat="1" applyFont="1" applyFill="1" applyBorder="1" applyAlignment="1"/>
    <xf numFmtId="0" fontId="55" fillId="0" borderId="0" xfId="0" applyFont="1" applyFill="1" applyAlignment="1"/>
    <xf numFmtId="164" fontId="238" fillId="0" borderId="7" xfId="424" applyNumberFormat="1" applyFont="1" applyFill="1" applyBorder="1"/>
    <xf numFmtId="164" fontId="238" fillId="0" borderId="0" xfId="424" applyNumberFormat="1" applyFont="1" applyFill="1"/>
    <xf numFmtId="0" fontId="238" fillId="0" borderId="7" xfId="0" applyFont="1" applyFill="1" applyBorder="1"/>
    <xf numFmtId="171" fontId="31" fillId="0" borderId="0" xfId="436" applyNumberFormat="1" applyFont="1" applyFill="1"/>
    <xf numFmtId="171" fontId="31" fillId="0" borderId="0" xfId="0" applyNumberFormat="1" applyFont="1" applyFill="1"/>
    <xf numFmtId="0" fontId="238" fillId="0" borderId="0" xfId="0" applyFont="1" applyFill="1"/>
    <xf numFmtId="174" fontId="31" fillId="0" borderId="0" xfId="553" applyNumberFormat="1" applyFont="1" applyFill="1"/>
    <xf numFmtId="38" fontId="121" fillId="61" borderId="7" xfId="0" applyNumberFormat="1" applyFont="1" applyFill="1" applyBorder="1"/>
    <xf numFmtId="0" fontId="19" fillId="0" borderId="7" xfId="0" applyFont="1" applyFill="1" applyBorder="1"/>
    <xf numFmtId="171" fontId="31" fillId="0" borderId="7" xfId="436" applyNumberFormat="1" applyFont="1" applyFill="1" applyBorder="1"/>
    <xf numFmtId="171" fontId="31" fillId="0" borderId="7" xfId="0" applyNumberFormat="1" applyFont="1" applyFill="1" applyBorder="1"/>
    <xf numFmtId="0" fontId="19" fillId="0" borderId="11" xfId="0" applyFont="1" applyFill="1" applyBorder="1"/>
    <xf numFmtId="171" fontId="31" fillId="0" borderId="11" xfId="436" applyNumberFormat="1" applyFont="1" applyFill="1" applyBorder="1"/>
    <xf numFmtId="43" fontId="31" fillId="0" borderId="0" xfId="424" applyFont="1" applyFill="1"/>
    <xf numFmtId="3" fontId="31" fillId="0" borderId="7" xfId="0" applyNumberFormat="1" applyFont="1" applyFill="1" applyBorder="1"/>
    <xf numFmtId="164" fontId="19" fillId="61" borderId="0" xfId="424" applyNumberFormat="1" applyFont="1" applyFill="1" applyBorder="1" applyAlignment="1">
      <alignment vertical="center"/>
    </xf>
    <xf numFmtId="0" fontId="19" fillId="61" borderId="0" xfId="0" applyFont="1" applyFill="1" applyBorder="1" applyAlignment="1">
      <alignment vertical="center"/>
    </xf>
    <xf numFmtId="0" fontId="19" fillId="0" borderId="0" xfId="0" applyFont="1" applyFill="1" applyAlignment="1">
      <alignment horizontal="center"/>
    </xf>
    <xf numFmtId="0" fontId="23" fillId="0" borderId="7" xfId="0" applyFont="1" applyFill="1" applyBorder="1"/>
    <xf numFmtId="165" fontId="31" fillId="0" borderId="7" xfId="553" applyNumberFormat="1" applyFont="1" applyFill="1" applyBorder="1" applyAlignment="1">
      <alignment horizontal="right" vertical="center"/>
    </xf>
    <xf numFmtId="37" fontId="31" fillId="0" borderId="11" xfId="0" applyNumberFormat="1" applyFont="1" applyFill="1" applyBorder="1"/>
    <xf numFmtId="164" fontId="31" fillId="0" borderId="0" xfId="424" applyNumberFormat="1" applyFont="1" applyFill="1" applyBorder="1" applyAlignment="1">
      <alignment horizontal="center"/>
    </xf>
    <xf numFmtId="0" fontId="272" fillId="0" borderId="0" xfId="0" applyFont="1" applyFill="1" applyBorder="1" applyAlignment="1">
      <alignment horizontal="center"/>
    </xf>
    <xf numFmtId="0" fontId="272" fillId="0" borderId="7" xfId="0" applyFont="1" applyFill="1" applyBorder="1" applyAlignment="1">
      <alignment horizontal="center"/>
    </xf>
    <xf numFmtId="0" fontId="55" fillId="0" borderId="0" xfId="0" applyFont="1" applyFill="1"/>
    <xf numFmtId="164" fontId="19" fillId="0" borderId="0" xfId="424" applyNumberFormat="1" applyFont="1" applyFill="1"/>
    <xf numFmtId="0" fontId="19" fillId="61" borderId="0" xfId="0" applyFont="1" applyFill="1"/>
    <xf numFmtId="0" fontId="19" fillId="61" borderId="0" xfId="0" applyFont="1" applyFill="1" applyAlignment="1">
      <alignment vertical="center" wrapText="1"/>
    </xf>
    <xf numFmtId="0" fontId="19" fillId="61" borderId="0" xfId="0" applyFont="1" applyFill="1" applyAlignment="1">
      <alignment horizontal="left"/>
    </xf>
    <xf numFmtId="164" fontId="19" fillId="61" borderId="0" xfId="424" applyNumberFormat="1" applyFont="1" applyFill="1" applyBorder="1"/>
    <xf numFmtId="0" fontId="19" fillId="61" borderId="7" xfId="0" applyFont="1" applyFill="1" applyBorder="1" applyAlignment="1">
      <alignment horizontal="left"/>
    </xf>
    <xf numFmtId="164" fontId="19" fillId="61" borderId="19" xfId="424" applyNumberFormat="1" applyFont="1" applyFill="1" applyBorder="1"/>
    <xf numFmtId="0" fontId="19" fillId="61" borderId="0" xfId="0" applyFont="1" applyFill="1" applyBorder="1"/>
    <xf numFmtId="0" fontId="19" fillId="61" borderId="0" xfId="0" applyFont="1" applyFill="1" applyAlignment="1">
      <alignment vertical="center"/>
    </xf>
    <xf numFmtId="0" fontId="19" fillId="61" borderId="0" xfId="0" applyFont="1" applyFill="1" applyBorder="1" applyAlignment="1">
      <alignment horizontal="left" vertical="center" wrapText="1"/>
    </xf>
    <xf numFmtId="38" fontId="19" fillId="61" borderId="0" xfId="0" applyNumberFormat="1" applyFont="1" applyFill="1" applyBorder="1" applyAlignment="1">
      <alignment horizontal="left" vertical="center" wrapText="1"/>
    </xf>
    <xf numFmtId="164" fontId="19" fillId="61" borderId="0" xfId="424" applyNumberFormat="1" applyFont="1" applyFill="1" applyBorder="1" applyAlignment="1">
      <alignment horizontal="left" vertical="center"/>
    </xf>
    <xf numFmtId="0" fontId="19" fillId="61" borderId="0" xfId="0" applyFont="1" applyFill="1" applyBorder="1" applyAlignment="1">
      <alignment horizontal="left" vertical="center"/>
    </xf>
    <xf numFmtId="164" fontId="19" fillId="61" borderId="0" xfId="0" applyNumberFormat="1" applyFont="1" applyFill="1" applyBorder="1" applyAlignment="1">
      <alignment horizontal="left" vertical="center" wrapText="1"/>
    </xf>
    <xf numFmtId="164" fontId="19" fillId="61" borderId="0" xfId="0" applyNumberFormat="1" applyFont="1" applyFill="1" applyAlignment="1">
      <alignment vertical="center"/>
    </xf>
    <xf numFmtId="43" fontId="19" fillId="61" borderId="0" xfId="0" applyNumberFormat="1" applyFont="1" applyFill="1" applyBorder="1" applyAlignment="1">
      <alignment vertical="center"/>
    </xf>
    <xf numFmtId="164" fontId="19" fillId="61" borderId="0" xfId="0" applyNumberFormat="1" applyFont="1" applyFill="1" applyBorder="1" applyAlignment="1">
      <alignment vertical="center"/>
    </xf>
    <xf numFmtId="236" fontId="19" fillId="61" borderId="0" xfId="424" applyNumberFormat="1" applyFont="1" applyFill="1" applyBorder="1" applyAlignment="1">
      <alignment vertical="center"/>
    </xf>
    <xf numFmtId="164" fontId="19" fillId="61" borderId="0" xfId="424" applyNumberFormat="1" applyFont="1" applyFill="1" applyBorder="1" applyAlignment="1">
      <alignment horizontal="center" vertical="center"/>
    </xf>
    <xf numFmtId="43" fontId="19" fillId="61" borderId="0" xfId="424" applyNumberFormat="1" applyFont="1" applyFill="1" applyBorder="1" applyAlignment="1">
      <alignment vertical="center"/>
    </xf>
    <xf numFmtId="0" fontId="19" fillId="61" borderId="0" xfId="0" applyFont="1" applyFill="1" applyBorder="1" applyAlignment="1">
      <alignment horizontal="right" vertical="center"/>
    </xf>
    <xf numFmtId="165" fontId="19" fillId="61" borderId="0" xfId="553" applyNumberFormat="1" applyFont="1" applyFill="1" applyBorder="1" applyAlignment="1">
      <alignment vertical="center"/>
    </xf>
    <xf numFmtId="43" fontId="19" fillId="61" borderId="0" xfId="0" applyNumberFormat="1" applyFont="1" applyFill="1" applyBorder="1" applyAlignment="1">
      <alignment horizontal="left" vertical="center"/>
    </xf>
    <xf numFmtId="2" fontId="19" fillId="61" borderId="0" xfId="553" applyNumberFormat="1" applyFont="1" applyFill="1" applyBorder="1" applyAlignment="1">
      <alignment vertical="center"/>
    </xf>
    <xf numFmtId="164" fontId="19" fillId="61" borderId="0" xfId="0" applyNumberFormat="1" applyFont="1" applyFill="1" applyBorder="1" applyAlignment="1">
      <alignment horizontal="left" vertical="center"/>
    </xf>
    <xf numFmtId="164" fontId="19" fillId="61" borderId="0" xfId="0" applyNumberFormat="1" applyFont="1" applyFill="1" applyBorder="1" applyAlignment="1">
      <alignment horizontal="center" vertical="center"/>
    </xf>
    <xf numFmtId="0" fontId="19" fillId="61" borderId="0" xfId="0" applyFont="1" applyFill="1" applyBorder="1" applyAlignment="1">
      <alignment horizontal="left"/>
    </xf>
    <xf numFmtId="43" fontId="19" fillId="61" borderId="0" xfId="0" applyNumberFormat="1" applyFont="1" applyFill="1" applyBorder="1"/>
    <xf numFmtId="8" fontId="273" fillId="0" borderId="0" xfId="0" applyNumberFormat="1" applyFont="1" applyFill="1"/>
    <xf numFmtId="0" fontId="0" fillId="0" borderId="0" xfId="0" applyFont="1" applyBorder="1" applyAlignment="1">
      <alignment horizontal="left"/>
    </xf>
    <xf numFmtId="9" fontId="19" fillId="0" borderId="0" xfId="553" applyFont="1" applyFill="1" applyAlignment="1"/>
    <xf numFmtId="0" fontId="23" fillId="0" borderId="0" xfId="0" applyFont="1"/>
    <xf numFmtId="0" fontId="19" fillId="0" borderId="0" xfId="0" applyFont="1"/>
    <xf numFmtId="0" fontId="19" fillId="73" borderId="0" xfId="0" applyFont="1" applyFill="1"/>
    <xf numFmtId="164" fontId="19" fillId="73" borderId="0" xfId="424" applyNumberFormat="1" applyFont="1" applyFill="1"/>
    <xf numFmtId="0" fontId="19" fillId="0" borderId="0" xfId="0" applyFont="1" applyFill="1" applyBorder="1"/>
    <xf numFmtId="3" fontId="19" fillId="0" borderId="24" xfId="0" applyNumberFormat="1" applyFont="1" applyFill="1" applyBorder="1" applyAlignment="1" applyProtection="1"/>
    <xf numFmtId="0" fontId="23" fillId="0" borderId="27" xfId="0" applyFont="1" applyFill="1" applyBorder="1" applyProtection="1"/>
    <xf numFmtId="9" fontId="19" fillId="73" borderId="0" xfId="553" applyFont="1" applyFill="1"/>
    <xf numFmtId="164" fontId="19" fillId="73" borderId="0" xfId="424" applyNumberFormat="1" applyFont="1" applyFill="1" applyBorder="1" applyAlignment="1">
      <alignment horizontal="right"/>
    </xf>
    <xf numFmtId="0" fontId="23" fillId="0" borderId="0" xfId="0" applyFont="1" applyFill="1"/>
    <xf numFmtId="38" fontId="121" fillId="61" borderId="19" xfId="0" applyNumberFormat="1" applyFont="1" applyFill="1" applyBorder="1"/>
    <xf numFmtId="38" fontId="121" fillId="61" borderId="19" xfId="0" quotePrefix="1" applyNumberFormat="1" applyFont="1" applyFill="1" applyBorder="1"/>
    <xf numFmtId="0" fontId="19" fillId="74" borderId="11" xfId="0" applyFont="1" applyFill="1" applyBorder="1" applyAlignment="1">
      <alignment horizontal="right"/>
    </xf>
    <xf numFmtId="164" fontId="19" fillId="0" borderId="0" xfId="0" applyNumberFormat="1" applyFont="1" applyFill="1" applyBorder="1" applyAlignment="1">
      <alignment vertical="center"/>
    </xf>
    <xf numFmtId="0" fontId="23" fillId="0" borderId="7" xfId="0" applyFont="1" applyFill="1" applyBorder="1" applyAlignment="1">
      <alignment horizontal="center"/>
    </xf>
    <xf numFmtId="3" fontId="31" fillId="0" borderId="0" xfId="0" applyNumberFormat="1" applyFont="1" applyFill="1" applyBorder="1" applyAlignment="1"/>
    <xf numFmtId="0" fontId="23" fillId="0" borderId="0" xfId="0" applyFont="1" applyFill="1" applyBorder="1" applyAlignment="1">
      <alignment horizontal="center"/>
    </xf>
    <xf numFmtId="37" fontId="31" fillId="0" borderId="0" xfId="0" applyNumberFormat="1" applyFont="1" applyFill="1" applyBorder="1"/>
    <xf numFmtId="3" fontId="19" fillId="0" borderId="0" xfId="0" applyNumberFormat="1" applyFont="1" applyFill="1" applyAlignment="1"/>
    <xf numFmtId="37" fontId="31" fillId="0" borderId="0" xfId="0" applyNumberFormat="1" applyFont="1" applyFill="1" applyBorder="1" applyAlignment="1"/>
    <xf numFmtId="44" fontId="31" fillId="0" borderId="0" xfId="0" applyNumberFormat="1" applyFont="1" applyFill="1"/>
    <xf numFmtId="3" fontId="308" fillId="0" borderId="0" xfId="0" applyNumberFormat="1" applyFont="1" applyFill="1" applyAlignment="1">
      <alignment wrapText="1"/>
    </xf>
    <xf numFmtId="171" fontId="31" fillId="0" borderId="19" xfId="0" applyNumberFormat="1" applyFont="1" applyFill="1" applyBorder="1"/>
    <xf numFmtId="164" fontId="19" fillId="0" borderId="11" xfId="424" applyNumberFormat="1" applyFont="1" applyFill="1" applyBorder="1" applyAlignment="1">
      <alignment horizontal="right"/>
    </xf>
    <xf numFmtId="0" fontId="0" fillId="0" borderId="0" xfId="0" applyAlignment="1">
      <alignment horizontal="left" indent="2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Border="1" applyProtection="1"/>
    <xf numFmtId="164" fontId="19" fillId="0" borderId="0" xfId="424" applyNumberFormat="1" applyFont="1" applyFill="1" applyBorder="1"/>
    <xf numFmtId="174" fontId="19" fillId="0" borderId="0" xfId="553" applyNumberFormat="1" applyFont="1" applyFill="1" applyBorder="1"/>
    <xf numFmtId="3" fontId="19" fillId="0" borderId="0" xfId="0" applyNumberFormat="1" applyFont="1" applyFill="1" applyBorder="1" applyAlignment="1"/>
    <xf numFmtId="299" fontId="31" fillId="0" borderId="0" xfId="0" applyNumberFormat="1" applyFont="1" applyFill="1"/>
    <xf numFmtId="0" fontId="23" fillId="0" borderId="0" xfId="0" applyFont="1" applyFill="1" applyBorder="1"/>
    <xf numFmtId="0" fontId="31" fillId="0" borderId="19" xfId="0" applyFont="1" applyFill="1" applyBorder="1"/>
    <xf numFmtId="164" fontId="19" fillId="61" borderId="0" xfId="424" applyNumberFormat="1" applyFont="1" applyFill="1" applyBorder="1" applyAlignment="1">
      <alignment horizontal="right"/>
    </xf>
    <xf numFmtId="0" fontId="19" fillId="61" borderId="0" xfId="0" applyFont="1" applyFill="1" applyBorder="1" applyAlignment="1">
      <alignment horizontal="right"/>
    </xf>
    <xf numFmtId="10" fontId="19" fillId="0" borderId="0" xfId="553" applyNumberFormat="1" applyFont="1" applyFill="1"/>
    <xf numFmtId="3" fontId="23" fillId="0" borderId="0" xfId="0" applyNumberFormat="1" applyFont="1" applyFill="1" applyAlignment="1"/>
    <xf numFmtId="37" fontId="23" fillId="0" borderId="11" xfId="0" applyNumberFormat="1" applyFont="1" applyFill="1" applyBorder="1"/>
    <xf numFmtId="0" fontId="19" fillId="61" borderId="7" xfId="0" applyFont="1" applyFill="1" applyBorder="1" applyAlignment="1">
      <alignment horizontal="right" vertical="center"/>
    </xf>
    <xf numFmtId="10" fontId="0" fillId="0" borderId="7" xfId="0" applyNumberFormat="1" applyBorder="1"/>
    <xf numFmtId="0" fontId="19" fillId="0" borderId="0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0" xfId="0" applyFont="1" applyAlignment="1">
      <alignment horizontal="left" indent="2"/>
    </xf>
    <xf numFmtId="0" fontId="0" fillId="0" borderId="0" xfId="0" applyFont="1" applyFill="1" applyAlignment="1">
      <alignment horizontal="left" indent="2"/>
    </xf>
    <xf numFmtId="164" fontId="19" fillId="73" borderId="7" xfId="424" applyNumberFormat="1" applyFont="1" applyFill="1" applyBorder="1"/>
    <xf numFmtId="164" fontId="19" fillId="0" borderId="0" xfId="0" applyNumberFormat="1" applyFont="1" applyFill="1"/>
    <xf numFmtId="164" fontId="19" fillId="73" borderId="0" xfId="424" applyNumberFormat="1" applyFont="1" applyFill="1" applyBorder="1"/>
    <xf numFmtId="10" fontId="19" fillId="0" borderId="0" xfId="553" applyNumberFormat="1" applyFont="1" applyFill="1" applyBorder="1"/>
    <xf numFmtId="301" fontId="19" fillId="0" borderId="0" xfId="424" applyNumberFormat="1" applyFont="1" applyFill="1" applyBorder="1"/>
    <xf numFmtId="43" fontId="31" fillId="0" borderId="7" xfId="424" applyFont="1" applyFill="1" applyBorder="1"/>
    <xf numFmtId="0" fontId="19" fillId="0" borderId="0" xfId="0" applyFont="1" applyFill="1" applyAlignment="1">
      <alignment horizontal="left" indent="2"/>
    </xf>
    <xf numFmtId="10" fontId="19" fillId="61" borderId="0" xfId="0" applyNumberFormat="1" applyFont="1" applyFill="1" applyAlignment="1">
      <alignment vertical="center"/>
    </xf>
    <xf numFmtId="37" fontId="0" fillId="0" borderId="0" xfId="0" applyNumberFormat="1"/>
    <xf numFmtId="164" fontId="0" fillId="0" borderId="0" xfId="424" applyNumberFormat="1" applyFont="1"/>
    <xf numFmtId="0" fontId="56" fillId="74" borderId="11" xfId="0" applyFont="1" applyFill="1" applyBorder="1" applyAlignment="1">
      <alignment horizontal="right"/>
    </xf>
    <xf numFmtId="164" fontId="56" fillId="74" borderId="11" xfId="424" applyNumberFormat="1" applyFont="1" applyFill="1" applyBorder="1" applyAlignment="1">
      <alignment horizontal="right"/>
    </xf>
    <xf numFmtId="0" fontId="2" fillId="0" borderId="0" xfId="2959"/>
    <xf numFmtId="0" fontId="321" fillId="0" borderId="0" xfId="2959" applyFont="1"/>
    <xf numFmtId="10" fontId="2" fillId="0" borderId="0" xfId="2960" applyNumberFormat="1"/>
    <xf numFmtId="0" fontId="19" fillId="0" borderId="24" xfId="0" applyFont="1" applyBorder="1" applyAlignment="1">
      <alignment horizontal="left"/>
    </xf>
    <xf numFmtId="10" fontId="19" fillId="73" borderId="0" xfId="553" applyNumberFormat="1" applyFont="1" applyFill="1"/>
    <xf numFmtId="0" fontId="0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2" fontId="19" fillId="73" borderId="0" xfId="0" applyNumberFormat="1" applyFont="1" applyFill="1"/>
    <xf numFmtId="0" fontId="19" fillId="0" borderId="24" xfId="0" applyFont="1" applyBorder="1" applyAlignment="1"/>
    <xf numFmtId="0" fontId="19" fillId="0" borderId="26" xfId="0" applyFont="1" applyBorder="1" applyAlignment="1"/>
    <xf numFmtId="0" fontId="19" fillId="0" borderId="28" xfId="0" applyFont="1" applyFill="1" applyBorder="1"/>
    <xf numFmtId="0" fontId="23" fillId="0" borderId="74" xfId="0" applyFont="1" applyFill="1" applyBorder="1" applyAlignment="1">
      <alignment horizontal="center"/>
    </xf>
    <xf numFmtId="0" fontId="19" fillId="0" borderId="24" xfId="0" applyFont="1" applyFill="1" applyBorder="1"/>
    <xf numFmtId="0" fontId="19" fillId="0" borderId="25" xfId="0" applyFont="1" applyFill="1" applyBorder="1" applyProtection="1"/>
    <xf numFmtId="171" fontId="19" fillId="0" borderId="25" xfId="436" applyNumberFormat="1" applyFont="1" applyFill="1" applyBorder="1" applyProtection="1"/>
    <xf numFmtId="0" fontId="19" fillId="0" borderId="26" xfId="0" applyFont="1" applyFill="1" applyBorder="1"/>
    <xf numFmtId="171" fontId="19" fillId="0" borderId="75" xfId="436" applyNumberFormat="1" applyFont="1" applyFill="1" applyBorder="1" applyProtection="1"/>
    <xf numFmtId="164" fontId="23" fillId="0" borderId="25" xfId="424" applyNumberFormat="1" applyFont="1" applyFill="1" applyBorder="1" applyProtection="1"/>
    <xf numFmtId="0" fontId="23" fillId="73" borderId="0" xfId="0" applyFont="1" applyFill="1"/>
    <xf numFmtId="0" fontId="0" fillId="0" borderId="0" xfId="0" quotePrefix="1" applyAlignment="1">
      <alignment horizontal="right"/>
    </xf>
    <xf numFmtId="10" fontId="0" fillId="0" borderId="0" xfId="553" applyNumberFormat="1" applyFont="1"/>
    <xf numFmtId="171" fontId="0" fillId="0" borderId="0" xfId="436" applyNumberFormat="1" applyFont="1"/>
    <xf numFmtId="164" fontId="0" fillId="0" borderId="0" xfId="0" applyNumberForma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49" fontId="19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 wrapText="1"/>
    </xf>
    <xf numFmtId="37" fontId="19" fillId="0" borderId="0" xfId="0" applyNumberFormat="1" applyFont="1" applyAlignment="1">
      <alignment horizontal="center" wrapText="1"/>
    </xf>
    <xf numFmtId="37" fontId="19" fillId="0" borderId="0" xfId="0" applyNumberFormat="1" applyFont="1" applyAlignment="1">
      <alignment horizontal="center"/>
    </xf>
    <xf numFmtId="5" fontId="19" fillId="0" borderId="0" xfId="0" applyNumberFormat="1" applyFont="1"/>
    <xf numFmtId="10" fontId="19" fillId="0" borderId="0" xfId="0" applyNumberFormat="1" applyFont="1"/>
    <xf numFmtId="0" fontId="19" fillId="0" borderId="0" xfId="1157"/>
    <xf numFmtId="49" fontId="23" fillId="0" borderId="0" xfId="1157" applyNumberFormat="1" applyFont="1" applyAlignment="1">
      <alignment horizontal="center" wrapText="1"/>
    </xf>
    <xf numFmtId="0" fontId="323" fillId="0" borderId="0" xfId="1157" applyFont="1" applyAlignment="1">
      <alignment horizontal="center"/>
    </xf>
    <xf numFmtId="37" fontId="23" fillId="0" borderId="0" xfId="1157" applyNumberFormat="1" applyFont="1" applyAlignment="1">
      <alignment horizontal="center"/>
    </xf>
    <xf numFmtId="37" fontId="23" fillId="0" borderId="0" xfId="1157" applyNumberFormat="1" applyFont="1" applyAlignment="1">
      <alignment horizontal="center" wrapText="1"/>
    </xf>
    <xf numFmtId="49" fontId="19" fillId="0" borderId="0" xfId="1157" applyNumberFormat="1" applyAlignment="1">
      <alignment wrapText="1"/>
    </xf>
    <xf numFmtId="37" fontId="19" fillId="0" borderId="0" xfId="1157" applyNumberFormat="1" applyAlignment="1">
      <alignment horizontal="center"/>
    </xf>
    <xf numFmtId="304" fontId="19" fillId="0" borderId="0" xfId="1157" applyNumberFormat="1"/>
    <xf numFmtId="49" fontId="19" fillId="0" borderId="0" xfId="1157" applyNumberFormat="1"/>
    <xf numFmtId="302" fontId="19" fillId="0" borderId="0" xfId="1157" applyNumberFormat="1"/>
    <xf numFmtId="305" fontId="19" fillId="0" borderId="0" xfId="1157" applyNumberFormat="1"/>
    <xf numFmtId="302" fontId="0" fillId="0" borderId="0" xfId="0" applyNumberFormat="1"/>
    <xf numFmtId="175" fontId="0" fillId="0" borderId="0" xfId="424" applyNumberFormat="1" applyFont="1"/>
    <xf numFmtId="164" fontId="0" fillId="0" borderId="0" xfId="424" applyNumberFormat="1" applyFont="1" applyFill="1" applyBorder="1"/>
    <xf numFmtId="302" fontId="0" fillId="0" borderId="0" xfId="424" applyNumberFormat="1" applyFont="1" applyFill="1" applyBorder="1"/>
    <xf numFmtId="164" fontId="0" fillId="0" borderId="0" xfId="424" applyNumberFormat="1" applyFont="1" applyFill="1" applyBorder="1" applyAlignment="1">
      <alignment horizontal="center"/>
    </xf>
    <xf numFmtId="304" fontId="0" fillId="0" borderId="0" xfId="0" applyNumberFormat="1"/>
    <xf numFmtId="5" fontId="19" fillId="0" borderId="0" xfId="0" applyNumberFormat="1" applyFont="1" applyFill="1"/>
    <xf numFmtId="166" fontId="19" fillId="0" borderId="0" xfId="0" applyNumberFormat="1" applyFont="1" applyFill="1"/>
    <xf numFmtId="10" fontId="19" fillId="0" borderId="0" xfId="0" applyNumberFormat="1" applyFont="1" applyFill="1" applyAlignment="1">
      <alignment horizontal="right"/>
    </xf>
    <xf numFmtId="49" fontId="19" fillId="0" borderId="0" xfId="0" applyNumberFormat="1" applyFont="1" applyFill="1" applyAlignment="1">
      <alignment horizontal="right"/>
    </xf>
    <xf numFmtId="10" fontId="19" fillId="0" borderId="0" xfId="0" applyNumberFormat="1" applyFont="1" applyFill="1"/>
    <xf numFmtId="303" fontId="23" fillId="0" borderId="0" xfId="0" applyNumberFormat="1" applyFont="1" applyFill="1"/>
    <xf numFmtId="0" fontId="0" fillId="0" borderId="0" xfId="0" applyBorder="1"/>
    <xf numFmtId="10" fontId="31" fillId="0" borderId="0" xfId="553" applyNumberFormat="1" applyFont="1" applyFill="1"/>
    <xf numFmtId="0" fontId="0" fillId="0" borderId="0" xfId="0" applyFill="1" applyBorder="1"/>
    <xf numFmtId="0" fontId="0" fillId="0" borderId="0" xfId="0"/>
    <xf numFmtId="164" fontId="31" fillId="0" borderId="0" xfId="424" applyNumberFormat="1" applyFont="1" applyFill="1"/>
    <xf numFmtId="44" fontId="31" fillId="0" borderId="0" xfId="436" applyFont="1" applyFill="1"/>
    <xf numFmtId="9" fontId="19" fillId="61" borderId="0" xfId="553" applyFont="1" applyFill="1" applyBorder="1" applyAlignment="1">
      <alignment vertical="center"/>
    </xf>
    <xf numFmtId="44" fontId="31" fillId="0" borderId="0" xfId="436" applyFont="1" applyFill="1" applyAlignment="1"/>
    <xf numFmtId="0" fontId="19" fillId="78" borderId="28" xfId="0" applyFont="1" applyFill="1" applyBorder="1" applyAlignment="1"/>
    <xf numFmtId="164" fontId="19" fillId="78" borderId="0" xfId="424" applyNumberFormat="1" applyFont="1" applyFill="1" applyBorder="1" applyAlignment="1">
      <alignment horizontal="right"/>
    </xf>
    <xf numFmtId="0" fontId="19" fillId="78" borderId="0" xfId="0" applyFont="1" applyFill="1"/>
    <xf numFmtId="0" fontId="19" fillId="78" borderId="24" xfId="0" applyFont="1" applyFill="1" applyBorder="1" applyAlignment="1"/>
    <xf numFmtId="0" fontId="31" fillId="0" borderId="0" xfId="0" applyFont="1" applyFill="1" applyBorder="1" applyAlignment="1"/>
    <xf numFmtId="165" fontId="31" fillId="0" borderId="0" xfId="553" applyNumberFormat="1" applyFont="1" applyFill="1" applyBorder="1" applyAlignment="1">
      <alignment horizontal="right" vertical="center"/>
    </xf>
    <xf numFmtId="171" fontId="31" fillId="0" borderId="0" xfId="436" applyNumberFormat="1" applyFont="1" applyFill="1" applyBorder="1"/>
    <xf numFmtId="43" fontId="31" fillId="0" borderId="0" xfId="424" applyFont="1" applyFill="1" applyBorder="1"/>
    <xf numFmtId="37" fontId="23" fillId="0" borderId="0" xfId="0" applyNumberFormat="1" applyFont="1" applyFill="1" applyBorder="1" applyAlignment="1"/>
    <xf numFmtId="179" fontId="31" fillId="0" borderId="0" xfId="436" applyNumberFormat="1" applyFont="1" applyFill="1" applyBorder="1"/>
    <xf numFmtId="164" fontId="31" fillId="0" borderId="0" xfId="424" applyNumberFormat="1" applyFont="1" applyFill="1" applyBorder="1"/>
    <xf numFmtId="44" fontId="31" fillId="0" borderId="0" xfId="436" applyFont="1" applyFill="1" applyBorder="1"/>
    <xf numFmtId="171" fontId="31" fillId="0" borderId="0" xfId="0" applyNumberFormat="1" applyFont="1" applyFill="1" applyBorder="1"/>
    <xf numFmtId="174" fontId="31" fillId="0" borderId="0" xfId="553" applyNumberFormat="1" applyFont="1" applyFill="1" applyBorder="1"/>
    <xf numFmtId="3" fontId="31" fillId="0" borderId="0" xfId="0" applyNumberFormat="1" applyFont="1" applyFill="1" applyBorder="1"/>
    <xf numFmtId="44" fontId="31" fillId="0" borderId="0" xfId="0" applyNumberFormat="1" applyFont="1" applyFill="1" applyBorder="1"/>
    <xf numFmtId="8" fontId="31" fillId="0" borderId="0" xfId="0" applyNumberFormat="1" applyFont="1" applyFill="1" applyBorder="1"/>
    <xf numFmtId="9" fontId="19" fillId="0" borderId="0" xfId="553" applyFont="1" applyFill="1" applyBorder="1"/>
    <xf numFmtId="0" fontId="0" fillId="0" borderId="0" xfId="0"/>
    <xf numFmtId="0" fontId="0" fillId="0" borderId="0" xfId="0" applyAlignment="1">
      <alignment horizontal="center"/>
    </xf>
    <xf numFmtId="43" fontId="0" fillId="0" borderId="0" xfId="424" applyFont="1" applyBorder="1"/>
    <xf numFmtId="4" fontId="0" fillId="0" borderId="0" xfId="0" applyNumberFormat="1" applyBorder="1"/>
    <xf numFmtId="2" fontId="0" fillId="0" borderId="0" xfId="0" applyNumberFormat="1" applyBorder="1"/>
    <xf numFmtId="1" fontId="0" fillId="0" borderId="0" xfId="0" applyNumberFormat="1" applyBorder="1"/>
    <xf numFmtId="164" fontId="0" fillId="0" borderId="0" xfId="424" applyNumberFormat="1" applyFont="1" applyBorder="1"/>
    <xf numFmtId="3" fontId="0" fillId="0" borderId="0" xfId="0" applyNumberFormat="1" applyBorder="1"/>
    <xf numFmtId="164" fontId="1" fillId="0" borderId="0" xfId="0" applyNumberFormat="1" applyFont="1" applyBorder="1"/>
    <xf numFmtId="0" fontId="23" fillId="0" borderId="0" xfId="0" applyFont="1" applyBorder="1"/>
    <xf numFmtId="164" fontId="0" fillId="0" borderId="0" xfId="424" applyNumberFormat="1" applyFont="1" applyFill="1"/>
    <xf numFmtId="164" fontId="0" fillId="0" borderId="0" xfId="0" applyNumberFormat="1" applyFill="1"/>
    <xf numFmtId="164" fontId="1" fillId="0" borderId="0" xfId="0" applyNumberFormat="1" applyFont="1" applyFill="1" applyBorder="1"/>
    <xf numFmtId="10" fontId="0" fillId="61" borderId="7" xfId="0" applyNumberFormat="1" applyFill="1" applyBorder="1"/>
    <xf numFmtId="164" fontId="324" fillId="61" borderId="0" xfId="424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right"/>
    </xf>
    <xf numFmtId="164" fontId="19" fillId="0" borderId="0" xfId="424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309" fillId="0" borderId="0" xfId="2916" applyFill="1" applyBorder="1"/>
    <xf numFmtId="0" fontId="325" fillId="0" borderId="0" xfId="0" applyFont="1" applyFill="1" applyBorder="1"/>
    <xf numFmtId="0" fontId="326" fillId="0" borderId="0" xfId="0" applyFont="1" applyFill="1"/>
    <xf numFmtId="164" fontId="326" fillId="0" borderId="0" xfId="424" applyNumberFormat="1" applyFont="1" applyFill="1" applyBorder="1"/>
    <xf numFmtId="0" fontId="326" fillId="0" borderId="0" xfId="0" applyFont="1" applyFill="1" applyBorder="1"/>
    <xf numFmtId="164" fontId="308" fillId="78" borderId="0" xfId="424" applyNumberFormat="1" applyFont="1" applyFill="1"/>
    <xf numFmtId="0" fontId="0" fillId="0" borderId="0" xfId="0" applyFill="1" applyAlignment="1">
      <alignment horizontal="right"/>
    </xf>
    <xf numFmtId="0" fontId="0" fillId="0" borderId="7" xfId="0" applyFill="1" applyBorder="1"/>
    <xf numFmtId="0" fontId="272" fillId="0" borderId="0" xfId="0" applyFont="1" applyFill="1" applyAlignment="1">
      <alignment horizontal="center"/>
    </xf>
    <xf numFmtId="37" fontId="0" fillId="0" borderId="0" xfId="0" applyNumberFormat="1" applyFill="1"/>
    <xf numFmtId="0" fontId="238" fillId="0" borderId="0" xfId="0" applyFont="1" applyFill="1" applyAlignment="1">
      <alignment horizontal="center"/>
    </xf>
    <xf numFmtId="0" fontId="272" fillId="0" borderId="0" xfId="0" applyFont="1" applyFill="1"/>
    <xf numFmtId="171" fontId="272" fillId="0" borderId="0" xfId="436" applyNumberFormat="1" applyFont="1" applyFill="1"/>
    <xf numFmtId="171" fontId="238" fillId="0" borderId="0" xfId="0" applyNumberFormat="1" applyFont="1" applyFill="1"/>
    <xf numFmtId="9" fontId="0" fillId="0" borderId="0" xfId="553" applyFont="1" applyFill="1"/>
    <xf numFmtId="171" fontId="23" fillId="0" borderId="0" xfId="0" applyNumberFormat="1" applyFont="1" applyFill="1"/>
    <xf numFmtId="171" fontId="0" fillId="0" borderId="0" xfId="0" applyNumberFormat="1" applyFill="1"/>
    <xf numFmtId="164" fontId="238" fillId="0" borderId="0" xfId="0" applyNumberFormat="1" applyFont="1" applyFill="1"/>
    <xf numFmtId="171" fontId="238" fillId="0" borderId="0" xfId="436" applyNumberFormat="1" applyFont="1" applyFill="1"/>
    <xf numFmtId="9" fontId="238" fillId="0" borderId="7" xfId="0" applyNumberFormat="1" applyFont="1" applyFill="1" applyBorder="1"/>
    <xf numFmtId="0" fontId="0" fillId="0" borderId="0" xfId="0" applyAlignment="1">
      <alignment horizontal="center"/>
    </xf>
    <xf numFmtId="49" fontId="19" fillId="0" borderId="0" xfId="0" applyNumberFormat="1" applyFont="1" applyAlignment="1">
      <alignment horizontal="center"/>
    </xf>
    <xf numFmtId="49" fontId="19" fillId="0" borderId="0" xfId="0" applyNumberFormat="1" applyFont="1"/>
    <xf numFmtId="0" fontId="0" fillId="0" borderId="0" xfId="0"/>
    <xf numFmtId="49" fontId="322" fillId="0" borderId="0" xfId="1157" applyNumberFormat="1" applyFont="1" applyAlignment="1">
      <alignment horizontal="center"/>
    </xf>
    <xf numFmtId="0" fontId="0" fillId="0" borderId="0" xfId="0" applyAlignment="1">
      <alignment horizontal="left"/>
    </xf>
    <xf numFmtId="0" fontId="271" fillId="61" borderId="0" xfId="0" applyFont="1" applyFill="1" applyBorder="1" applyAlignment="1">
      <alignment horizontal="center"/>
    </xf>
    <xf numFmtId="0" fontId="21" fillId="0" borderId="0" xfId="533" applyFont="1" applyFill="1" applyAlignment="1">
      <alignment horizontal="center"/>
    </xf>
  </cellXfs>
  <cellStyles count="2961">
    <cellStyle name="_x0013_" xfId="1" xr:uid="{00000000-0005-0000-0000-000000000000}"/>
    <cellStyle name="-" xfId="654" xr:uid="{00000000-0005-0000-0000-000001000000}"/>
    <cellStyle name="_x0013_ 2" xfId="1640" xr:uid="{00000000-0005-0000-0000-000002000000}"/>
    <cellStyle name="#2 [0.00000]" xfId="2950" xr:uid="{2773563F-DEC4-42A9-9012-5D07732F129C}"/>
    <cellStyle name="%" xfId="655" xr:uid="{00000000-0005-0000-0000-000003000000}"/>
    <cellStyle name="%0" xfId="656" xr:uid="{00000000-0005-0000-0000-000004000000}"/>
    <cellStyle name="%0 2" xfId="657" xr:uid="{00000000-0005-0000-0000-000005000000}"/>
    <cellStyle name="%1" xfId="658" xr:uid="{00000000-0005-0000-0000-000006000000}"/>
    <cellStyle name="%1 2" xfId="659" xr:uid="{00000000-0005-0000-0000-000007000000}"/>
    <cellStyle name="%2" xfId="660" xr:uid="{00000000-0005-0000-0000-000008000000}"/>
    <cellStyle name="%2 2" xfId="661" xr:uid="{00000000-0005-0000-0000-000009000000}"/>
    <cellStyle name="?? [0]_??" xfId="2" xr:uid="{00000000-0005-0000-0000-00000A000000}"/>
    <cellStyle name="??_?.????" xfId="3" xr:uid="{00000000-0005-0000-0000-00000B000000}"/>
    <cellStyle name="__ [0]___" xfId="4" xr:uid="{00000000-0005-0000-0000-00000C000000}"/>
    <cellStyle name="__ [0]___ 2" xfId="1641" xr:uid="{00000000-0005-0000-0000-00000D000000}"/>
    <cellStyle name="__ [0]____" xfId="5" xr:uid="{00000000-0005-0000-0000-00000E000000}"/>
    <cellStyle name="__ [0]____ 2" xfId="1642" xr:uid="{00000000-0005-0000-0000-00000F000000}"/>
    <cellStyle name="__ [0]______" xfId="6" xr:uid="{00000000-0005-0000-0000-000010000000}"/>
    <cellStyle name="__ [0]______ 2" xfId="1643" xr:uid="{00000000-0005-0000-0000-000011000000}"/>
    <cellStyle name="__ [0]__________" xfId="7" xr:uid="{00000000-0005-0000-0000-000012000000}"/>
    <cellStyle name="__ [0]__________ 2" xfId="1644" xr:uid="{00000000-0005-0000-0000-000013000000}"/>
    <cellStyle name="__ [0]___________ClearSky_AEP_Min_04.04.02_Bank" xfId="8" xr:uid="{00000000-0005-0000-0000-000014000000}"/>
    <cellStyle name="__ [0]___________ClearSky_AEP_Min_04.04.02_Bank 2" xfId="1645" xr:uid="{00000000-0005-0000-0000-000015000000}"/>
    <cellStyle name="__ [0]___________Clearsky_internal_050301" xfId="9" xr:uid="{00000000-0005-0000-0000-000016000000}"/>
    <cellStyle name="__ [0]___________Clearsky_internal_050301 2" xfId="1646" xr:uid="{00000000-0005-0000-0000-000017000000}"/>
    <cellStyle name="__ [0]___________Clearsky_internal_050301_1" xfId="10" xr:uid="{00000000-0005-0000-0000-000018000000}"/>
    <cellStyle name="__ [0]___________Clearsky_internal_050301_1 2" xfId="1647" xr:uid="{00000000-0005-0000-0000-000019000000}"/>
    <cellStyle name="__ [0]___________Clearsky_internal_070201" xfId="11" xr:uid="{00000000-0005-0000-0000-00001A000000}"/>
    <cellStyle name="__ [0]___________Clearsky_internal_070201 2" xfId="1648" xr:uid="{00000000-0005-0000-0000-00001B000000}"/>
    <cellStyle name="__ [0]___________Clearsky_internal_070201.xls Chart 2" xfId="12" xr:uid="{00000000-0005-0000-0000-00001C000000}"/>
    <cellStyle name="__ [0]___________Clearsky_internal_070201.xls Chart 2 2" xfId="1649" xr:uid="{00000000-0005-0000-0000-00001D000000}"/>
    <cellStyle name="__ [0]___________Clearsky_internal_070201_1" xfId="13" xr:uid="{00000000-0005-0000-0000-00001E000000}"/>
    <cellStyle name="__ [0]___________Clearsky_internal_070201_1 2" xfId="1650" xr:uid="{00000000-0005-0000-0000-00001F000000}"/>
    <cellStyle name="__ [0]___________Clearsky_internal_070201_Clearsky_internal_070201" xfId="14" xr:uid="{00000000-0005-0000-0000-000020000000}"/>
    <cellStyle name="__ [0]___________Clearsky_internal_070201_Clearsky_internal_070201 2" xfId="1651" xr:uid="{00000000-0005-0000-0000-000021000000}"/>
    <cellStyle name="__ [0]___________Clearsky_internal_070201_Clearsky_Outside_070201.xls Chart 2" xfId="15" xr:uid="{00000000-0005-0000-0000-000022000000}"/>
    <cellStyle name="__ [0]___________Clearsky_internal_070201_Clearsky_Outside_070201.xls Chart 2 2" xfId="1652" xr:uid="{00000000-0005-0000-0000-000023000000}"/>
    <cellStyle name="__ [0]___________Clearsky_Outside_070201.xls Chart 2" xfId="16" xr:uid="{00000000-0005-0000-0000-000024000000}"/>
    <cellStyle name="__ [0]___________Clearsky_Outside_070201.xls Chart 2 2" xfId="1653" xr:uid="{00000000-0005-0000-0000-000025000000}"/>
    <cellStyle name="__ [0]_______ClearSky_AEP_Min_04.04.02_Bank" xfId="17" xr:uid="{00000000-0005-0000-0000-000026000000}"/>
    <cellStyle name="__ [0]_______ClearSky_AEP_Min_04.04.02_Bank 2" xfId="1654" xr:uid="{00000000-0005-0000-0000-000027000000}"/>
    <cellStyle name="__ [0]_______Clearsky_internal_050301" xfId="18" xr:uid="{00000000-0005-0000-0000-000028000000}"/>
    <cellStyle name="__ [0]_______Clearsky_internal_050301 2" xfId="1655" xr:uid="{00000000-0005-0000-0000-000029000000}"/>
    <cellStyle name="__ [0]_______Clearsky_internal_070201" xfId="19" xr:uid="{00000000-0005-0000-0000-00002A000000}"/>
    <cellStyle name="__ [0]_______Clearsky_internal_070201 2" xfId="1656" xr:uid="{00000000-0005-0000-0000-00002B000000}"/>
    <cellStyle name="__ [0]_______Clearsky_internal_070201.xls Chart 2" xfId="20" xr:uid="{00000000-0005-0000-0000-00002C000000}"/>
    <cellStyle name="__ [0]_______Clearsky_internal_070201.xls Chart 2 2" xfId="1657" xr:uid="{00000000-0005-0000-0000-00002D000000}"/>
    <cellStyle name="__ [0]_______Clearsky_Outside_070201.xls Chart 2" xfId="21" xr:uid="{00000000-0005-0000-0000-00002E000000}"/>
    <cellStyle name="__ [0]_______Clearsky_Outside_070201.xls Chart 2 2" xfId="1658" xr:uid="{00000000-0005-0000-0000-00002F000000}"/>
    <cellStyle name="__ [0]_____ClearSky_AEP_Min_04.04.02_Bank" xfId="22" xr:uid="{00000000-0005-0000-0000-000030000000}"/>
    <cellStyle name="__ [0]_____ClearSky_AEP_Min_04.04.02_Bank 2" xfId="1659" xr:uid="{00000000-0005-0000-0000-000031000000}"/>
    <cellStyle name="__ [0]_____Clearsky_internal_050301" xfId="23" xr:uid="{00000000-0005-0000-0000-000032000000}"/>
    <cellStyle name="__ [0]_____Clearsky_internal_050301 2" xfId="1660" xr:uid="{00000000-0005-0000-0000-000033000000}"/>
    <cellStyle name="__ [0]_____Clearsky_internal_050301_1" xfId="24" xr:uid="{00000000-0005-0000-0000-000034000000}"/>
    <cellStyle name="__ [0]_____Clearsky_internal_050301_1 2" xfId="1661" xr:uid="{00000000-0005-0000-0000-000035000000}"/>
    <cellStyle name="__ [0]_____Clearsky_internal_070201" xfId="25" xr:uid="{00000000-0005-0000-0000-000036000000}"/>
    <cellStyle name="__ [0]_____Clearsky_internal_070201 2" xfId="1662" xr:uid="{00000000-0005-0000-0000-000037000000}"/>
    <cellStyle name="__ [0]_____Clearsky_internal_070201.xls Chart 2" xfId="26" xr:uid="{00000000-0005-0000-0000-000038000000}"/>
    <cellStyle name="__ [0]_____Clearsky_internal_070201.xls Chart 2 2" xfId="1663" xr:uid="{00000000-0005-0000-0000-000039000000}"/>
    <cellStyle name="__ [0]_____Clearsky_internal_070201_1" xfId="27" xr:uid="{00000000-0005-0000-0000-00003A000000}"/>
    <cellStyle name="__ [0]_____Clearsky_internal_070201_1 2" xfId="1664" xr:uid="{00000000-0005-0000-0000-00003B000000}"/>
    <cellStyle name="__ [0]_____Clearsky_internal_070201_Clearsky_internal_070201" xfId="28" xr:uid="{00000000-0005-0000-0000-00003C000000}"/>
    <cellStyle name="__ [0]_____Clearsky_internal_070201_Clearsky_internal_070201 2" xfId="1665" xr:uid="{00000000-0005-0000-0000-00003D000000}"/>
    <cellStyle name="__ [0]_____Clearsky_internal_070201_Clearsky_Outside_070201.xls Chart 2" xfId="29" xr:uid="{00000000-0005-0000-0000-00003E000000}"/>
    <cellStyle name="__ [0]_____Clearsky_internal_070201_Clearsky_Outside_070201.xls Chart 2 2" xfId="1666" xr:uid="{00000000-0005-0000-0000-00003F000000}"/>
    <cellStyle name="__ [0]_____Clearsky_Outside_070201.xls Chart 2" xfId="30" xr:uid="{00000000-0005-0000-0000-000040000000}"/>
    <cellStyle name="__ [0]_____Clearsky_Outside_070201.xls Chart 2 2" xfId="1667" xr:uid="{00000000-0005-0000-0000-000041000000}"/>
    <cellStyle name="__ [0]____ClearSky_AEP_Min_04.04.02_Bank" xfId="31" xr:uid="{00000000-0005-0000-0000-000042000000}"/>
    <cellStyle name="__ [0]____ClearSky_AEP_Min_04.04.02_Bank 2" xfId="1668" xr:uid="{00000000-0005-0000-0000-000043000000}"/>
    <cellStyle name="__ [0]____Clearsky_internal_050301" xfId="32" xr:uid="{00000000-0005-0000-0000-000044000000}"/>
    <cellStyle name="__ [0]____Clearsky_internal_050301 2" xfId="1669" xr:uid="{00000000-0005-0000-0000-000045000000}"/>
    <cellStyle name="__ [0]____Clearsky_internal_070201" xfId="33" xr:uid="{00000000-0005-0000-0000-000046000000}"/>
    <cellStyle name="__ [0]____Clearsky_internal_070201 2" xfId="1670" xr:uid="{00000000-0005-0000-0000-000047000000}"/>
    <cellStyle name="__ [0]____Clearsky_internal_070201.xls Chart 2" xfId="34" xr:uid="{00000000-0005-0000-0000-000048000000}"/>
    <cellStyle name="__ [0]____Clearsky_internal_070201.xls Chart 2 2" xfId="1671" xr:uid="{00000000-0005-0000-0000-000049000000}"/>
    <cellStyle name="__ [0]____Clearsky_Outside_070201.xls Chart 2" xfId="35" xr:uid="{00000000-0005-0000-0000-00004A000000}"/>
    <cellStyle name="__ [0]____Clearsky_Outside_070201.xls Chart 2 2" xfId="1672" xr:uid="{00000000-0005-0000-0000-00004B000000}"/>
    <cellStyle name="__ [0]_94___" xfId="36" xr:uid="{00000000-0005-0000-0000-00004C000000}"/>
    <cellStyle name="__ [0]_94___ 2" xfId="1673" xr:uid="{00000000-0005-0000-0000-00004D000000}"/>
    <cellStyle name="__ [0]_94____ClearSky_AEP_Min_04.04.02_Bank" xfId="37" xr:uid="{00000000-0005-0000-0000-00004E000000}"/>
    <cellStyle name="__ [0]_94____ClearSky_AEP_Min_04.04.02_Bank 2" xfId="1674" xr:uid="{00000000-0005-0000-0000-00004F000000}"/>
    <cellStyle name="__ [0]_94____Clearsky_internal_050301" xfId="38" xr:uid="{00000000-0005-0000-0000-000050000000}"/>
    <cellStyle name="__ [0]_94____Clearsky_internal_050301 2" xfId="1675" xr:uid="{00000000-0005-0000-0000-000051000000}"/>
    <cellStyle name="__ [0]_94____Clearsky_internal_070201" xfId="39" xr:uid="{00000000-0005-0000-0000-000052000000}"/>
    <cellStyle name="__ [0]_94____Clearsky_internal_070201 2" xfId="1676" xr:uid="{00000000-0005-0000-0000-000053000000}"/>
    <cellStyle name="__ [0]_94____Clearsky_internal_070201.xls Chart 2" xfId="40" xr:uid="{00000000-0005-0000-0000-000054000000}"/>
    <cellStyle name="__ [0]_94____Clearsky_internal_070201.xls Chart 2 2" xfId="1677" xr:uid="{00000000-0005-0000-0000-000055000000}"/>
    <cellStyle name="__ [0]_94____Clearsky_internal_070201_Clearsky_Outside_070201.xls Chart 2" xfId="41" xr:uid="{00000000-0005-0000-0000-000056000000}"/>
    <cellStyle name="__ [0]_94____Clearsky_internal_070201_Clearsky_Outside_070201.xls Chart 2 2" xfId="1678" xr:uid="{00000000-0005-0000-0000-000057000000}"/>
    <cellStyle name="__ [0]_94____Clearsky_Outside_070201.xls Chart 2" xfId="42" xr:uid="{00000000-0005-0000-0000-000058000000}"/>
    <cellStyle name="__ [0]_94____Clearsky_Outside_070201.xls Chart 2 2" xfId="1679" xr:uid="{00000000-0005-0000-0000-000059000000}"/>
    <cellStyle name="__ [0]_dimon" xfId="43" xr:uid="{00000000-0005-0000-0000-00005A000000}"/>
    <cellStyle name="__ [0]_dimon 2" xfId="1680" xr:uid="{00000000-0005-0000-0000-00005B000000}"/>
    <cellStyle name="__ [0]_form" xfId="44" xr:uid="{00000000-0005-0000-0000-00005C000000}"/>
    <cellStyle name="__ [0]_form 2" xfId="1681" xr:uid="{00000000-0005-0000-0000-00005D000000}"/>
    <cellStyle name="__ [0]_form_ClearSky_AEP_Min_04.04.02_Bank" xfId="45" xr:uid="{00000000-0005-0000-0000-00005E000000}"/>
    <cellStyle name="__ [0]_form_ClearSky_AEP_Min_04.04.02_Bank 2" xfId="1682" xr:uid="{00000000-0005-0000-0000-00005F000000}"/>
    <cellStyle name="__ [0]_form_Clearsky_internal_050301" xfId="46" xr:uid="{00000000-0005-0000-0000-000060000000}"/>
    <cellStyle name="__ [0]_form_Clearsky_internal_050301 2" xfId="1683" xr:uid="{00000000-0005-0000-0000-000061000000}"/>
    <cellStyle name="__ [0]_form_Clearsky_internal_050301_1" xfId="47" xr:uid="{00000000-0005-0000-0000-000062000000}"/>
    <cellStyle name="__ [0]_form_Clearsky_internal_050301_1 2" xfId="1684" xr:uid="{00000000-0005-0000-0000-000063000000}"/>
    <cellStyle name="__ [0]_form_Clearsky_internal_070201" xfId="48" xr:uid="{00000000-0005-0000-0000-000064000000}"/>
    <cellStyle name="__ [0]_form_Clearsky_internal_070201 2" xfId="1685" xr:uid="{00000000-0005-0000-0000-000065000000}"/>
    <cellStyle name="__ [0]_form_Clearsky_internal_070201.xls Chart 2" xfId="49" xr:uid="{00000000-0005-0000-0000-000066000000}"/>
    <cellStyle name="__ [0]_form_Clearsky_internal_070201.xls Chart 2 2" xfId="1686" xr:uid="{00000000-0005-0000-0000-000067000000}"/>
    <cellStyle name="__ [0]_form_Clearsky_internal_070201_Clearsky_Outside_070201.xls Chart 2" xfId="50" xr:uid="{00000000-0005-0000-0000-000068000000}"/>
    <cellStyle name="__ [0]_form_Clearsky_internal_070201_Clearsky_Outside_070201.xls Chart 2 2" xfId="1687" xr:uid="{00000000-0005-0000-0000-000069000000}"/>
    <cellStyle name="__ [0]_form_Clearsky_Outside_070201.xls Chart 2" xfId="51" xr:uid="{00000000-0005-0000-0000-00006A000000}"/>
    <cellStyle name="__ [0]_form_Clearsky_Outside_070201.xls Chart 2 2" xfId="1688" xr:uid="{00000000-0005-0000-0000-00006B000000}"/>
    <cellStyle name="__ [0]_laroux" xfId="52" xr:uid="{00000000-0005-0000-0000-00006C000000}"/>
    <cellStyle name="__ [0]_laroux 2" xfId="1689" xr:uid="{00000000-0005-0000-0000-00006D000000}"/>
    <cellStyle name="__ [0]_laroux_1" xfId="53" xr:uid="{00000000-0005-0000-0000-00006E000000}"/>
    <cellStyle name="__ [0]_laroux_1_ClearSky_AEP_Min_04.04.02_Bank" xfId="54" xr:uid="{00000000-0005-0000-0000-00006F000000}"/>
    <cellStyle name="__ [0]_laroux_1_Clearsky_internal_050301" xfId="55" xr:uid="{00000000-0005-0000-0000-000070000000}"/>
    <cellStyle name="__ [0]_laroux_1_Clearsky_internal_050301_1" xfId="56" xr:uid="{00000000-0005-0000-0000-000071000000}"/>
    <cellStyle name="__ [0]_laroux_1_Clearsky_internal_070201" xfId="57" xr:uid="{00000000-0005-0000-0000-000072000000}"/>
    <cellStyle name="__ [0]_laroux_1_Clearsky_internal_070201.xls Chart 2" xfId="58" xr:uid="{00000000-0005-0000-0000-000073000000}"/>
    <cellStyle name="__ [0]_laroux_1_Clearsky_internal_070201_1" xfId="59" xr:uid="{00000000-0005-0000-0000-000074000000}"/>
    <cellStyle name="__ [0]_laroux_1_Clearsky_Outside_070201.xls Chart 2" xfId="60" xr:uid="{00000000-0005-0000-0000-000075000000}"/>
    <cellStyle name="__ [0]_laroux_2" xfId="61" xr:uid="{00000000-0005-0000-0000-000076000000}"/>
    <cellStyle name="__ [0]_laroux_2 2" xfId="1690" xr:uid="{00000000-0005-0000-0000-000077000000}"/>
    <cellStyle name="__ [0]_laroux_ClearSky_AEP_Min_04.04.02_Bank" xfId="62" xr:uid="{00000000-0005-0000-0000-000078000000}"/>
    <cellStyle name="__ [0]_laroux_ClearSky_AEP_Min_04.04.02_Bank 2" xfId="1691" xr:uid="{00000000-0005-0000-0000-000079000000}"/>
    <cellStyle name="__ [0]_laroux_Clearsky_internal_050301" xfId="63" xr:uid="{00000000-0005-0000-0000-00007A000000}"/>
    <cellStyle name="__ [0]_laroux_Clearsky_internal_050301 2" xfId="1692" xr:uid="{00000000-0005-0000-0000-00007B000000}"/>
    <cellStyle name="__ [0]_laroux_Clearsky_internal_070201" xfId="64" xr:uid="{00000000-0005-0000-0000-00007C000000}"/>
    <cellStyle name="__ [0]_laroux_Clearsky_internal_070201 2" xfId="1693" xr:uid="{00000000-0005-0000-0000-00007D000000}"/>
    <cellStyle name="__ [0]_laroux_Clearsky_internal_070201.xls Chart 2" xfId="65" xr:uid="{00000000-0005-0000-0000-00007E000000}"/>
    <cellStyle name="__ [0]_laroux_Clearsky_internal_070201.xls Chart 2 2" xfId="1694" xr:uid="{00000000-0005-0000-0000-00007F000000}"/>
    <cellStyle name="__ [0]_laroux_Clearsky_internal_070201_1" xfId="66" xr:uid="{00000000-0005-0000-0000-000080000000}"/>
    <cellStyle name="__ [0]_laroux_Clearsky_internal_070201_1 2" xfId="1695" xr:uid="{00000000-0005-0000-0000-000081000000}"/>
    <cellStyle name="__ [0]_laroux_Clearsky_internal_070201_Clearsky_Outside_070201.xls Chart 2" xfId="67" xr:uid="{00000000-0005-0000-0000-000082000000}"/>
    <cellStyle name="__ [0]_laroux_Clearsky_internal_070201_Clearsky_Outside_070201.xls Chart 2 2" xfId="1696" xr:uid="{00000000-0005-0000-0000-000083000000}"/>
    <cellStyle name="__ [0]_laroux_Clearsky_Outside_070201.xls Chart 2" xfId="68" xr:uid="{00000000-0005-0000-0000-000084000000}"/>
    <cellStyle name="__ [0]_laroux_Clearsky_Outside_070201.xls Chart 2 2" xfId="1697" xr:uid="{00000000-0005-0000-0000-000085000000}"/>
    <cellStyle name="__ [0]_PERSONAL" xfId="69" xr:uid="{00000000-0005-0000-0000-000086000000}"/>
    <cellStyle name="__ [0]_PERSONAL 2" xfId="1698" xr:uid="{00000000-0005-0000-0000-000087000000}"/>
    <cellStyle name="__ [0]_PERSONAL_1" xfId="70" xr:uid="{00000000-0005-0000-0000-000088000000}"/>
    <cellStyle name="__ [0]_PERSONAL_1 2" xfId="1699" xr:uid="{00000000-0005-0000-0000-000089000000}"/>
    <cellStyle name="__ [0]_PERSONAL_1_ClearSky_AEP_Min_04.04.02_Bank" xfId="71" xr:uid="{00000000-0005-0000-0000-00008A000000}"/>
    <cellStyle name="__ [0]_PERSONAL_1_ClearSky_AEP_Min_04.04.02_Bank 2" xfId="1700" xr:uid="{00000000-0005-0000-0000-00008B000000}"/>
    <cellStyle name="__ [0]_PERSONAL_1_Clearsky_internal_050301" xfId="72" xr:uid="{00000000-0005-0000-0000-00008C000000}"/>
    <cellStyle name="__ [0]_PERSONAL_1_Clearsky_internal_050301 2" xfId="1701" xr:uid="{00000000-0005-0000-0000-00008D000000}"/>
    <cellStyle name="__ [0]_PERSONAL_1_Clearsky_internal_070201" xfId="73" xr:uid="{00000000-0005-0000-0000-00008E000000}"/>
    <cellStyle name="__ [0]_PERSONAL_1_Clearsky_internal_070201 2" xfId="1702" xr:uid="{00000000-0005-0000-0000-00008F000000}"/>
    <cellStyle name="__ [0]_PERSONAL_1_Clearsky_internal_070201.xls Chart 2" xfId="74" xr:uid="{00000000-0005-0000-0000-000090000000}"/>
    <cellStyle name="__ [0]_PERSONAL_1_Clearsky_internal_070201.xls Chart 2 2" xfId="1703" xr:uid="{00000000-0005-0000-0000-000091000000}"/>
    <cellStyle name="__ [0]_PERSONAL_1_Clearsky_internal_070201_1" xfId="75" xr:uid="{00000000-0005-0000-0000-000092000000}"/>
    <cellStyle name="__ [0]_PERSONAL_1_Clearsky_internal_070201_1 2" xfId="1704" xr:uid="{00000000-0005-0000-0000-000093000000}"/>
    <cellStyle name="__ [0]_PERSONAL_1_Clearsky_internal_070201_Clearsky_internal_070201" xfId="76" xr:uid="{00000000-0005-0000-0000-000094000000}"/>
    <cellStyle name="__ [0]_PERSONAL_1_Clearsky_internal_070201_Clearsky_internal_070201 2" xfId="1705" xr:uid="{00000000-0005-0000-0000-000095000000}"/>
    <cellStyle name="__ [0]_PERSONAL_1_Clearsky_internal_070201_Clearsky_Outside_070201.xls Chart 2" xfId="77" xr:uid="{00000000-0005-0000-0000-000096000000}"/>
    <cellStyle name="__ [0]_PERSONAL_1_Clearsky_internal_070201_Clearsky_Outside_070201.xls Chart 2 2" xfId="1706" xr:uid="{00000000-0005-0000-0000-000097000000}"/>
    <cellStyle name="__ [0]_PERSONAL_1_Clearsky_Outside_070201.xls Chart 2" xfId="78" xr:uid="{00000000-0005-0000-0000-000098000000}"/>
    <cellStyle name="__ [0]_PERSONAL_1_Clearsky_Outside_070201.xls Chart 2 2" xfId="1707" xr:uid="{00000000-0005-0000-0000-000099000000}"/>
    <cellStyle name="__ [0]_PERSONAL_2" xfId="79" xr:uid="{00000000-0005-0000-0000-00009A000000}"/>
    <cellStyle name="__ [0]_PERSONAL_2 2" xfId="1708" xr:uid="{00000000-0005-0000-0000-00009B000000}"/>
    <cellStyle name="__ [0]_PERSONAL_2_ClearSky_AEP_Min_04.04.02_Bank" xfId="80" xr:uid="{00000000-0005-0000-0000-00009C000000}"/>
    <cellStyle name="__ [0]_PERSONAL_2_ClearSky_AEP_Min_04.04.02_Bank 2" xfId="1709" xr:uid="{00000000-0005-0000-0000-00009D000000}"/>
    <cellStyle name="__ [0]_PERSONAL_2_Clearsky_internal_050301" xfId="81" xr:uid="{00000000-0005-0000-0000-00009E000000}"/>
    <cellStyle name="__ [0]_PERSONAL_2_Clearsky_internal_050301 2" xfId="1710" xr:uid="{00000000-0005-0000-0000-00009F000000}"/>
    <cellStyle name="__ [0]_PERSONAL_2_Clearsky_internal_070201" xfId="82" xr:uid="{00000000-0005-0000-0000-0000A0000000}"/>
    <cellStyle name="__ [0]_PERSONAL_2_Clearsky_internal_070201 2" xfId="1711" xr:uid="{00000000-0005-0000-0000-0000A1000000}"/>
    <cellStyle name="__ [0]_PERSONAL_2_Clearsky_internal_070201.xls Chart 2" xfId="83" xr:uid="{00000000-0005-0000-0000-0000A2000000}"/>
    <cellStyle name="__ [0]_PERSONAL_2_Clearsky_internal_070201.xls Chart 2 2" xfId="1712" xr:uid="{00000000-0005-0000-0000-0000A3000000}"/>
    <cellStyle name="__ [0]_PERSONAL_2_Clearsky_internal_070201_1" xfId="84" xr:uid="{00000000-0005-0000-0000-0000A4000000}"/>
    <cellStyle name="__ [0]_PERSONAL_2_Clearsky_internal_070201_1 2" xfId="1713" xr:uid="{00000000-0005-0000-0000-0000A5000000}"/>
    <cellStyle name="__ [0]_PERSONAL_2_Clearsky_internal_070201_Clearsky_internal_070201" xfId="85" xr:uid="{00000000-0005-0000-0000-0000A6000000}"/>
    <cellStyle name="__ [0]_PERSONAL_2_Clearsky_internal_070201_Clearsky_internal_070201 2" xfId="1714" xr:uid="{00000000-0005-0000-0000-0000A7000000}"/>
    <cellStyle name="__ [0]_PERSONAL_2_Clearsky_internal_070201_Clearsky_Outside_070201.xls Chart 2" xfId="86" xr:uid="{00000000-0005-0000-0000-0000A8000000}"/>
    <cellStyle name="__ [0]_PERSONAL_2_Clearsky_internal_070201_Clearsky_Outside_070201.xls Chart 2 2" xfId="1715" xr:uid="{00000000-0005-0000-0000-0000A9000000}"/>
    <cellStyle name="__ [0]_PERSONAL_2_Clearsky_Outside_070201.xls Chart 2" xfId="87" xr:uid="{00000000-0005-0000-0000-0000AA000000}"/>
    <cellStyle name="__ [0]_PERSONAL_2_Clearsky_Outside_070201.xls Chart 2 2" xfId="1716" xr:uid="{00000000-0005-0000-0000-0000AB000000}"/>
    <cellStyle name="__ [0]_PERSONAL_3" xfId="88" xr:uid="{00000000-0005-0000-0000-0000AC000000}"/>
    <cellStyle name="__ [0]_PERSONAL_3 2" xfId="1717" xr:uid="{00000000-0005-0000-0000-0000AD000000}"/>
    <cellStyle name="__ [0]_PERSONAL_ClearSky_AEP_Min_04.04.02_Bank" xfId="89" xr:uid="{00000000-0005-0000-0000-0000AE000000}"/>
    <cellStyle name="__ [0]_PERSONAL_ClearSky_AEP_Min_04.04.02_Bank 2" xfId="1718" xr:uid="{00000000-0005-0000-0000-0000AF000000}"/>
    <cellStyle name="__ [0]_PERSONAL_Clearsky_internal_050301" xfId="90" xr:uid="{00000000-0005-0000-0000-0000B0000000}"/>
    <cellStyle name="__ [0]_PERSONAL_Clearsky_internal_050301 2" xfId="1719" xr:uid="{00000000-0005-0000-0000-0000B1000000}"/>
    <cellStyle name="__ [0]_PERSONAL_Clearsky_internal_070201" xfId="91" xr:uid="{00000000-0005-0000-0000-0000B2000000}"/>
    <cellStyle name="__ [0]_PERSONAL_Clearsky_internal_070201 2" xfId="1720" xr:uid="{00000000-0005-0000-0000-0000B3000000}"/>
    <cellStyle name="__ [0]_PERSONAL_Clearsky_internal_070201.xls Chart 2" xfId="92" xr:uid="{00000000-0005-0000-0000-0000B4000000}"/>
    <cellStyle name="__ [0]_PERSONAL_Clearsky_internal_070201.xls Chart 2 2" xfId="1721" xr:uid="{00000000-0005-0000-0000-0000B5000000}"/>
    <cellStyle name="__ [0]_PERSONAL_Clearsky_internal_070201_1" xfId="93" xr:uid="{00000000-0005-0000-0000-0000B6000000}"/>
    <cellStyle name="__ [0]_PERSONAL_Clearsky_internal_070201_1 2" xfId="1722" xr:uid="{00000000-0005-0000-0000-0000B7000000}"/>
    <cellStyle name="__ [0]_PERSONAL_Clearsky_internal_070201_Clearsky_Outside_070201.xls Chart 2" xfId="94" xr:uid="{00000000-0005-0000-0000-0000B8000000}"/>
    <cellStyle name="__ [0]_PERSONAL_Clearsky_internal_070201_Clearsky_Outside_070201.xls Chart 2 2" xfId="1723" xr:uid="{00000000-0005-0000-0000-0000B9000000}"/>
    <cellStyle name="__ [0]_PERSONAL_Clearsky_Outside_070201.xls Chart 2" xfId="95" xr:uid="{00000000-0005-0000-0000-0000BA000000}"/>
    <cellStyle name="__ [0]_PERSONAL_Clearsky_Outside_070201.xls Chart 2 2" xfId="1724" xr:uid="{00000000-0005-0000-0000-0000BB000000}"/>
    <cellStyle name="__ [0]_Sheet2" xfId="96" xr:uid="{00000000-0005-0000-0000-0000BC000000}"/>
    <cellStyle name="__ [0]_Sheet2 2" xfId="1725" xr:uid="{00000000-0005-0000-0000-0000BD000000}"/>
    <cellStyle name="____.____" xfId="97" xr:uid="{00000000-0005-0000-0000-0000BE000000}"/>
    <cellStyle name="_____" xfId="98" xr:uid="{00000000-0005-0000-0000-0000BF000000}"/>
    <cellStyle name="______" xfId="99" xr:uid="{00000000-0005-0000-0000-0000C0000000}"/>
    <cellStyle name="_______" xfId="100" xr:uid="{00000000-0005-0000-0000-0000C1000000}"/>
    <cellStyle name="________" xfId="101" xr:uid="{00000000-0005-0000-0000-0000C2000000}"/>
    <cellStyle name="________ 2" xfId="1726" xr:uid="{00000000-0005-0000-0000-0000C3000000}"/>
    <cellStyle name="__________" xfId="102" xr:uid="{00000000-0005-0000-0000-0000C4000000}"/>
    <cellStyle name="____________" xfId="103" xr:uid="{00000000-0005-0000-0000-0000C5000000}"/>
    <cellStyle name="_____________ClearSky_AEP_Min_04.04.02_Bank" xfId="104" xr:uid="{00000000-0005-0000-0000-0000C6000000}"/>
    <cellStyle name="_____________ClearSky_AEP_Min_04.04.02_Bank 2" xfId="1727" xr:uid="{00000000-0005-0000-0000-0000C7000000}"/>
    <cellStyle name="_____________ClearSky_AEP_Min_04.04.02_Bank_1" xfId="105" xr:uid="{00000000-0005-0000-0000-0000C8000000}"/>
    <cellStyle name="_____________ClearSky_AEP_Min_04.04.02_Bank_1 2" xfId="1728" xr:uid="{00000000-0005-0000-0000-0000C9000000}"/>
    <cellStyle name="_____________Clearsky_internal_050301" xfId="106" xr:uid="{00000000-0005-0000-0000-0000CA000000}"/>
    <cellStyle name="_____________Clearsky_internal_050301_1" xfId="107" xr:uid="{00000000-0005-0000-0000-0000CB000000}"/>
    <cellStyle name="_____________Clearsky_internal_050301_1 2" xfId="1729" xr:uid="{00000000-0005-0000-0000-0000CC000000}"/>
    <cellStyle name="_____________Clearsky_internal_050301_2" xfId="108" xr:uid="{00000000-0005-0000-0000-0000CD000000}"/>
    <cellStyle name="_____________Clearsky_internal_050301_2 2" xfId="1730" xr:uid="{00000000-0005-0000-0000-0000CE000000}"/>
    <cellStyle name="_____________Clearsky_internal_070201" xfId="109" xr:uid="{00000000-0005-0000-0000-0000CF000000}"/>
    <cellStyle name="_____________Clearsky_internal_070201.xls Chart 2" xfId="110" xr:uid="{00000000-0005-0000-0000-0000D0000000}"/>
    <cellStyle name="_____________Clearsky_internal_070201.xls Chart 2_1" xfId="111" xr:uid="{00000000-0005-0000-0000-0000D1000000}"/>
    <cellStyle name="_____________Clearsky_internal_070201.xls Chart 2_1 2" xfId="1731" xr:uid="{00000000-0005-0000-0000-0000D2000000}"/>
    <cellStyle name="_____________Clearsky_internal_070201_1" xfId="112" xr:uid="{00000000-0005-0000-0000-0000D3000000}"/>
    <cellStyle name="_____________Clearsky_internal_070201_1 2" xfId="1732" xr:uid="{00000000-0005-0000-0000-0000D4000000}"/>
    <cellStyle name="_____________Clearsky_internal_070201_2" xfId="113" xr:uid="{00000000-0005-0000-0000-0000D5000000}"/>
    <cellStyle name="_____________Clearsky_internal_070201_2 2" xfId="1733" xr:uid="{00000000-0005-0000-0000-0000D6000000}"/>
    <cellStyle name="_____________Clearsky_Outside_070201.xls Chart 2" xfId="114" xr:uid="{00000000-0005-0000-0000-0000D7000000}"/>
    <cellStyle name="_____________Clearsky_Outside_070201.xls Chart 2 2" xfId="1734" xr:uid="{00000000-0005-0000-0000-0000D8000000}"/>
    <cellStyle name="_____________Clearsky_Outside_070201.xls Chart 2_1" xfId="115" xr:uid="{00000000-0005-0000-0000-0000D9000000}"/>
    <cellStyle name="_____________Clearsky_Outside_070201.xls Chart 2_1 2" xfId="1735" xr:uid="{00000000-0005-0000-0000-0000DA000000}"/>
    <cellStyle name="___________ClearSky_AEP_Min_04.04.02_Bank" xfId="116" xr:uid="{00000000-0005-0000-0000-0000DB000000}"/>
    <cellStyle name="___________Clearsky_internal_050301" xfId="117" xr:uid="{00000000-0005-0000-0000-0000DC000000}"/>
    <cellStyle name="___________Clearsky_internal_050301_1" xfId="118" xr:uid="{00000000-0005-0000-0000-0000DD000000}"/>
    <cellStyle name="___________Clearsky_internal_070201" xfId="119" xr:uid="{00000000-0005-0000-0000-0000DE000000}"/>
    <cellStyle name="___________Clearsky_internal_070201.xls Chart 2" xfId="120" xr:uid="{00000000-0005-0000-0000-0000DF000000}"/>
    <cellStyle name="___________Clearsky_internal_070201_1" xfId="121" xr:uid="{00000000-0005-0000-0000-0000E0000000}"/>
    <cellStyle name="___________Clearsky_Outside_070201.xls Chart 2" xfId="122" xr:uid="{00000000-0005-0000-0000-0000E1000000}"/>
    <cellStyle name="_________1" xfId="123" xr:uid="{00000000-0005-0000-0000-0000E2000000}"/>
    <cellStyle name="_________2" xfId="124" xr:uid="{00000000-0005-0000-0000-0000E3000000}"/>
    <cellStyle name="_________ClearSky_AEP_Min_04.04.02_Bank" xfId="125" xr:uid="{00000000-0005-0000-0000-0000E4000000}"/>
    <cellStyle name="_________ClearSky_AEP_Min_04.04.02_Bank_1" xfId="126" xr:uid="{00000000-0005-0000-0000-0000E5000000}"/>
    <cellStyle name="_________ClearSky_AEP_Min_04.04.02_Bank_1 2" xfId="1736" xr:uid="{00000000-0005-0000-0000-0000E6000000}"/>
    <cellStyle name="_________Clearsky_internal_050301" xfId="127" xr:uid="{00000000-0005-0000-0000-0000E7000000}"/>
    <cellStyle name="_________Clearsky_internal_050301_1" xfId="128" xr:uid="{00000000-0005-0000-0000-0000E8000000}"/>
    <cellStyle name="_________Clearsky_internal_050301_1 2" xfId="1737" xr:uid="{00000000-0005-0000-0000-0000E9000000}"/>
    <cellStyle name="_________Clearsky_internal_050301_2" xfId="129" xr:uid="{00000000-0005-0000-0000-0000EA000000}"/>
    <cellStyle name="_________Clearsky_internal_050301_2 2" xfId="1738" xr:uid="{00000000-0005-0000-0000-0000EB000000}"/>
    <cellStyle name="_________Clearsky_internal_070201" xfId="130" xr:uid="{00000000-0005-0000-0000-0000EC000000}"/>
    <cellStyle name="_________Clearsky_internal_070201 2" xfId="1739" xr:uid="{00000000-0005-0000-0000-0000ED000000}"/>
    <cellStyle name="_________Clearsky_internal_070201.xls Chart 2" xfId="131" xr:uid="{00000000-0005-0000-0000-0000EE000000}"/>
    <cellStyle name="_________Clearsky_internal_070201.xls Chart 2_1" xfId="132" xr:uid="{00000000-0005-0000-0000-0000EF000000}"/>
    <cellStyle name="_________Clearsky_internal_070201.xls Chart 2_1 2" xfId="1740" xr:uid="{00000000-0005-0000-0000-0000F0000000}"/>
    <cellStyle name="_________Clearsky_internal_070201_1" xfId="133" xr:uid="{00000000-0005-0000-0000-0000F1000000}"/>
    <cellStyle name="_________Clearsky_internal_070201_1 2" xfId="1741" xr:uid="{00000000-0005-0000-0000-0000F2000000}"/>
    <cellStyle name="_________Clearsky_internal_070201_2" xfId="134" xr:uid="{00000000-0005-0000-0000-0000F3000000}"/>
    <cellStyle name="_________Clearsky_Outside_070201.xls Chart 2" xfId="135" xr:uid="{00000000-0005-0000-0000-0000F4000000}"/>
    <cellStyle name="_________Clearsky_Outside_070201.xls Chart 2_1" xfId="136" xr:uid="{00000000-0005-0000-0000-0000F5000000}"/>
    <cellStyle name="_________Clearsky_Outside_070201.xls Chart 2_1 2" xfId="1742" xr:uid="{00000000-0005-0000-0000-0000F6000000}"/>
    <cellStyle name="________1" xfId="137" xr:uid="{00000000-0005-0000-0000-0000F7000000}"/>
    <cellStyle name="_______ClearSky_AEP_Min_04.04.02_Bank" xfId="138" xr:uid="{00000000-0005-0000-0000-0000F8000000}"/>
    <cellStyle name="_______ClearSky_AEP_Min_04.04.02_Bank 2" xfId="1743" xr:uid="{00000000-0005-0000-0000-0000F9000000}"/>
    <cellStyle name="_______ClearSky_AEP_Min_04.04.02_Bank_1" xfId="139" xr:uid="{00000000-0005-0000-0000-0000FA000000}"/>
    <cellStyle name="_______ClearSky_AEP_Min_04.04.02_Bank_1 2" xfId="1744" xr:uid="{00000000-0005-0000-0000-0000FB000000}"/>
    <cellStyle name="_______Clearsky_internal_050301" xfId="140" xr:uid="{00000000-0005-0000-0000-0000FC000000}"/>
    <cellStyle name="_______Clearsky_internal_050301 2" xfId="1745" xr:uid="{00000000-0005-0000-0000-0000FD000000}"/>
    <cellStyle name="_______Clearsky_internal_050301_1" xfId="141" xr:uid="{00000000-0005-0000-0000-0000FE000000}"/>
    <cellStyle name="_______Clearsky_internal_050301_1 2" xfId="1746" xr:uid="{00000000-0005-0000-0000-0000FF000000}"/>
    <cellStyle name="_______Clearsky_internal_070201" xfId="142" xr:uid="{00000000-0005-0000-0000-000000010000}"/>
    <cellStyle name="_______Clearsky_internal_070201 2" xfId="1747" xr:uid="{00000000-0005-0000-0000-000001010000}"/>
    <cellStyle name="_______Clearsky_internal_070201.xls Chart 2" xfId="143" xr:uid="{00000000-0005-0000-0000-000002010000}"/>
    <cellStyle name="_______Clearsky_internal_070201.xls Chart 2 2" xfId="1748" xr:uid="{00000000-0005-0000-0000-000003010000}"/>
    <cellStyle name="_______Clearsky_internal_070201.xls Chart 2_1" xfId="144" xr:uid="{00000000-0005-0000-0000-000004010000}"/>
    <cellStyle name="_______Clearsky_internal_070201.xls Chart 2_1 2" xfId="1749" xr:uid="{00000000-0005-0000-0000-000005010000}"/>
    <cellStyle name="_______Clearsky_internal_070201_1" xfId="145" xr:uid="{00000000-0005-0000-0000-000006010000}"/>
    <cellStyle name="_______Clearsky_internal_070201_1 2" xfId="1750" xr:uid="{00000000-0005-0000-0000-000007010000}"/>
    <cellStyle name="_______Clearsky_Outside_070201.xls Chart 2" xfId="146" xr:uid="{00000000-0005-0000-0000-000008010000}"/>
    <cellStyle name="_______Clearsky_Outside_070201.xls Chart 2 2" xfId="1751" xr:uid="{00000000-0005-0000-0000-000009010000}"/>
    <cellStyle name="_______Clearsky_Outside_070201.xls Chart 2_1" xfId="147" xr:uid="{00000000-0005-0000-0000-00000A010000}"/>
    <cellStyle name="_______Clearsky_Outside_070201.xls Chart 2_1 2" xfId="1752" xr:uid="{00000000-0005-0000-0000-00000B010000}"/>
    <cellStyle name="______1" xfId="148" xr:uid="{00000000-0005-0000-0000-00000C010000}"/>
    <cellStyle name="______ClearSky_AEP_Min_04.04.02_Bank" xfId="149" xr:uid="{00000000-0005-0000-0000-00000D010000}"/>
    <cellStyle name="______ClearSky_AEP_Min_04.04.02_Bank 2" xfId="1753" xr:uid="{00000000-0005-0000-0000-00000E010000}"/>
    <cellStyle name="______ClearSky_AEP_Min_04.04.02_Bank_1" xfId="150" xr:uid="{00000000-0005-0000-0000-00000F010000}"/>
    <cellStyle name="______ClearSky_AEP_Min_04.04.02_Bank_2" xfId="151" xr:uid="{00000000-0005-0000-0000-000010010000}"/>
    <cellStyle name="______ClearSky_AEP_Min_04.04.02_Bank_2 2" xfId="1754" xr:uid="{00000000-0005-0000-0000-000011010000}"/>
    <cellStyle name="______Clearsky_internal_050301" xfId="152" xr:uid="{00000000-0005-0000-0000-000012010000}"/>
    <cellStyle name="______Clearsky_internal_050301 2" xfId="1755" xr:uid="{00000000-0005-0000-0000-000013010000}"/>
    <cellStyle name="______Clearsky_internal_050301_1" xfId="153" xr:uid="{00000000-0005-0000-0000-000014010000}"/>
    <cellStyle name="______Clearsky_internal_050301_2" xfId="154" xr:uid="{00000000-0005-0000-0000-000015010000}"/>
    <cellStyle name="______Clearsky_internal_050301_2 2" xfId="1756" xr:uid="{00000000-0005-0000-0000-000016010000}"/>
    <cellStyle name="______Clearsky_internal_050301_3" xfId="155" xr:uid="{00000000-0005-0000-0000-000017010000}"/>
    <cellStyle name="______Clearsky_internal_070201" xfId="156" xr:uid="{00000000-0005-0000-0000-000018010000}"/>
    <cellStyle name="______Clearsky_internal_070201.xls Chart 2" xfId="157" xr:uid="{00000000-0005-0000-0000-000019010000}"/>
    <cellStyle name="______Clearsky_internal_070201.xls Chart 2_1" xfId="158" xr:uid="{00000000-0005-0000-0000-00001A010000}"/>
    <cellStyle name="______Clearsky_internal_070201.xls Chart 2_1 2" xfId="1757" xr:uid="{00000000-0005-0000-0000-00001B010000}"/>
    <cellStyle name="______Clearsky_internal_070201.xls Chart 2_2" xfId="159" xr:uid="{00000000-0005-0000-0000-00001C010000}"/>
    <cellStyle name="______Clearsky_internal_070201_1" xfId="160" xr:uid="{00000000-0005-0000-0000-00001D010000}"/>
    <cellStyle name="______Clearsky_internal_070201_1 2" xfId="1758" xr:uid="{00000000-0005-0000-0000-00001E010000}"/>
    <cellStyle name="______Clearsky_internal_070201_2" xfId="161" xr:uid="{00000000-0005-0000-0000-00001F010000}"/>
    <cellStyle name="______Clearsky_internal_070201_2_Clearsky_Outside_070201.xls Chart 2" xfId="162" xr:uid="{00000000-0005-0000-0000-000020010000}"/>
    <cellStyle name="______Clearsky_internal_070201_2_Clearsky_Outside_070201.xls Chart 2 2" xfId="1759" xr:uid="{00000000-0005-0000-0000-000021010000}"/>
    <cellStyle name="______Clearsky_internal_070201_3" xfId="163" xr:uid="{00000000-0005-0000-0000-000022010000}"/>
    <cellStyle name="______Clearsky_internal_070201_3 2" xfId="1760" xr:uid="{00000000-0005-0000-0000-000023010000}"/>
    <cellStyle name="______Clearsky_internal_070201_Clearsky_internal_070201" xfId="164" xr:uid="{00000000-0005-0000-0000-000024010000}"/>
    <cellStyle name="______Clearsky_internal_070201_Clearsky_Outside_070201.xls Chart 2" xfId="165" xr:uid="{00000000-0005-0000-0000-000025010000}"/>
    <cellStyle name="______Clearsky_Outside_070201.xls Chart 2" xfId="166" xr:uid="{00000000-0005-0000-0000-000026010000}"/>
    <cellStyle name="______Clearsky_Outside_070201.xls Chart 2_1" xfId="167" xr:uid="{00000000-0005-0000-0000-000027010000}"/>
    <cellStyle name="______Clearsky_Outside_070201.xls Chart 2_1 2" xfId="1761" xr:uid="{00000000-0005-0000-0000-000028010000}"/>
    <cellStyle name="______Clearsky_Outside_070201.xls Chart 2_2" xfId="168" xr:uid="{00000000-0005-0000-0000-000029010000}"/>
    <cellStyle name="______Clearsky_Outside_070201.xls Chart 2_2 2" xfId="1762" xr:uid="{00000000-0005-0000-0000-00002A010000}"/>
    <cellStyle name="___94___" xfId="169" xr:uid="{00000000-0005-0000-0000-00002B010000}"/>
    <cellStyle name="___94___ 2" xfId="1763" xr:uid="{00000000-0005-0000-0000-00002C010000}"/>
    <cellStyle name="___94____ClearSky_AEP_Min_04.04.02_Bank" xfId="170" xr:uid="{00000000-0005-0000-0000-00002D010000}"/>
    <cellStyle name="___94____ClearSky_AEP_Min_04.04.02_Bank 2" xfId="1764" xr:uid="{00000000-0005-0000-0000-00002E010000}"/>
    <cellStyle name="___94____Clearsky_internal_050301" xfId="171" xr:uid="{00000000-0005-0000-0000-00002F010000}"/>
    <cellStyle name="___94____Clearsky_internal_050301 2" xfId="1765" xr:uid="{00000000-0005-0000-0000-000030010000}"/>
    <cellStyle name="___94____Clearsky_internal_050301_1" xfId="172" xr:uid="{00000000-0005-0000-0000-000031010000}"/>
    <cellStyle name="___94____Clearsky_internal_050301_1 2" xfId="1766" xr:uid="{00000000-0005-0000-0000-000032010000}"/>
    <cellStyle name="___94____Clearsky_internal_070201" xfId="173" xr:uid="{00000000-0005-0000-0000-000033010000}"/>
    <cellStyle name="___94____Clearsky_internal_070201 2" xfId="1767" xr:uid="{00000000-0005-0000-0000-000034010000}"/>
    <cellStyle name="___94____Clearsky_internal_070201.xls Chart 2" xfId="174" xr:uid="{00000000-0005-0000-0000-000035010000}"/>
    <cellStyle name="___94____Clearsky_internal_070201.xls Chart 2 2" xfId="1768" xr:uid="{00000000-0005-0000-0000-000036010000}"/>
    <cellStyle name="___94____Clearsky_internal_070201_1" xfId="175" xr:uid="{00000000-0005-0000-0000-000037010000}"/>
    <cellStyle name="___94____Clearsky_internal_070201_1 2" xfId="1769" xr:uid="{00000000-0005-0000-0000-000038010000}"/>
    <cellStyle name="___94____Clearsky_internal_070201_Clearsky_Outside_070201.xls Chart 2" xfId="176" xr:uid="{00000000-0005-0000-0000-000039010000}"/>
    <cellStyle name="___94____Clearsky_internal_070201_Clearsky_Outside_070201.xls Chart 2 2" xfId="1770" xr:uid="{00000000-0005-0000-0000-00003A010000}"/>
    <cellStyle name="___94____Clearsky_Outside_070201.xls Chart 2" xfId="177" xr:uid="{00000000-0005-0000-0000-00003B010000}"/>
    <cellStyle name="___94____Clearsky_Outside_070201.xls Chart 2 2" xfId="1771" xr:uid="{00000000-0005-0000-0000-00003C010000}"/>
    <cellStyle name="___97___" xfId="178" xr:uid="{00000000-0005-0000-0000-00003D010000}"/>
    <cellStyle name="___970120" xfId="179" xr:uid="{00000000-0005-0000-0000-00003E010000}"/>
    <cellStyle name="___BEBU_GI" xfId="180" xr:uid="{00000000-0005-0000-0000-00003F010000}"/>
    <cellStyle name="___dimon" xfId="181" xr:uid="{00000000-0005-0000-0000-000040010000}"/>
    <cellStyle name="___dimon 2" xfId="1772" xr:uid="{00000000-0005-0000-0000-000041010000}"/>
    <cellStyle name="___dimon_ClearSky_AEP_Min_04.04.02_Bank" xfId="182" xr:uid="{00000000-0005-0000-0000-000042010000}"/>
    <cellStyle name="___dimon_ClearSky_AEP_Min_04.04.02_Bank 2" xfId="1773" xr:uid="{00000000-0005-0000-0000-000043010000}"/>
    <cellStyle name="___dimon_Clearsky_internal_050301" xfId="183" xr:uid="{00000000-0005-0000-0000-000044010000}"/>
    <cellStyle name="___dimon_Clearsky_internal_050301 2" xfId="1774" xr:uid="{00000000-0005-0000-0000-000045010000}"/>
    <cellStyle name="___dimon_Clearsky_internal_070201" xfId="184" xr:uid="{00000000-0005-0000-0000-000046010000}"/>
    <cellStyle name="___dimon_Clearsky_internal_070201 2" xfId="1775" xr:uid="{00000000-0005-0000-0000-000047010000}"/>
    <cellStyle name="___dimon_Clearsky_internal_070201.xls Chart 2" xfId="185" xr:uid="{00000000-0005-0000-0000-000048010000}"/>
    <cellStyle name="___dimon_Clearsky_internal_070201.xls Chart 2 2" xfId="1776" xr:uid="{00000000-0005-0000-0000-000049010000}"/>
    <cellStyle name="___dimon_Clearsky_internal_070201_1" xfId="186" xr:uid="{00000000-0005-0000-0000-00004A010000}"/>
    <cellStyle name="___dimon_Clearsky_internal_070201_1 2" xfId="1777" xr:uid="{00000000-0005-0000-0000-00004B010000}"/>
    <cellStyle name="___dimon_Clearsky_Outside_070201.xls Chart 2" xfId="187" xr:uid="{00000000-0005-0000-0000-00004C010000}"/>
    <cellStyle name="___dimon_Clearsky_Outside_070201.xls Chart 2 2" xfId="1778" xr:uid="{00000000-0005-0000-0000-00004D010000}"/>
    <cellStyle name="___form" xfId="188" xr:uid="{00000000-0005-0000-0000-00004E010000}"/>
    <cellStyle name="___form_ClearSky_AEP_Min_04.04.02_Bank" xfId="189" xr:uid="{00000000-0005-0000-0000-00004F010000}"/>
    <cellStyle name="___form_ClearSky_AEP_Min_04.04.02_Bank 2" xfId="1779" xr:uid="{00000000-0005-0000-0000-000050010000}"/>
    <cellStyle name="___form_ClearSky_AEP_Min_04.04.02_Bank_1" xfId="190" xr:uid="{00000000-0005-0000-0000-000051010000}"/>
    <cellStyle name="___form_ClearSky_AEP_Min_04.04.02_Bank_1 2" xfId="1780" xr:uid="{00000000-0005-0000-0000-000052010000}"/>
    <cellStyle name="___form_Clearsky_internal_050301" xfId="191" xr:uid="{00000000-0005-0000-0000-000053010000}"/>
    <cellStyle name="___form_Clearsky_internal_050301 2" xfId="1781" xr:uid="{00000000-0005-0000-0000-000054010000}"/>
    <cellStyle name="___form_Clearsky_internal_050301_1" xfId="192" xr:uid="{00000000-0005-0000-0000-000055010000}"/>
    <cellStyle name="___form_Clearsky_internal_050301_1 2" xfId="1782" xr:uid="{00000000-0005-0000-0000-000056010000}"/>
    <cellStyle name="___form_Clearsky_internal_070201" xfId="193" xr:uid="{00000000-0005-0000-0000-000057010000}"/>
    <cellStyle name="___form_Clearsky_internal_070201 2" xfId="1783" xr:uid="{00000000-0005-0000-0000-000058010000}"/>
    <cellStyle name="___form_Clearsky_internal_070201.xls Chart 2" xfId="194" xr:uid="{00000000-0005-0000-0000-000059010000}"/>
    <cellStyle name="___form_Clearsky_internal_070201.xls Chart 2 2" xfId="1784" xr:uid="{00000000-0005-0000-0000-00005A010000}"/>
    <cellStyle name="___form_Clearsky_internal_070201.xls Chart 2_1" xfId="195" xr:uid="{00000000-0005-0000-0000-00005B010000}"/>
    <cellStyle name="___form_Clearsky_internal_070201_1" xfId="196" xr:uid="{00000000-0005-0000-0000-00005C010000}"/>
    <cellStyle name="___form_Clearsky_internal_070201_2" xfId="197" xr:uid="{00000000-0005-0000-0000-00005D010000}"/>
    <cellStyle name="___form_Clearsky_internal_070201_2 2" xfId="1785" xr:uid="{00000000-0005-0000-0000-00005E010000}"/>
    <cellStyle name="___form_Clearsky_Outside_070201.xls Chart 2" xfId="198" xr:uid="{00000000-0005-0000-0000-00005F010000}"/>
    <cellStyle name="___form_Clearsky_Outside_070201.xls Chart 2 2" xfId="1786" xr:uid="{00000000-0005-0000-0000-000060010000}"/>
    <cellStyle name="___form_Clearsky_Outside_070201.xls Chart 2_1" xfId="199" xr:uid="{00000000-0005-0000-0000-000061010000}"/>
    <cellStyle name="___form_Clearsky_Outside_070201.xls Chart 2_1 2" xfId="1787" xr:uid="{00000000-0005-0000-0000-000062010000}"/>
    <cellStyle name="___ga_PB" xfId="200" xr:uid="{00000000-0005-0000-0000-000063010000}"/>
    <cellStyle name="___laroux" xfId="201" xr:uid="{00000000-0005-0000-0000-000064010000}"/>
    <cellStyle name="___laroux 2" xfId="1788" xr:uid="{00000000-0005-0000-0000-000065010000}"/>
    <cellStyle name="___laroux_1" xfId="202" xr:uid="{00000000-0005-0000-0000-000066010000}"/>
    <cellStyle name="___laroux_1_ClearSky_AEP_Min_04.04.02_Bank" xfId="203" xr:uid="{00000000-0005-0000-0000-000067010000}"/>
    <cellStyle name="___laroux_1_ClearSky_AEP_Min_04.04.02_Bank_1" xfId="204" xr:uid="{00000000-0005-0000-0000-000068010000}"/>
    <cellStyle name="___laroux_1_Clearsky_internal_050301" xfId="205" xr:uid="{00000000-0005-0000-0000-000069010000}"/>
    <cellStyle name="___laroux_1_Clearsky_internal_050301_1" xfId="206" xr:uid="{00000000-0005-0000-0000-00006A010000}"/>
    <cellStyle name="___laroux_1_Clearsky_internal_050301_2" xfId="207" xr:uid="{00000000-0005-0000-0000-00006B010000}"/>
    <cellStyle name="___laroux_1_Clearsky_internal_070201" xfId="208" xr:uid="{00000000-0005-0000-0000-00006C010000}"/>
    <cellStyle name="___laroux_1_Clearsky_internal_070201.xls Chart 2" xfId="209" xr:uid="{00000000-0005-0000-0000-00006D010000}"/>
    <cellStyle name="___laroux_1_Clearsky_internal_070201.xls Chart 2_1" xfId="210" xr:uid="{00000000-0005-0000-0000-00006E010000}"/>
    <cellStyle name="___laroux_1_Clearsky_internal_070201_1" xfId="211" xr:uid="{00000000-0005-0000-0000-00006F010000}"/>
    <cellStyle name="___laroux_1_Clearsky_internal_070201_2" xfId="212" xr:uid="{00000000-0005-0000-0000-000070010000}"/>
    <cellStyle name="___laroux_1_Clearsky_Outside_070201.xls Chart 2" xfId="213" xr:uid="{00000000-0005-0000-0000-000071010000}"/>
    <cellStyle name="___laroux_1_Clearsky_Outside_070201.xls Chart 2_1" xfId="214" xr:uid="{00000000-0005-0000-0000-000072010000}"/>
    <cellStyle name="___laroux_2" xfId="215" xr:uid="{00000000-0005-0000-0000-000073010000}"/>
    <cellStyle name="___laroux_2_ClearSky_AEP_Min_04.04.02_Bank" xfId="216" xr:uid="{00000000-0005-0000-0000-000074010000}"/>
    <cellStyle name="___laroux_2_ClearSky_AEP_Min_04.04.02_Bank 2" xfId="1789" xr:uid="{00000000-0005-0000-0000-000075010000}"/>
    <cellStyle name="___laroux_2_Clearsky_internal_050301" xfId="217" xr:uid="{00000000-0005-0000-0000-000076010000}"/>
    <cellStyle name="___laroux_2_Clearsky_internal_050301_1" xfId="218" xr:uid="{00000000-0005-0000-0000-000077010000}"/>
    <cellStyle name="___laroux_2_Clearsky_internal_050301_1 2" xfId="1790" xr:uid="{00000000-0005-0000-0000-000078010000}"/>
    <cellStyle name="___laroux_2_Clearsky_internal_070201" xfId="219" xr:uid="{00000000-0005-0000-0000-000079010000}"/>
    <cellStyle name="___laroux_2_Clearsky_internal_070201.xls Chart 2" xfId="220" xr:uid="{00000000-0005-0000-0000-00007A010000}"/>
    <cellStyle name="___laroux_2_Clearsky_internal_070201.xls Chart 2_1" xfId="221" xr:uid="{00000000-0005-0000-0000-00007B010000}"/>
    <cellStyle name="___laroux_2_Clearsky_internal_070201.xls Chart 2_1 2" xfId="1791" xr:uid="{00000000-0005-0000-0000-00007C010000}"/>
    <cellStyle name="___laroux_2_Clearsky_internal_070201_1" xfId="222" xr:uid="{00000000-0005-0000-0000-00007D010000}"/>
    <cellStyle name="___laroux_2_Clearsky_internal_070201_1 2" xfId="1792" xr:uid="{00000000-0005-0000-0000-00007E010000}"/>
    <cellStyle name="___laroux_2_Clearsky_Outside_070201.xls Chart 2" xfId="223" xr:uid="{00000000-0005-0000-0000-00007F010000}"/>
    <cellStyle name="___laroux_2_Clearsky_Outside_070201.xls Chart 2_1" xfId="224" xr:uid="{00000000-0005-0000-0000-000080010000}"/>
    <cellStyle name="___laroux_2_Clearsky_Outside_070201.xls Chart 2_1 2" xfId="1793" xr:uid="{00000000-0005-0000-0000-000081010000}"/>
    <cellStyle name="___laroux_3" xfId="225" xr:uid="{00000000-0005-0000-0000-000082010000}"/>
    <cellStyle name="___laroux_4" xfId="226" xr:uid="{00000000-0005-0000-0000-000083010000}"/>
    <cellStyle name="___laroux_5" xfId="227" xr:uid="{00000000-0005-0000-0000-000084010000}"/>
    <cellStyle name="___laroux_6" xfId="228" xr:uid="{00000000-0005-0000-0000-000085010000}"/>
    <cellStyle name="___laroux_7" xfId="229" xr:uid="{00000000-0005-0000-0000-000086010000}"/>
    <cellStyle name="___laroux_8" xfId="230" xr:uid="{00000000-0005-0000-0000-000087010000}"/>
    <cellStyle name="___laroux_8 2" xfId="1794" xr:uid="{00000000-0005-0000-0000-000088010000}"/>
    <cellStyle name="___laroux_ClearSky_AEP_Min_04.04.02_Bank" xfId="231" xr:uid="{00000000-0005-0000-0000-000089010000}"/>
    <cellStyle name="___laroux_ClearSky_AEP_Min_04.04.02_Bank_1" xfId="232" xr:uid="{00000000-0005-0000-0000-00008A010000}"/>
    <cellStyle name="___laroux_ClearSky_AEP_Min_04.04.02_Bank_1 2" xfId="1795" xr:uid="{00000000-0005-0000-0000-00008B010000}"/>
    <cellStyle name="___laroux_Clearsky_internal_050301" xfId="233" xr:uid="{00000000-0005-0000-0000-00008C010000}"/>
    <cellStyle name="___laroux_Clearsky_internal_050301 2" xfId="1571" xr:uid="{00000000-0005-0000-0000-00008D010000}"/>
    <cellStyle name="___laroux_Clearsky_internal_050301_1" xfId="234" xr:uid="{00000000-0005-0000-0000-00008E010000}"/>
    <cellStyle name="___laroux_Clearsky_internal_050301_1 2" xfId="1797" xr:uid="{00000000-0005-0000-0000-00008F010000}"/>
    <cellStyle name="___laroux_Clearsky_internal_070201" xfId="235" xr:uid="{00000000-0005-0000-0000-000090010000}"/>
    <cellStyle name="___laroux_Clearsky_internal_070201 2" xfId="1798" xr:uid="{00000000-0005-0000-0000-000091010000}"/>
    <cellStyle name="___laroux_Clearsky_internal_070201.xls Chart 2" xfId="236" xr:uid="{00000000-0005-0000-0000-000092010000}"/>
    <cellStyle name="___laroux_Clearsky_internal_070201.xls Chart 2 2" xfId="1799" xr:uid="{00000000-0005-0000-0000-000093010000}"/>
    <cellStyle name="___laroux_Clearsky_internal_070201.xls Chart 2_1" xfId="237" xr:uid="{00000000-0005-0000-0000-000094010000}"/>
    <cellStyle name="___laroux_Clearsky_internal_070201.xls Chart 2_1 2" xfId="1800" xr:uid="{00000000-0005-0000-0000-000095010000}"/>
    <cellStyle name="___laroux_Clearsky_internal_070201.xls Chart 2_2" xfId="238" xr:uid="{00000000-0005-0000-0000-000096010000}"/>
    <cellStyle name="___laroux_Clearsky_internal_070201_1" xfId="239" xr:uid="{00000000-0005-0000-0000-000097010000}"/>
    <cellStyle name="___laroux_Clearsky_internal_070201_2" xfId="240" xr:uid="{00000000-0005-0000-0000-000098010000}"/>
    <cellStyle name="___laroux_Clearsky_internal_070201_2 2" xfId="1801" xr:uid="{00000000-0005-0000-0000-000099010000}"/>
    <cellStyle name="___laroux_Clearsky_Outside_070201.xls Chart 2" xfId="241" xr:uid="{00000000-0005-0000-0000-00009A010000}"/>
    <cellStyle name="___laroux_Clearsky_Outside_070201.xls Chart 2 2" xfId="1802" xr:uid="{00000000-0005-0000-0000-00009B010000}"/>
    <cellStyle name="___laroux_Clearsky_Outside_070201.xls Chart 2_1" xfId="242" xr:uid="{00000000-0005-0000-0000-00009C010000}"/>
    <cellStyle name="___PERSONAL" xfId="243" xr:uid="{00000000-0005-0000-0000-00009D010000}"/>
    <cellStyle name="___PERSONAL 2" xfId="652" xr:uid="{00000000-0005-0000-0000-00009E010000}"/>
    <cellStyle name="___PERSONAL_1" xfId="244" xr:uid="{00000000-0005-0000-0000-00009F010000}"/>
    <cellStyle name="___PERSONAL_1_ClearSky_AEP_Min_04.04.02_Bank" xfId="245" xr:uid="{00000000-0005-0000-0000-0000A0010000}"/>
    <cellStyle name="___PERSONAL_1_ClearSky_AEP_Min_04.04.02_Bank 2" xfId="1804" xr:uid="{00000000-0005-0000-0000-0000A1010000}"/>
    <cellStyle name="___PERSONAL_1_ClearSky_AEP_Min_04.04.02_Bank_1" xfId="246" xr:uid="{00000000-0005-0000-0000-0000A2010000}"/>
    <cellStyle name="___PERSONAL_1_ClearSky_AEP_Min_04.04.02_Bank_1 2" xfId="1796" xr:uid="{00000000-0005-0000-0000-0000A3010000}"/>
    <cellStyle name="___PERSONAL_1_Clearsky_internal_050301" xfId="247" xr:uid="{00000000-0005-0000-0000-0000A4010000}"/>
    <cellStyle name="___PERSONAL_1_Clearsky_internal_050301 2" xfId="1908" xr:uid="{00000000-0005-0000-0000-0000A5010000}"/>
    <cellStyle name="___PERSONAL_1_Clearsky_internal_050301_1" xfId="248" xr:uid="{00000000-0005-0000-0000-0000A6010000}"/>
    <cellStyle name="___PERSONAL_1_Clearsky_internal_050301_1 2" xfId="1805" xr:uid="{00000000-0005-0000-0000-0000A7010000}"/>
    <cellStyle name="___PERSONAL_1_Clearsky_internal_070201" xfId="249" xr:uid="{00000000-0005-0000-0000-0000A8010000}"/>
    <cellStyle name="___PERSONAL_1_Clearsky_internal_070201 2" xfId="1806" xr:uid="{00000000-0005-0000-0000-0000A9010000}"/>
    <cellStyle name="___PERSONAL_1_Clearsky_internal_070201.xls Chart 2" xfId="250" xr:uid="{00000000-0005-0000-0000-0000AA010000}"/>
    <cellStyle name="___PERSONAL_1_Clearsky_internal_070201.xls Chart 2_1" xfId="251" xr:uid="{00000000-0005-0000-0000-0000AB010000}"/>
    <cellStyle name="___PERSONAL_1_Clearsky_internal_070201.xls Chart 2_1 2" xfId="1807" xr:uid="{00000000-0005-0000-0000-0000AC010000}"/>
    <cellStyle name="___PERSONAL_1_Clearsky_internal_070201_1" xfId="252" xr:uid="{00000000-0005-0000-0000-0000AD010000}"/>
    <cellStyle name="___PERSONAL_1_Clearsky_internal_070201_1 2" xfId="1808" xr:uid="{00000000-0005-0000-0000-0000AE010000}"/>
    <cellStyle name="___PERSONAL_1_Clearsky_internal_070201_1_Clearsky_Outside_070201.xls Chart 2" xfId="253" xr:uid="{00000000-0005-0000-0000-0000AF010000}"/>
    <cellStyle name="___PERSONAL_1_Clearsky_internal_070201_1_Clearsky_Outside_070201.xls Chart 2 2" xfId="1031" xr:uid="{00000000-0005-0000-0000-0000B0010000}"/>
    <cellStyle name="___PERSONAL_1_Clearsky_internal_070201_2" xfId="254" xr:uid="{00000000-0005-0000-0000-0000B1010000}"/>
    <cellStyle name="___PERSONAL_1_Clearsky_internal_070201_Clearsky_Outside_070201.xls Chart 2" xfId="255" xr:uid="{00000000-0005-0000-0000-0000B2010000}"/>
    <cellStyle name="___PERSONAL_1_Clearsky_Outside_070201.xls Chart 2" xfId="256" xr:uid="{00000000-0005-0000-0000-0000B3010000}"/>
    <cellStyle name="___PERSONAL_1_Clearsky_Outside_070201.xls Chart 2 2" xfId="1803" xr:uid="{00000000-0005-0000-0000-0000B4010000}"/>
    <cellStyle name="___PERSONAL_1_Clearsky_Outside_070201.xls Chart 2_1" xfId="257" xr:uid="{00000000-0005-0000-0000-0000B5010000}"/>
    <cellStyle name="___PERSONAL_2" xfId="258" xr:uid="{00000000-0005-0000-0000-0000B6010000}"/>
    <cellStyle name="___PERSONAL_2 2" xfId="1810" xr:uid="{00000000-0005-0000-0000-0000B7010000}"/>
    <cellStyle name="___PERSONAL_2_ClearSky_AEP_Min_04.04.02_Bank" xfId="259" xr:uid="{00000000-0005-0000-0000-0000B8010000}"/>
    <cellStyle name="___PERSONAL_2_ClearSky_AEP_Min_04.04.02_Bank 2" xfId="1812" xr:uid="{00000000-0005-0000-0000-0000B9010000}"/>
    <cellStyle name="___PERSONAL_2_ClearSky_AEP_Min_04.04.02_Bank_1" xfId="260" xr:uid="{00000000-0005-0000-0000-0000BA010000}"/>
    <cellStyle name="___PERSONAL_2_ClearSky_AEP_Min_04.04.02_Bank_1 2" xfId="1813" xr:uid="{00000000-0005-0000-0000-0000BB010000}"/>
    <cellStyle name="___PERSONAL_2_Clearsky_internal_050301" xfId="261" xr:uid="{00000000-0005-0000-0000-0000BC010000}"/>
    <cellStyle name="___PERSONAL_2_Clearsky_internal_050301 2" xfId="1814" xr:uid="{00000000-0005-0000-0000-0000BD010000}"/>
    <cellStyle name="___PERSONAL_2_Clearsky_internal_050301_1" xfId="262" xr:uid="{00000000-0005-0000-0000-0000BE010000}"/>
    <cellStyle name="___PERSONAL_2_Clearsky_internal_050301_1 2" xfId="1815" xr:uid="{00000000-0005-0000-0000-0000BF010000}"/>
    <cellStyle name="___PERSONAL_2_Clearsky_internal_070201" xfId="263" xr:uid="{00000000-0005-0000-0000-0000C0010000}"/>
    <cellStyle name="___PERSONAL_2_Clearsky_internal_070201 2" xfId="1816" xr:uid="{00000000-0005-0000-0000-0000C1010000}"/>
    <cellStyle name="___PERSONAL_2_Clearsky_internal_070201.xls Chart 2" xfId="264" xr:uid="{00000000-0005-0000-0000-0000C2010000}"/>
    <cellStyle name="___PERSONAL_2_Clearsky_internal_070201.xls Chart 2 2" xfId="1817" xr:uid="{00000000-0005-0000-0000-0000C3010000}"/>
    <cellStyle name="___PERSONAL_2_Clearsky_internal_070201.xls Chart 2_1" xfId="265" xr:uid="{00000000-0005-0000-0000-0000C4010000}"/>
    <cellStyle name="___PERSONAL_2_Clearsky_internal_070201.xls Chart 2_1 2" xfId="1818" xr:uid="{00000000-0005-0000-0000-0000C5010000}"/>
    <cellStyle name="___PERSONAL_2_Clearsky_internal_070201_1" xfId="266" xr:uid="{00000000-0005-0000-0000-0000C6010000}"/>
    <cellStyle name="___PERSONAL_2_Clearsky_internal_070201_1 2" xfId="1809" xr:uid="{00000000-0005-0000-0000-0000C7010000}"/>
    <cellStyle name="___PERSONAL_2_Clearsky_internal_070201_1_Clearsky_internal_070201" xfId="267" xr:uid="{00000000-0005-0000-0000-0000C8010000}"/>
    <cellStyle name="___PERSONAL_2_Clearsky_internal_070201_1_Clearsky_internal_070201 2" xfId="1905" xr:uid="{00000000-0005-0000-0000-0000C9010000}"/>
    <cellStyle name="___PERSONAL_2_Clearsky_internal_070201_1_Clearsky_Outside_070201.xls Chart 2" xfId="268" xr:uid="{00000000-0005-0000-0000-0000CA010000}"/>
    <cellStyle name="___PERSONAL_2_Clearsky_internal_070201_1_Clearsky_Outside_070201.xls Chart 2 2" xfId="1819" xr:uid="{00000000-0005-0000-0000-0000CB010000}"/>
    <cellStyle name="___PERSONAL_2_Clearsky_internal_070201_2" xfId="269" xr:uid="{00000000-0005-0000-0000-0000CC010000}"/>
    <cellStyle name="___PERSONAL_2_Clearsky_internal_070201_2 2" xfId="1821" xr:uid="{00000000-0005-0000-0000-0000CD010000}"/>
    <cellStyle name="___PERSONAL_2_Clearsky_internal_070201_Clearsky_Outside_070201.xls Chart 2" xfId="270" xr:uid="{00000000-0005-0000-0000-0000CE010000}"/>
    <cellStyle name="___PERSONAL_2_Clearsky_internal_070201_Clearsky_Outside_070201.xls Chart 2 2" xfId="1822" xr:uid="{00000000-0005-0000-0000-0000CF010000}"/>
    <cellStyle name="___PERSONAL_2_Clearsky_Outside_070201.xls Chart 2" xfId="271" xr:uid="{00000000-0005-0000-0000-0000D0010000}"/>
    <cellStyle name="___PERSONAL_2_Clearsky_Outside_070201.xls Chart 2 2" xfId="1823" xr:uid="{00000000-0005-0000-0000-0000D1010000}"/>
    <cellStyle name="___PERSONAL_2_Clearsky_Outside_070201.xls Chart 2_1" xfId="272" xr:uid="{00000000-0005-0000-0000-0000D2010000}"/>
    <cellStyle name="___PERSONAL_2_Clearsky_Outside_070201.xls Chart 2_1 2" xfId="1824" xr:uid="{00000000-0005-0000-0000-0000D3010000}"/>
    <cellStyle name="___PERSONAL_2_Clearsky_Outside_070201.xls Chart 2_2" xfId="273" xr:uid="{00000000-0005-0000-0000-0000D4010000}"/>
    <cellStyle name="___PERSONAL_2_Clearsky_Outside_070201.xls Chart 2_2 2" xfId="1825" xr:uid="{00000000-0005-0000-0000-0000D5010000}"/>
    <cellStyle name="___PERSONAL_3" xfId="274" xr:uid="{00000000-0005-0000-0000-0000D6010000}"/>
    <cellStyle name="___PERSONAL_3_ClearSky_AEP_Min_04.04.02_Bank" xfId="275" xr:uid="{00000000-0005-0000-0000-0000D7010000}"/>
    <cellStyle name="___PERSONAL_3_ClearSky_AEP_Min_04.04.02_Bank 2" xfId="1826" xr:uid="{00000000-0005-0000-0000-0000D8010000}"/>
    <cellStyle name="___PERSONAL_3_Clearsky_internal_050301" xfId="276" xr:uid="{00000000-0005-0000-0000-0000D9010000}"/>
    <cellStyle name="___PERSONAL_3_Clearsky_internal_070201" xfId="277" xr:uid="{00000000-0005-0000-0000-0000DA010000}"/>
    <cellStyle name="___PERSONAL_3_Clearsky_internal_070201.xls Chart 2" xfId="278" xr:uid="{00000000-0005-0000-0000-0000DB010000}"/>
    <cellStyle name="___PERSONAL_3_Clearsky_internal_070201.xls Chart 2 2" xfId="1828" xr:uid="{00000000-0005-0000-0000-0000DC010000}"/>
    <cellStyle name="___PERSONAL_3_Clearsky_internal_070201_1" xfId="279" xr:uid="{00000000-0005-0000-0000-0000DD010000}"/>
    <cellStyle name="___PERSONAL_3_Clearsky_internal_070201_1 2" xfId="1829" xr:uid="{00000000-0005-0000-0000-0000DE010000}"/>
    <cellStyle name="___PERSONAL_3_Clearsky_internal_070201_Clearsky_Outside_070201.xls Chart 2" xfId="280" xr:uid="{00000000-0005-0000-0000-0000DF010000}"/>
    <cellStyle name="___PERSONAL_3_Clearsky_internal_070201_Clearsky_Outside_070201.xls Chart 2 2" xfId="1830" xr:uid="{00000000-0005-0000-0000-0000E0010000}"/>
    <cellStyle name="___PERSONAL_3_Clearsky_Outside_070201.xls Chart 2" xfId="281" xr:uid="{00000000-0005-0000-0000-0000E1010000}"/>
    <cellStyle name="___PERSONAL_4" xfId="282" xr:uid="{00000000-0005-0000-0000-0000E2010000}"/>
    <cellStyle name="___PERSONAL_ClearSky_AEP_Min_04.04.02_Bank" xfId="283" xr:uid="{00000000-0005-0000-0000-0000E3010000}"/>
    <cellStyle name="___PERSONAL_ClearSky_AEP_Min_04.04.02_Bank_1" xfId="284" xr:uid="{00000000-0005-0000-0000-0000E4010000}"/>
    <cellStyle name="___PERSONAL_ClearSky_AEP_Min_04.04.02_Bank_1 2" xfId="1832" xr:uid="{00000000-0005-0000-0000-0000E5010000}"/>
    <cellStyle name="___PERSONAL_Clearsky_internal_050301" xfId="285" xr:uid="{00000000-0005-0000-0000-0000E6010000}"/>
    <cellStyle name="___PERSONAL_Clearsky_internal_050301_1" xfId="286" xr:uid="{00000000-0005-0000-0000-0000E7010000}"/>
    <cellStyle name="___PERSONAL_Clearsky_internal_050301_1 2" xfId="1909" xr:uid="{00000000-0005-0000-0000-0000E8010000}"/>
    <cellStyle name="___PERSONAL_Clearsky_internal_070201" xfId="287" xr:uid="{00000000-0005-0000-0000-0000E9010000}"/>
    <cellStyle name="___PERSONAL_Clearsky_internal_070201.xls Chart 2" xfId="288" xr:uid="{00000000-0005-0000-0000-0000EA010000}"/>
    <cellStyle name="___PERSONAL_Clearsky_internal_070201.xls Chart 2_1" xfId="289" xr:uid="{00000000-0005-0000-0000-0000EB010000}"/>
    <cellStyle name="___PERSONAL_Clearsky_internal_070201.xls Chart 2_1 2" xfId="1833" xr:uid="{00000000-0005-0000-0000-0000EC010000}"/>
    <cellStyle name="___PERSONAL_Clearsky_internal_070201_1" xfId="290" xr:uid="{00000000-0005-0000-0000-0000ED010000}"/>
    <cellStyle name="___PERSONAL_Clearsky_internal_070201_1 2" xfId="1834" xr:uid="{00000000-0005-0000-0000-0000EE010000}"/>
    <cellStyle name="___PERSONAL_Clearsky_internal_070201_1_Clearsky_internal_070201" xfId="291" xr:uid="{00000000-0005-0000-0000-0000EF010000}"/>
    <cellStyle name="___PERSONAL_Clearsky_internal_070201_1_Clearsky_Outside_070201.xls Chart 2" xfId="292" xr:uid="{00000000-0005-0000-0000-0000F0010000}"/>
    <cellStyle name="___PERSONAL_Clearsky_internal_070201_2" xfId="293" xr:uid="{00000000-0005-0000-0000-0000F1010000}"/>
    <cellStyle name="___PERSONAL_Clearsky_internal_070201_2 2" xfId="1836" xr:uid="{00000000-0005-0000-0000-0000F2010000}"/>
    <cellStyle name="___PERSONAL_Clearsky_internal_070201_Clearsky_Outside_070201.xls Chart 2" xfId="294" xr:uid="{00000000-0005-0000-0000-0000F3010000}"/>
    <cellStyle name="___PERSONAL_Clearsky_internal_070201_Clearsky_Outside_070201.xls Chart 2 2" xfId="1831" xr:uid="{00000000-0005-0000-0000-0000F4010000}"/>
    <cellStyle name="___PERSONAL_Clearsky_Outside_070201.xls Chart 2" xfId="295" xr:uid="{00000000-0005-0000-0000-0000F5010000}"/>
    <cellStyle name="___PERSONAL_Clearsky_Outside_070201.xls Chart 2_1" xfId="296" xr:uid="{00000000-0005-0000-0000-0000F6010000}"/>
    <cellStyle name="___PERSONAL_Clearsky_Outside_070201.xls Chart 2_1 2" xfId="1838" xr:uid="{00000000-0005-0000-0000-0000F7010000}"/>
    <cellStyle name="___Query11" xfId="297" xr:uid="{00000000-0005-0000-0000-0000F8010000}"/>
    <cellStyle name="___Query11 2" xfId="1839" xr:uid="{00000000-0005-0000-0000-0000F9010000}"/>
    <cellStyle name="___Sheet1" xfId="298" xr:uid="{00000000-0005-0000-0000-0000FA010000}"/>
    <cellStyle name="___Sheet1 (2)" xfId="299" xr:uid="{00000000-0005-0000-0000-0000FB010000}"/>
    <cellStyle name="___Sheet2" xfId="300" xr:uid="{00000000-0005-0000-0000-0000FC010000}"/>
    <cellStyle name="___Sheet2_ClearSky_AEP_Min_04.04.02_Bank" xfId="301" xr:uid="{00000000-0005-0000-0000-0000FD010000}"/>
    <cellStyle name="___Sheet2_ClearSky_AEP_Min_04.04.02_Bank 2" xfId="1840" xr:uid="{00000000-0005-0000-0000-0000FE010000}"/>
    <cellStyle name="___Sheet2_Clearsky_internal_050301" xfId="302" xr:uid="{00000000-0005-0000-0000-0000FF010000}"/>
    <cellStyle name="___Sheet2_Clearsky_internal_070201" xfId="303" xr:uid="{00000000-0005-0000-0000-000000020000}"/>
    <cellStyle name="___Sheet2_Clearsky_internal_070201 2" xfId="1835" xr:uid="{00000000-0005-0000-0000-000001020000}"/>
    <cellStyle name="___Sheet2_Clearsky_internal_070201.xls Chart 2" xfId="304" xr:uid="{00000000-0005-0000-0000-000002020000}"/>
    <cellStyle name="___Sheet2_Clearsky_internal_070201.xls Chart 2 2" xfId="1906" xr:uid="{00000000-0005-0000-0000-000003020000}"/>
    <cellStyle name="___Sheet2_Clearsky_internal_070201_1" xfId="305" xr:uid="{00000000-0005-0000-0000-000004020000}"/>
    <cellStyle name="___Sheet2_Clearsky_internal_070201_Clearsky_Outside_070201.xls Chart 2" xfId="306" xr:uid="{00000000-0005-0000-0000-000005020000}"/>
    <cellStyle name="___Sheet2_Clearsky_Outside_070201.xls Chart 2" xfId="307" xr:uid="{00000000-0005-0000-0000-000006020000}"/>
    <cellStyle name="_020122 TIM MITCHELL" xfId="308" xr:uid="{00000000-0005-0000-0000-000007020000}"/>
    <cellStyle name="_020122 TIM MITCHELL 2" xfId="1842" xr:uid="{00000000-0005-0000-0000-000008020000}"/>
    <cellStyle name="_020205 AEP Mitchell v2.3" xfId="309" xr:uid="{00000000-0005-0000-0000-000009020000}"/>
    <cellStyle name="_20030202 Mulberry_Financial Model v2" xfId="310" xr:uid="{00000000-0005-0000-0000-00000A020000}"/>
    <cellStyle name="_20030203 Mulberry_Financial Model v1" xfId="311" xr:uid="{00000000-0005-0000-0000-00000B020000}"/>
    <cellStyle name="_20030204 Mulberry_Financial Model v3" xfId="312" xr:uid="{00000000-0005-0000-0000-00000C020000}"/>
    <cellStyle name="_20030710 Mulberry_CSFB" xfId="313" xr:uid="{00000000-0005-0000-0000-00000D020000}"/>
    <cellStyle name="_20051108 Plaquemine Comps" xfId="314" xr:uid="{00000000-0005-0000-0000-00000E020000}"/>
    <cellStyle name="_20051108 Plaquemine Comps 2" xfId="1844" xr:uid="{00000000-0005-0000-0000-00000F020000}"/>
    <cellStyle name="_Annual Fin" xfId="315" xr:uid="{00000000-0005-0000-0000-000010020000}"/>
    <cellStyle name="_Annual Fin 2" xfId="1845" xr:uid="{00000000-0005-0000-0000-000011020000}"/>
    <cellStyle name="_APS Financial Model v1.0" xfId="316" xr:uid="{00000000-0005-0000-0000-000012020000}"/>
    <cellStyle name="_Colorado Wind - Case A v1.11 levelized debt - interest in 2003 Final for Board Package" xfId="317" xr:uid="{00000000-0005-0000-0000-000013020000}"/>
    <cellStyle name="_Colorado Wind - Case A v1.11 levelized debt - interest in 2003 Final for Board Package 2" xfId="1846" xr:uid="{00000000-0005-0000-0000-000014020000}"/>
    <cellStyle name="_Colorado Wind v3.11" xfId="318" xr:uid="{00000000-0005-0000-0000-000015020000}"/>
    <cellStyle name="_Colorado Wind v3.11 2" xfId="1847" xr:uid="{00000000-0005-0000-0000-000016020000}"/>
    <cellStyle name="_Comma" xfId="319" xr:uid="{00000000-0005-0000-0000-000017020000}"/>
    <cellStyle name="_Comma 2" xfId="663" xr:uid="{00000000-0005-0000-0000-000018020000}"/>
    <cellStyle name="_Comma 3" xfId="664" xr:uid="{00000000-0005-0000-0000-000019020000}"/>
    <cellStyle name="_Comma 4" xfId="665" xr:uid="{00000000-0005-0000-0000-00001A020000}"/>
    <cellStyle name="_Comma 5" xfId="662" xr:uid="{00000000-0005-0000-0000-00001B020000}"/>
    <cellStyle name="_Compare All-NEW" xfId="666" xr:uid="{00000000-0005-0000-0000-00001C020000}"/>
    <cellStyle name="_Currency" xfId="320" xr:uid="{00000000-0005-0000-0000-00001D020000}"/>
    <cellStyle name="_Currency 2" xfId="668" xr:uid="{00000000-0005-0000-0000-00001E020000}"/>
    <cellStyle name="_Currency 3" xfId="669" xr:uid="{00000000-0005-0000-0000-00001F020000}"/>
    <cellStyle name="_Currency 4" xfId="670" xr:uid="{00000000-0005-0000-0000-000020020000}"/>
    <cellStyle name="_Currency 5" xfId="667" xr:uid="{00000000-0005-0000-0000-000021020000}"/>
    <cellStyle name="_Currency_Novartis-Roche 0805 v2" xfId="671" xr:uid="{00000000-0005-0000-0000-000022020000}"/>
    <cellStyle name="_Currency_Novartis-Roche 0805 v2 2" xfId="672" xr:uid="{00000000-0005-0000-0000-000023020000}"/>
    <cellStyle name="_Currency_Novartis-Roche 0805 v2 3" xfId="673" xr:uid="{00000000-0005-0000-0000-000024020000}"/>
    <cellStyle name="_Currency_Novartis-Roche 0805 v2 4" xfId="674" xr:uid="{00000000-0005-0000-0000-000025020000}"/>
    <cellStyle name="_Currency_wacc bb final" xfId="675" xr:uid="{00000000-0005-0000-0000-000026020000}"/>
    <cellStyle name="_Currency_wacc bb final 2" xfId="676" xr:uid="{00000000-0005-0000-0000-000027020000}"/>
    <cellStyle name="_Currency_wacc bb final 3" xfId="677" xr:uid="{00000000-0005-0000-0000-000028020000}"/>
    <cellStyle name="_Currency_wacc bb final 4" xfId="678" xr:uid="{00000000-0005-0000-0000-000029020000}"/>
    <cellStyle name="_CurrencySpace" xfId="321" xr:uid="{00000000-0005-0000-0000-00002A020000}"/>
    <cellStyle name="_CurrencySpace 2" xfId="680" xr:uid="{00000000-0005-0000-0000-00002B020000}"/>
    <cellStyle name="_CurrencySpace 3" xfId="681" xr:uid="{00000000-0005-0000-0000-00002C020000}"/>
    <cellStyle name="_CurrencySpace 4" xfId="682" xr:uid="{00000000-0005-0000-0000-00002D020000}"/>
    <cellStyle name="_CurrencySpace 5" xfId="679" xr:uid="{00000000-0005-0000-0000-00002E020000}"/>
    <cellStyle name="_Debt Template" xfId="322" xr:uid="{00000000-0005-0000-0000-00002F020000}"/>
    <cellStyle name="_DEPR" xfId="323" xr:uid="{00000000-0005-0000-0000-000030020000}"/>
    <cellStyle name="_DEPR 2" xfId="1848" xr:uid="{00000000-0005-0000-0000-000031020000}"/>
    <cellStyle name="_Eastex 21" xfId="324" xr:uid="{00000000-0005-0000-0000-000032020000}"/>
    <cellStyle name="_Eastex 21 2" xfId="1849" xr:uid="{00000000-0005-0000-0000-000033020000}"/>
    <cellStyle name="_enXco NSP IV (mdf) v3.7" xfId="325" xr:uid="{00000000-0005-0000-0000-000034020000}"/>
    <cellStyle name="_Fitch VECTOR" xfId="683" xr:uid="{00000000-0005-0000-0000-000035020000}"/>
    <cellStyle name="_Fitch_VECTOR_Model" xfId="684" xr:uid="{00000000-0005-0000-0000-000036020000}"/>
    <cellStyle name="_Fitch_VECTOR_Model_Portfolio Definition" xfId="685" xr:uid="{00000000-0005-0000-0000-000037020000}"/>
    <cellStyle name="_GS Model2_11" xfId="326" xr:uid="{00000000-0005-0000-0000-000038020000}"/>
    <cellStyle name="_GS Model2_11 2" xfId="1850" xr:uid="{00000000-0005-0000-0000-000039020000}"/>
    <cellStyle name="_Holidays" xfId="327" xr:uid="{00000000-0005-0000-0000-00003A020000}"/>
    <cellStyle name="_Holidays 2" xfId="1851" xr:uid="{00000000-0005-0000-0000-00003B020000}"/>
    <cellStyle name="_Holidays_Formula Legend" xfId="328" xr:uid="{00000000-0005-0000-0000-00003C020000}"/>
    <cellStyle name="_Holidays_Formula Legend 2" xfId="1852" xr:uid="{00000000-0005-0000-0000-00003D020000}"/>
    <cellStyle name="_Inman  - Static ABS Deal" xfId="686" xr:uid="{00000000-0005-0000-0000-00003E020000}"/>
    <cellStyle name="_Inputs" xfId="329" xr:uid="{00000000-0005-0000-0000-00003F020000}"/>
    <cellStyle name="_Inputs 2" xfId="1853" xr:uid="{00000000-0005-0000-0000-000040020000}"/>
    <cellStyle name="_Monthly Fin" xfId="330" xr:uid="{00000000-0005-0000-0000-000041020000}"/>
    <cellStyle name="_Monthly Fin 2" xfId="1854" xr:uid="{00000000-0005-0000-0000-000042020000}"/>
    <cellStyle name="_Multiple" xfId="331" xr:uid="{00000000-0005-0000-0000-000043020000}"/>
    <cellStyle name="_Multiple 2" xfId="688" xr:uid="{00000000-0005-0000-0000-000044020000}"/>
    <cellStyle name="_Multiple 3" xfId="689" xr:uid="{00000000-0005-0000-0000-000045020000}"/>
    <cellStyle name="_Multiple 4" xfId="690" xr:uid="{00000000-0005-0000-0000-000046020000}"/>
    <cellStyle name="_Multiple 5" xfId="687" xr:uid="{00000000-0005-0000-0000-000047020000}"/>
    <cellStyle name="_Multiple_GS Model2_11" xfId="332" xr:uid="{00000000-0005-0000-0000-000048020000}"/>
    <cellStyle name="_Multiple_GS Model2_11 2" xfId="1855" xr:uid="{00000000-0005-0000-0000-000049020000}"/>
    <cellStyle name="_Multiple_Novartis-Roche 0805 v2" xfId="691" xr:uid="{00000000-0005-0000-0000-00004A020000}"/>
    <cellStyle name="_Multiple_Novartis-Roche 0805 v2 2" xfId="692" xr:uid="{00000000-0005-0000-0000-00004B020000}"/>
    <cellStyle name="_Multiple_Novartis-Roche 0805 v2 3" xfId="693" xr:uid="{00000000-0005-0000-0000-00004C020000}"/>
    <cellStyle name="_Multiple_Novartis-Roche 0805 v2 4" xfId="694" xr:uid="{00000000-0005-0000-0000-00004D020000}"/>
    <cellStyle name="_Multiple_wacc bb final" xfId="695" xr:uid="{00000000-0005-0000-0000-00004E020000}"/>
    <cellStyle name="_Multiple_wacc bb final 2" xfId="696" xr:uid="{00000000-0005-0000-0000-00004F020000}"/>
    <cellStyle name="_Multiple_wacc bb final 3" xfId="697" xr:uid="{00000000-0005-0000-0000-000050020000}"/>
    <cellStyle name="_Multiple_wacc bb final 4" xfId="698" xr:uid="{00000000-0005-0000-0000-000051020000}"/>
    <cellStyle name="_MultipleSpace" xfId="333" xr:uid="{00000000-0005-0000-0000-000052020000}"/>
    <cellStyle name="_MultipleSpace 2" xfId="700" xr:uid="{00000000-0005-0000-0000-000053020000}"/>
    <cellStyle name="_MultipleSpace 3" xfId="701" xr:uid="{00000000-0005-0000-0000-000054020000}"/>
    <cellStyle name="_MultipleSpace 4" xfId="702" xr:uid="{00000000-0005-0000-0000-000055020000}"/>
    <cellStyle name="_MultipleSpace 5" xfId="699" xr:uid="{00000000-0005-0000-0000-000056020000}"/>
    <cellStyle name="_MultipleSpace_GS Model2_11" xfId="334" xr:uid="{00000000-0005-0000-0000-000057020000}"/>
    <cellStyle name="_MultipleSpace_GS Model2_11 2" xfId="1856" xr:uid="{00000000-0005-0000-0000-000058020000}"/>
    <cellStyle name="_MultipleSpace_Novartis-Roche 0805 v2" xfId="703" xr:uid="{00000000-0005-0000-0000-000059020000}"/>
    <cellStyle name="_MultipleSpace_Novartis-Roche 0805 v2 2" xfId="704" xr:uid="{00000000-0005-0000-0000-00005A020000}"/>
    <cellStyle name="_MultipleSpace_Novartis-Roche 0805 v2 3" xfId="705" xr:uid="{00000000-0005-0000-0000-00005B020000}"/>
    <cellStyle name="_MultipleSpace_Novartis-Roche 0805 v2 4" xfId="706" xr:uid="{00000000-0005-0000-0000-00005C020000}"/>
    <cellStyle name="_MultipleSpace_wacc bb final" xfId="707" xr:uid="{00000000-0005-0000-0000-00005D020000}"/>
    <cellStyle name="_MultipleSpace_wacc bb final 2" xfId="708" xr:uid="{00000000-0005-0000-0000-00005E020000}"/>
    <cellStyle name="_MultipleSpace_wacc bb final 3" xfId="709" xr:uid="{00000000-0005-0000-0000-00005F020000}"/>
    <cellStyle name="_MultipleSpace_wacc bb final 4" xfId="710" xr:uid="{00000000-0005-0000-0000-000060020000}"/>
    <cellStyle name="_Orange-Mulberry Res. 061201a" xfId="335" xr:uid="{00000000-0005-0000-0000-000061020000}"/>
    <cellStyle name="_Orange-Mulberry Res. 061201a 2" xfId="1857" xr:uid="{00000000-0005-0000-0000-000062020000}"/>
    <cellStyle name="_OR-xx  3rd Party Transmission Revenue 3-25-08" xfId="336" xr:uid="{00000000-0005-0000-0000-000063020000}"/>
    <cellStyle name="_Percent" xfId="337" xr:uid="{00000000-0005-0000-0000-000064020000}"/>
    <cellStyle name="_Percent 2" xfId="712" xr:uid="{00000000-0005-0000-0000-000065020000}"/>
    <cellStyle name="_Percent 3" xfId="713" xr:uid="{00000000-0005-0000-0000-000066020000}"/>
    <cellStyle name="_Percent 4" xfId="714" xr:uid="{00000000-0005-0000-0000-000067020000}"/>
    <cellStyle name="_Percent 5" xfId="711" xr:uid="{00000000-0005-0000-0000-000068020000}"/>
    <cellStyle name="_Percent_GS Model2_11" xfId="338" xr:uid="{00000000-0005-0000-0000-000069020000}"/>
    <cellStyle name="_Percent_GS Model2_11 2" xfId="1858" xr:uid="{00000000-0005-0000-0000-00006A020000}"/>
    <cellStyle name="_PercentSpace" xfId="339" xr:uid="{00000000-0005-0000-0000-00006B020000}"/>
    <cellStyle name="_PercentSpace 2" xfId="716" xr:uid="{00000000-0005-0000-0000-00006C020000}"/>
    <cellStyle name="_PercentSpace 3" xfId="717" xr:uid="{00000000-0005-0000-0000-00006D020000}"/>
    <cellStyle name="_PercentSpace 4" xfId="718" xr:uid="{00000000-0005-0000-0000-00006E020000}"/>
    <cellStyle name="_PercentSpace 5" xfId="715" xr:uid="{00000000-0005-0000-0000-00006F020000}"/>
    <cellStyle name="_PercentSpace_GS Model2_11" xfId="340" xr:uid="{00000000-0005-0000-0000-000070020000}"/>
    <cellStyle name="_PercentSpace_GS Model2_11 2" xfId="1860" xr:uid="{00000000-0005-0000-0000-000071020000}"/>
    <cellStyle name="_PercentSpace_Novartis-Roche 0805 v2" xfId="719" xr:uid="{00000000-0005-0000-0000-000072020000}"/>
    <cellStyle name="_PercentSpace_Novartis-Roche 0805 v2 2" xfId="720" xr:uid="{00000000-0005-0000-0000-000073020000}"/>
    <cellStyle name="_PercentSpace_Novartis-Roche 0805 v2 3" xfId="721" xr:uid="{00000000-0005-0000-0000-000074020000}"/>
    <cellStyle name="_PercentSpace_Novartis-Roche 0805 v2 4" xfId="722" xr:uid="{00000000-0005-0000-0000-000075020000}"/>
    <cellStyle name="_PercentSpace_wacc bb final" xfId="723" xr:uid="{00000000-0005-0000-0000-000076020000}"/>
    <cellStyle name="_PercentSpace_wacc bb final 2" xfId="724" xr:uid="{00000000-0005-0000-0000-000077020000}"/>
    <cellStyle name="_PercentSpace_wacc bb final 3" xfId="725" xr:uid="{00000000-0005-0000-0000-000078020000}"/>
    <cellStyle name="_PercentSpace_wacc bb final 4" xfId="726" xr:uid="{00000000-0005-0000-0000-000079020000}"/>
    <cellStyle name="_Portfolio Definition" xfId="727" xr:uid="{00000000-0005-0000-0000-00007A020000}"/>
    <cellStyle name="_prestemp" xfId="341" xr:uid="{00000000-0005-0000-0000-00007B020000}"/>
    <cellStyle name="_prestemp 2" xfId="1861" xr:uid="{00000000-0005-0000-0000-00007C020000}"/>
    <cellStyle name="_Price Curves" xfId="342" xr:uid="{00000000-0005-0000-0000-00007D020000}"/>
    <cellStyle name="_Price Curves 2" xfId="1862" xr:uid="{00000000-0005-0000-0000-00007E020000}"/>
    <cellStyle name="_PSEG asset valuation 1.1" xfId="343" xr:uid="{00000000-0005-0000-0000-00007F020000}"/>
    <cellStyle name="_PSEG asset valuation 1.1 2" xfId="1863" xr:uid="{00000000-0005-0000-0000-000080020000}"/>
    <cellStyle name="_PSEG Swap v3.1" xfId="344" xr:uid="{00000000-0005-0000-0000-000081020000}"/>
    <cellStyle name="_PSEG Swap v3.5 PSEG Assets" xfId="345" xr:uid="{00000000-0005-0000-0000-000082020000}"/>
    <cellStyle name="_Quarterly Fin" xfId="346" xr:uid="{00000000-0005-0000-0000-000083020000}"/>
    <cellStyle name="_Quarterly Fin 2" xfId="1864" xr:uid="{00000000-0005-0000-0000-000084020000}"/>
    <cellStyle name="_SA Financial Model v1.0" xfId="347" xr:uid="{00000000-0005-0000-0000-000085020000}"/>
    <cellStyle name="_Sheet5" xfId="348" xr:uid="{00000000-0005-0000-0000-000086020000}"/>
    <cellStyle name="_Synthetic ABS NOV 4" xfId="728" xr:uid="{00000000-0005-0000-0000-000087020000}"/>
    <cellStyle name="_TableHead" xfId="729" xr:uid="{00000000-0005-0000-0000-000088020000}"/>
    <cellStyle name="_Thermo 2003 - tcp dscr 6_05a" xfId="349" xr:uid="{00000000-0005-0000-0000-000089020000}"/>
    <cellStyle name="_Thermo 2003 - tcp dscr 6_05a 2" xfId="1866" xr:uid="{00000000-0005-0000-0000-00008A020000}"/>
    <cellStyle name="_TRENT6_09_BANK" xfId="350" xr:uid="{00000000-0005-0000-0000-00008B020000}"/>
    <cellStyle name="_TRENT6_09_BANK 2" xfId="1867" xr:uid="{00000000-0005-0000-0000-00008C020000}"/>
    <cellStyle name="_Worksheet Template with Print Macro1" xfId="351" xr:uid="{00000000-0005-0000-0000-00008D020000}"/>
    <cellStyle name="_Worksheet Template with Print Macro1 2" xfId="1868" xr:uid="{00000000-0005-0000-0000-00008E020000}"/>
    <cellStyle name="~Capacity (0)" xfId="352" xr:uid="{00000000-0005-0000-0000-00008F020000}"/>
    <cellStyle name="~Capacity (1)" xfId="353" xr:uid="{00000000-0005-0000-0000-000090020000}"/>
    <cellStyle name="~Escalation" xfId="354" xr:uid="{00000000-0005-0000-0000-000091020000}"/>
    <cellStyle name="~Gas (0)" xfId="355" xr:uid="{00000000-0005-0000-0000-000092020000}"/>
    <cellStyle name="~Gas Price" xfId="356" xr:uid="{00000000-0005-0000-0000-000093020000}"/>
    <cellStyle name="~Power (0)" xfId="357" xr:uid="{00000000-0005-0000-0000-000094020000}"/>
    <cellStyle name="~Power Price" xfId="358" xr:uid="{00000000-0005-0000-0000-000095020000}"/>
    <cellStyle name="’Ê‰Ý_GE 3 MINIMUM" xfId="730" xr:uid="{00000000-0005-0000-0000-000096020000}"/>
    <cellStyle name="_x0010_“+ˆÉ•?pý¤" xfId="731" xr:uid="{00000000-0005-0000-0000-000097020000}"/>
    <cellStyle name="_x0010_“+ˆÉ•?pý¤ 2" xfId="732" xr:uid="{00000000-0005-0000-0000-000098020000}"/>
    <cellStyle name="_x0010_“+ˆÉ•?pý¤ 3" xfId="733" xr:uid="{00000000-0005-0000-0000-000099020000}"/>
    <cellStyle name="_x0010_“+ˆÉ•?pý¤ 4" xfId="734" xr:uid="{00000000-0005-0000-0000-00009A020000}"/>
    <cellStyle name="_x0010_“+ˆÉ•?pý¤ 5" xfId="735" xr:uid="{00000000-0005-0000-0000-00009B020000}"/>
    <cellStyle name="£ BP" xfId="736" xr:uid="{00000000-0005-0000-0000-00009C020000}"/>
    <cellStyle name="£ BP 2" xfId="737" xr:uid="{00000000-0005-0000-0000-00009D020000}"/>
    <cellStyle name="¥ JY" xfId="738" xr:uid="{00000000-0005-0000-0000-00009E020000}"/>
    <cellStyle name="¥ JY 2" xfId="739" xr:uid="{00000000-0005-0000-0000-00009F020000}"/>
    <cellStyle name="=C:\WINNT35\SYSTEM32\COMMAND.COM" xfId="359" xr:uid="{00000000-0005-0000-0000-0000A0020000}"/>
    <cellStyle name="=C:\WINNT35\SYSTEM32\COMMAND.COM 2" xfId="740" xr:uid="{00000000-0005-0000-0000-0000A1020000}"/>
    <cellStyle name="=C:\WINNT35\SYSTEM32\COMMAND.COM 3" xfId="1870" xr:uid="{00000000-0005-0000-0000-0000A2020000}"/>
    <cellStyle name="=C:\WINNT40\SYSTEM32\COMMAND.COM" xfId="360" xr:uid="{00000000-0005-0000-0000-0000A3020000}"/>
    <cellStyle name="=C:\WINNT40\SYSTEM32\COMMAND.COM 2" xfId="1871" xr:uid="{00000000-0005-0000-0000-0000A4020000}"/>
    <cellStyle name="•W€_GE 3 MINIMUM" xfId="741" xr:uid="{00000000-0005-0000-0000-0000A5020000}"/>
    <cellStyle name="•W_GE 3 MINIMUM" xfId="742" xr:uid="{00000000-0005-0000-0000-0000A6020000}"/>
    <cellStyle name="0" xfId="743" xr:uid="{00000000-0005-0000-0000-0000A7020000}"/>
    <cellStyle name="0%" xfId="744" xr:uid="{00000000-0005-0000-0000-0000A8020000}"/>
    <cellStyle name="0% 2" xfId="745" xr:uid="{00000000-0005-0000-0000-0000A9020000}"/>
    <cellStyle name="0% 3" xfId="746" xr:uid="{00000000-0005-0000-0000-0000AA020000}"/>
    <cellStyle name="0% 4" xfId="747" xr:uid="{00000000-0005-0000-0000-0000AB020000}"/>
    <cellStyle name="0.0" xfId="748" xr:uid="{00000000-0005-0000-0000-0000AC020000}"/>
    <cellStyle name="0.0%" xfId="749" xr:uid="{00000000-0005-0000-0000-0000AD020000}"/>
    <cellStyle name="0.00" xfId="750" xr:uid="{00000000-0005-0000-0000-0000AE020000}"/>
    <cellStyle name="0.00%" xfId="751" xr:uid="{00000000-0005-0000-0000-0000AF020000}"/>
    <cellStyle name="0.0x" xfId="752" xr:uid="{00000000-0005-0000-0000-0000B0020000}"/>
    <cellStyle name="0_Bullet model 122" xfId="753" xr:uid="{00000000-0005-0000-0000-0000B1020000}"/>
    <cellStyle name="0_FSG Standard LBO model 050404" xfId="754" xr:uid="{00000000-0005-0000-0000-0000B2020000}"/>
    <cellStyle name="0_Grandvision_LBO2" xfId="755" xr:uid="{00000000-0005-0000-0000-0000B3020000}"/>
    <cellStyle name="0_Proforma Model 100701 v.5" xfId="756" xr:uid="{00000000-0005-0000-0000-0000B4020000}"/>
    <cellStyle name="01. Page Heading" xfId="2870" xr:uid="{67EB068C-6385-4BBB-8B55-F04351423FB1}"/>
    <cellStyle name="02. (in millions)" xfId="2871" xr:uid="{D72B40FD-0B53-40C1-ADAD-D7BC512B79EA}"/>
    <cellStyle name="03. Message Text" xfId="2872" xr:uid="{CE454EB9-E43E-462F-8ECB-887320B1218A}"/>
    <cellStyle name="04. Heading 1" xfId="2873" xr:uid="{7DEF6D87-18A3-48EC-9B77-6CF9BA46B7AA}"/>
    <cellStyle name="05. Heading 2" xfId="2874" xr:uid="{B5BCF614-E030-4350-A04B-53A9BA605B2B}"/>
    <cellStyle name="06. Heading 3" xfId="2875" xr:uid="{1D601D1C-5B51-482B-B2C4-2F7F862EAD4A}"/>
    <cellStyle name="07. Laz Normal / Content Row" xfId="2876" xr:uid="{F69A2CC9-3E12-4CDD-AB84-17C2A1C6981C}"/>
    <cellStyle name="08a. Last Row" xfId="2877" xr:uid="{6FB8613A-9A1F-4AE9-BF08-EFCFED9DBD22}"/>
    <cellStyle name="08b. Total" xfId="2878" xr:uid="{E490315F-6887-4409-A7B4-DEA973E0381B}"/>
    <cellStyle name="09. Footnote" xfId="2879" xr:uid="{61A6EFCC-FB4F-443B-943E-1A8A5EEB911E}"/>
    <cellStyle name="10. Table Column" xfId="2858" xr:uid="{F116C930-BCB4-495A-AE4B-8BBC988EF6EB}"/>
    <cellStyle name="1000-sep (2 dec)_Backbone Cost Talkline Internet, Festnetz and Combined" xfId="757" xr:uid="{00000000-0005-0000-0000-0000B5020000}"/>
    <cellStyle name="11. LtBlueFill" xfId="2859" xr:uid="{10E56A5D-7D2A-4746-8D24-892C66A65A5E}"/>
    <cellStyle name="12. LtGrayFill" xfId="2860" xr:uid="{D53262BB-4582-44DA-A087-CE9CA1538CD4}"/>
    <cellStyle name="13. Marker" xfId="2861" xr:uid="{4EAB5388-C345-4C6C-AC69-1FBA4D9A717C}"/>
    <cellStyle name="13a. Marker Title" xfId="2862" xr:uid="{79333F32-62D9-4158-AC85-B7D58A5D99DE}"/>
    <cellStyle name="14. Sub Marker" xfId="2863" xr:uid="{FD9D1ED7-6CC2-4865-B81D-70147C6EEA50}"/>
    <cellStyle name="14a. Sub-Marker Title" xfId="2864" xr:uid="{18A9046A-0784-46F7-BFD4-941956B81160}"/>
    <cellStyle name="15.  M I N I   S P A C E R" xfId="2865" xr:uid="{11ECDBC7-DE98-4B62-8A41-3372479CBFD2}"/>
    <cellStyle name="16. Comments" xfId="2866" xr:uid="{DB64EC9F-E9DA-46DD-89C4-0A7889266AF3}"/>
    <cellStyle name="17. Draft Notes" xfId="2867" xr:uid="{38B6F1B0-7AF1-4D9F-AFC3-4BC0810A152F}"/>
    <cellStyle name="18. Integer" xfId="2868" xr:uid="{3371A7B5-6C4C-4527-8E8E-D1862D823C50}"/>
    <cellStyle name="19. Percent" xfId="2869" xr:uid="{AE2774D7-72E1-4AC2-A899-B2E27FC790AA}"/>
    <cellStyle name="20% - Accent1" xfId="361" builtinId="30" customBuiltin="1"/>
    <cellStyle name="20% - Accent1 2" xfId="362" xr:uid="{00000000-0005-0000-0000-0000B7020000}"/>
    <cellStyle name="20% - Accent1 2 2" xfId="758" xr:uid="{00000000-0005-0000-0000-0000B8020000}"/>
    <cellStyle name="20% - Accent1 2 2 2" xfId="1921" xr:uid="{00000000-0005-0000-0000-0000B9020000}"/>
    <cellStyle name="20% - Accent1 2 3" xfId="1920" xr:uid="{00000000-0005-0000-0000-0000BA020000}"/>
    <cellStyle name="20% - Accent1 3" xfId="759" xr:uid="{00000000-0005-0000-0000-0000BB020000}"/>
    <cellStyle name="20% - Accent1 3 2" xfId="1922" xr:uid="{00000000-0005-0000-0000-0000BC020000}"/>
    <cellStyle name="20% - Accent1 4" xfId="1923" xr:uid="{00000000-0005-0000-0000-0000BD020000}"/>
    <cellStyle name="20% - Accent1 5" xfId="1924" xr:uid="{00000000-0005-0000-0000-0000BE020000}"/>
    <cellStyle name="20% - Accent1 6" xfId="1925" xr:uid="{00000000-0005-0000-0000-0000BF020000}"/>
    <cellStyle name="20% - Accent1 7" xfId="1926" xr:uid="{00000000-0005-0000-0000-0000C0020000}"/>
    <cellStyle name="20% - Accent1 8" xfId="1927" xr:uid="{00000000-0005-0000-0000-0000C1020000}"/>
    <cellStyle name="20% - Accent2" xfId="363" builtinId="34" customBuiltin="1"/>
    <cellStyle name="20% - Accent2 2" xfId="364" xr:uid="{00000000-0005-0000-0000-0000C3020000}"/>
    <cellStyle name="20% - Accent2 2 2" xfId="760" xr:uid="{00000000-0005-0000-0000-0000C4020000}"/>
    <cellStyle name="20% - Accent2 2 2 2" xfId="1928" xr:uid="{00000000-0005-0000-0000-0000C5020000}"/>
    <cellStyle name="20% - Accent2 3" xfId="761" xr:uid="{00000000-0005-0000-0000-0000C6020000}"/>
    <cellStyle name="20% - Accent2 4" xfId="1929" xr:uid="{00000000-0005-0000-0000-0000C7020000}"/>
    <cellStyle name="20% - Accent2 5" xfId="1930" xr:uid="{00000000-0005-0000-0000-0000C8020000}"/>
    <cellStyle name="20% - Accent2 6" xfId="1931" xr:uid="{00000000-0005-0000-0000-0000C9020000}"/>
    <cellStyle name="20% - Accent3" xfId="365" builtinId="38" customBuiltin="1"/>
    <cellStyle name="20% - Accent3 2" xfId="366" xr:uid="{00000000-0005-0000-0000-0000CB020000}"/>
    <cellStyle name="20% - Accent3 2 2" xfId="762" xr:uid="{00000000-0005-0000-0000-0000CC020000}"/>
    <cellStyle name="20% - Accent3 2 2 2" xfId="1933" xr:uid="{00000000-0005-0000-0000-0000CD020000}"/>
    <cellStyle name="20% - Accent3 2 3" xfId="1932" xr:uid="{00000000-0005-0000-0000-0000CE020000}"/>
    <cellStyle name="20% - Accent3 3" xfId="763" xr:uid="{00000000-0005-0000-0000-0000CF020000}"/>
    <cellStyle name="20% - Accent3 3 2" xfId="1934" xr:uid="{00000000-0005-0000-0000-0000D0020000}"/>
    <cellStyle name="20% - Accent3 4" xfId="1935" xr:uid="{00000000-0005-0000-0000-0000D1020000}"/>
    <cellStyle name="20% - Accent3 5" xfId="1936" xr:uid="{00000000-0005-0000-0000-0000D2020000}"/>
    <cellStyle name="20% - Accent3 6" xfId="1937" xr:uid="{00000000-0005-0000-0000-0000D3020000}"/>
    <cellStyle name="20% - Accent3 7" xfId="1938" xr:uid="{00000000-0005-0000-0000-0000D4020000}"/>
    <cellStyle name="20% - Accent3 8" xfId="1939" xr:uid="{00000000-0005-0000-0000-0000D5020000}"/>
    <cellStyle name="20% - Accent4" xfId="367" builtinId="42" customBuiltin="1"/>
    <cellStyle name="20% - Accent4 2" xfId="368" xr:uid="{00000000-0005-0000-0000-0000D7020000}"/>
    <cellStyle name="20% - Accent4 2 2" xfId="764" xr:uid="{00000000-0005-0000-0000-0000D8020000}"/>
    <cellStyle name="20% - Accent4 2 2 2" xfId="1941" xr:uid="{00000000-0005-0000-0000-0000D9020000}"/>
    <cellStyle name="20% - Accent4 2 3" xfId="1940" xr:uid="{00000000-0005-0000-0000-0000DA020000}"/>
    <cellStyle name="20% - Accent4 3" xfId="765" xr:uid="{00000000-0005-0000-0000-0000DB020000}"/>
    <cellStyle name="20% - Accent4 3 2" xfId="1942" xr:uid="{00000000-0005-0000-0000-0000DC020000}"/>
    <cellStyle name="20% - Accent4 4" xfId="1943" xr:uid="{00000000-0005-0000-0000-0000DD020000}"/>
    <cellStyle name="20% - Accent4 5" xfId="1944" xr:uid="{00000000-0005-0000-0000-0000DE020000}"/>
    <cellStyle name="20% - Accent4 6" xfId="1945" xr:uid="{00000000-0005-0000-0000-0000DF020000}"/>
    <cellStyle name="20% - Accent4 7" xfId="1946" xr:uid="{00000000-0005-0000-0000-0000E0020000}"/>
    <cellStyle name="20% - Accent4 8" xfId="1947" xr:uid="{00000000-0005-0000-0000-0000E1020000}"/>
    <cellStyle name="20% - Accent5" xfId="369" builtinId="46" customBuiltin="1"/>
    <cellStyle name="20% - Accent5 2" xfId="370" xr:uid="{00000000-0005-0000-0000-0000E3020000}"/>
    <cellStyle name="20% - Accent5 2 2" xfId="766" xr:uid="{00000000-0005-0000-0000-0000E4020000}"/>
    <cellStyle name="20% - Accent5 2 2 2" xfId="1948" xr:uid="{00000000-0005-0000-0000-0000E5020000}"/>
    <cellStyle name="20% - Accent5 3" xfId="767" xr:uid="{00000000-0005-0000-0000-0000E6020000}"/>
    <cellStyle name="20% - Accent5 4" xfId="1949" xr:uid="{00000000-0005-0000-0000-0000E7020000}"/>
    <cellStyle name="20% - Accent5 5" xfId="1950" xr:uid="{00000000-0005-0000-0000-0000E8020000}"/>
    <cellStyle name="20% - Accent5 6" xfId="1951" xr:uid="{00000000-0005-0000-0000-0000E9020000}"/>
    <cellStyle name="20% - Accent6" xfId="371" builtinId="50" customBuiltin="1"/>
    <cellStyle name="20% - Accent6 2" xfId="372" xr:uid="{00000000-0005-0000-0000-0000EB020000}"/>
    <cellStyle name="20% - Accent6 2 2" xfId="768" xr:uid="{00000000-0005-0000-0000-0000EC020000}"/>
    <cellStyle name="20% - Accent6 2 2 2" xfId="1952" xr:uid="{00000000-0005-0000-0000-0000ED020000}"/>
    <cellStyle name="20% - Accent6 3" xfId="769" xr:uid="{00000000-0005-0000-0000-0000EE020000}"/>
    <cellStyle name="20% - Accent6 4" xfId="1953" xr:uid="{00000000-0005-0000-0000-0000EF020000}"/>
    <cellStyle name="20% - Accent6 5" xfId="1954" xr:uid="{00000000-0005-0000-0000-0000F0020000}"/>
    <cellStyle name="20% - Accent6 6" xfId="1955" xr:uid="{00000000-0005-0000-0000-0000F1020000}"/>
    <cellStyle name="40% - Accent1" xfId="373" builtinId="31" customBuiltin="1"/>
    <cellStyle name="40% - Accent1 2" xfId="374" xr:uid="{00000000-0005-0000-0000-0000F3020000}"/>
    <cellStyle name="40% - Accent1 2 2" xfId="770" xr:uid="{00000000-0005-0000-0000-0000F4020000}"/>
    <cellStyle name="40% - Accent1 2 2 2" xfId="1957" xr:uid="{00000000-0005-0000-0000-0000F5020000}"/>
    <cellStyle name="40% - Accent1 2 3" xfId="1956" xr:uid="{00000000-0005-0000-0000-0000F6020000}"/>
    <cellStyle name="40% - Accent1 3" xfId="771" xr:uid="{00000000-0005-0000-0000-0000F7020000}"/>
    <cellStyle name="40% - Accent1 3 2" xfId="1958" xr:uid="{00000000-0005-0000-0000-0000F8020000}"/>
    <cellStyle name="40% - Accent1 4" xfId="1959" xr:uid="{00000000-0005-0000-0000-0000F9020000}"/>
    <cellStyle name="40% - Accent1 5" xfId="1960" xr:uid="{00000000-0005-0000-0000-0000FA020000}"/>
    <cellStyle name="40% - Accent1 6" xfId="1961" xr:uid="{00000000-0005-0000-0000-0000FB020000}"/>
    <cellStyle name="40% - Accent1 7" xfId="1962" xr:uid="{00000000-0005-0000-0000-0000FC020000}"/>
    <cellStyle name="40% - Accent1 8" xfId="1963" xr:uid="{00000000-0005-0000-0000-0000FD020000}"/>
    <cellStyle name="40% - Accent2" xfId="375" builtinId="35" customBuiltin="1"/>
    <cellStyle name="40% - Accent2 2" xfId="376" xr:uid="{00000000-0005-0000-0000-0000FF020000}"/>
    <cellStyle name="40% - Accent2 2 2" xfId="772" xr:uid="{00000000-0005-0000-0000-000000030000}"/>
    <cellStyle name="40% - Accent2 2 2 2" xfId="1964" xr:uid="{00000000-0005-0000-0000-000001030000}"/>
    <cellStyle name="40% - Accent2 3" xfId="773" xr:uid="{00000000-0005-0000-0000-000002030000}"/>
    <cellStyle name="40% - Accent2 4" xfId="1965" xr:uid="{00000000-0005-0000-0000-000003030000}"/>
    <cellStyle name="40% - Accent2 5" xfId="1966" xr:uid="{00000000-0005-0000-0000-000004030000}"/>
    <cellStyle name="40% - Accent2 6" xfId="1967" xr:uid="{00000000-0005-0000-0000-000005030000}"/>
    <cellStyle name="40% - Accent3" xfId="377" builtinId="39" customBuiltin="1"/>
    <cellStyle name="40% - Accent3 2" xfId="378" xr:uid="{00000000-0005-0000-0000-000007030000}"/>
    <cellStyle name="40% - Accent3 2 2" xfId="774" xr:uid="{00000000-0005-0000-0000-000008030000}"/>
    <cellStyle name="40% - Accent3 2 2 2" xfId="1969" xr:uid="{00000000-0005-0000-0000-000009030000}"/>
    <cellStyle name="40% - Accent3 2 3" xfId="1968" xr:uid="{00000000-0005-0000-0000-00000A030000}"/>
    <cellStyle name="40% - Accent3 3" xfId="775" xr:uid="{00000000-0005-0000-0000-00000B030000}"/>
    <cellStyle name="40% - Accent3 3 2" xfId="1970" xr:uid="{00000000-0005-0000-0000-00000C030000}"/>
    <cellStyle name="40% - Accent3 4" xfId="1971" xr:uid="{00000000-0005-0000-0000-00000D030000}"/>
    <cellStyle name="40% - Accent3 5" xfId="1972" xr:uid="{00000000-0005-0000-0000-00000E030000}"/>
    <cellStyle name="40% - Accent3 6" xfId="1973" xr:uid="{00000000-0005-0000-0000-00000F030000}"/>
    <cellStyle name="40% - Accent3 7" xfId="1974" xr:uid="{00000000-0005-0000-0000-000010030000}"/>
    <cellStyle name="40% - Accent3 8" xfId="1975" xr:uid="{00000000-0005-0000-0000-000011030000}"/>
    <cellStyle name="40% - Accent4" xfId="379" builtinId="43" customBuiltin="1"/>
    <cellStyle name="40% - Accent4 2" xfId="380" xr:uid="{00000000-0005-0000-0000-000013030000}"/>
    <cellStyle name="40% - Accent4 2 2" xfId="776" xr:uid="{00000000-0005-0000-0000-000014030000}"/>
    <cellStyle name="40% - Accent4 2 2 2" xfId="1977" xr:uid="{00000000-0005-0000-0000-000015030000}"/>
    <cellStyle name="40% - Accent4 2 3" xfId="1976" xr:uid="{00000000-0005-0000-0000-000016030000}"/>
    <cellStyle name="40% - Accent4 3" xfId="777" xr:uid="{00000000-0005-0000-0000-000017030000}"/>
    <cellStyle name="40% - Accent4 3 2" xfId="1978" xr:uid="{00000000-0005-0000-0000-000018030000}"/>
    <cellStyle name="40% - Accent4 4" xfId="1979" xr:uid="{00000000-0005-0000-0000-000019030000}"/>
    <cellStyle name="40% - Accent4 5" xfId="1980" xr:uid="{00000000-0005-0000-0000-00001A030000}"/>
    <cellStyle name="40% - Accent4 6" xfId="1981" xr:uid="{00000000-0005-0000-0000-00001B030000}"/>
    <cellStyle name="40% - Accent4 7" xfId="1982" xr:uid="{00000000-0005-0000-0000-00001C030000}"/>
    <cellStyle name="40% - Accent4 8" xfId="1983" xr:uid="{00000000-0005-0000-0000-00001D030000}"/>
    <cellStyle name="40% - Accent5" xfId="381" builtinId="47" customBuiltin="1"/>
    <cellStyle name="40% - Accent5 2" xfId="382" xr:uid="{00000000-0005-0000-0000-00001F030000}"/>
    <cellStyle name="40% - Accent5 2 2" xfId="778" xr:uid="{00000000-0005-0000-0000-000020030000}"/>
    <cellStyle name="40% - Accent5 2 2 2" xfId="1984" xr:uid="{00000000-0005-0000-0000-000021030000}"/>
    <cellStyle name="40% - Accent5 3" xfId="779" xr:uid="{00000000-0005-0000-0000-000022030000}"/>
    <cellStyle name="40% - Accent5 4" xfId="1985" xr:uid="{00000000-0005-0000-0000-000023030000}"/>
    <cellStyle name="40% - Accent5 5" xfId="1986" xr:uid="{00000000-0005-0000-0000-000024030000}"/>
    <cellStyle name="40% - Accent5 6" xfId="1987" xr:uid="{00000000-0005-0000-0000-000025030000}"/>
    <cellStyle name="40% - Accent6" xfId="383" builtinId="51" customBuiltin="1"/>
    <cellStyle name="40% - Accent6 2" xfId="384" xr:uid="{00000000-0005-0000-0000-000027030000}"/>
    <cellStyle name="40% - Accent6 2 2" xfId="780" xr:uid="{00000000-0005-0000-0000-000028030000}"/>
    <cellStyle name="40% - Accent6 2 2 2" xfId="1989" xr:uid="{00000000-0005-0000-0000-000029030000}"/>
    <cellStyle name="40% - Accent6 2 3" xfId="1988" xr:uid="{00000000-0005-0000-0000-00002A030000}"/>
    <cellStyle name="40% - Accent6 3" xfId="781" xr:uid="{00000000-0005-0000-0000-00002B030000}"/>
    <cellStyle name="40% - Accent6 3 2" xfId="1990" xr:uid="{00000000-0005-0000-0000-00002C030000}"/>
    <cellStyle name="40% - Accent6 4" xfId="1991" xr:uid="{00000000-0005-0000-0000-00002D030000}"/>
    <cellStyle name="40% - Accent6 5" xfId="1992" xr:uid="{00000000-0005-0000-0000-00002E030000}"/>
    <cellStyle name="40% - Accent6 6" xfId="1993" xr:uid="{00000000-0005-0000-0000-00002F030000}"/>
    <cellStyle name="40% - Accent6 7" xfId="1994" xr:uid="{00000000-0005-0000-0000-000030030000}"/>
    <cellStyle name="40% - Accent6 8" xfId="1995" xr:uid="{00000000-0005-0000-0000-000031030000}"/>
    <cellStyle name="60% - Accent1" xfId="385" builtinId="32" customBuiltin="1"/>
    <cellStyle name="60% - Accent1 2" xfId="386" xr:uid="{00000000-0005-0000-0000-000033030000}"/>
    <cellStyle name="60% - Accent1 2 2" xfId="782" xr:uid="{00000000-0005-0000-0000-000034030000}"/>
    <cellStyle name="60% - Accent1 2 3" xfId="1996" xr:uid="{00000000-0005-0000-0000-000035030000}"/>
    <cellStyle name="60% - Accent1 3" xfId="783" xr:uid="{00000000-0005-0000-0000-000036030000}"/>
    <cellStyle name="60% - Accent1 3 2" xfId="1997" xr:uid="{00000000-0005-0000-0000-000037030000}"/>
    <cellStyle name="60% - Accent1 4" xfId="1998" xr:uid="{00000000-0005-0000-0000-000038030000}"/>
    <cellStyle name="60% - Accent1 5" xfId="1999" xr:uid="{00000000-0005-0000-0000-000039030000}"/>
    <cellStyle name="60% - Accent1 6" xfId="2000" xr:uid="{00000000-0005-0000-0000-00003A030000}"/>
    <cellStyle name="60% - Accent1 7" xfId="2001" xr:uid="{00000000-0005-0000-0000-00003B030000}"/>
    <cellStyle name="60% - Accent1 8" xfId="2002" xr:uid="{00000000-0005-0000-0000-00003C030000}"/>
    <cellStyle name="60% - Accent2" xfId="387" builtinId="36" customBuiltin="1"/>
    <cellStyle name="60% - Accent2 2" xfId="388" xr:uid="{00000000-0005-0000-0000-00003E030000}"/>
    <cellStyle name="60% - Accent2 2 2" xfId="784" xr:uid="{00000000-0005-0000-0000-00003F030000}"/>
    <cellStyle name="60% - Accent2 3" xfId="785" xr:uid="{00000000-0005-0000-0000-000040030000}"/>
    <cellStyle name="60% - Accent2 4" xfId="2003" xr:uid="{00000000-0005-0000-0000-000041030000}"/>
    <cellStyle name="60% - Accent2 5" xfId="2004" xr:uid="{00000000-0005-0000-0000-000042030000}"/>
    <cellStyle name="60% - Accent2 6" xfId="2005" xr:uid="{00000000-0005-0000-0000-000043030000}"/>
    <cellStyle name="60% - Accent3" xfId="389" builtinId="40" customBuiltin="1"/>
    <cellStyle name="60% - Accent3 2" xfId="390" xr:uid="{00000000-0005-0000-0000-000045030000}"/>
    <cellStyle name="60% - Accent3 2 2" xfId="786" xr:uid="{00000000-0005-0000-0000-000046030000}"/>
    <cellStyle name="60% - Accent3 2 3" xfId="2006" xr:uid="{00000000-0005-0000-0000-000047030000}"/>
    <cellStyle name="60% - Accent3 3" xfId="787" xr:uid="{00000000-0005-0000-0000-000048030000}"/>
    <cellStyle name="60% - Accent3 3 2" xfId="2007" xr:uid="{00000000-0005-0000-0000-000049030000}"/>
    <cellStyle name="60% - Accent3 4" xfId="2008" xr:uid="{00000000-0005-0000-0000-00004A030000}"/>
    <cellStyle name="60% - Accent3 5" xfId="2009" xr:uid="{00000000-0005-0000-0000-00004B030000}"/>
    <cellStyle name="60% - Accent3 6" xfId="2010" xr:uid="{00000000-0005-0000-0000-00004C030000}"/>
    <cellStyle name="60% - Accent3 7" xfId="2011" xr:uid="{00000000-0005-0000-0000-00004D030000}"/>
    <cellStyle name="60% - Accent3 8" xfId="2012" xr:uid="{00000000-0005-0000-0000-00004E030000}"/>
    <cellStyle name="60% - Accent4" xfId="391" builtinId="44" customBuiltin="1"/>
    <cellStyle name="60% - Accent4 2" xfId="392" xr:uid="{00000000-0005-0000-0000-000050030000}"/>
    <cellStyle name="60% - Accent4 2 2" xfId="788" xr:uid="{00000000-0005-0000-0000-000051030000}"/>
    <cellStyle name="60% - Accent4 2 3" xfId="2013" xr:uid="{00000000-0005-0000-0000-000052030000}"/>
    <cellStyle name="60% - Accent4 3" xfId="789" xr:uid="{00000000-0005-0000-0000-000053030000}"/>
    <cellStyle name="60% - Accent4 3 2" xfId="2014" xr:uid="{00000000-0005-0000-0000-000054030000}"/>
    <cellStyle name="60% - Accent4 4" xfId="2015" xr:uid="{00000000-0005-0000-0000-000055030000}"/>
    <cellStyle name="60% - Accent4 5" xfId="2016" xr:uid="{00000000-0005-0000-0000-000056030000}"/>
    <cellStyle name="60% - Accent4 6" xfId="2017" xr:uid="{00000000-0005-0000-0000-000057030000}"/>
    <cellStyle name="60% - Accent4 7" xfId="2018" xr:uid="{00000000-0005-0000-0000-000058030000}"/>
    <cellStyle name="60% - Accent4 8" xfId="2019" xr:uid="{00000000-0005-0000-0000-000059030000}"/>
    <cellStyle name="60% - Accent5" xfId="393" builtinId="48" customBuiltin="1"/>
    <cellStyle name="60% - Accent5 2" xfId="394" xr:uid="{00000000-0005-0000-0000-00005B030000}"/>
    <cellStyle name="60% - Accent5 2 2" xfId="790" xr:uid="{00000000-0005-0000-0000-00005C030000}"/>
    <cellStyle name="60% - Accent5 3" xfId="791" xr:uid="{00000000-0005-0000-0000-00005D030000}"/>
    <cellStyle name="60% - Accent5 4" xfId="2020" xr:uid="{00000000-0005-0000-0000-00005E030000}"/>
    <cellStyle name="60% - Accent5 5" xfId="2021" xr:uid="{00000000-0005-0000-0000-00005F030000}"/>
    <cellStyle name="60% - Accent5 6" xfId="2022" xr:uid="{00000000-0005-0000-0000-000060030000}"/>
    <cellStyle name="60% - Accent6" xfId="395" builtinId="52" customBuiltin="1"/>
    <cellStyle name="60% - Accent6 2" xfId="396" xr:uid="{00000000-0005-0000-0000-000062030000}"/>
    <cellStyle name="60% - Accent6 2 2" xfId="792" xr:uid="{00000000-0005-0000-0000-000063030000}"/>
    <cellStyle name="60% - Accent6 2 3" xfId="2023" xr:uid="{00000000-0005-0000-0000-000064030000}"/>
    <cellStyle name="60% - Accent6 3" xfId="793" xr:uid="{00000000-0005-0000-0000-000065030000}"/>
    <cellStyle name="60% - Accent6 3 2" xfId="2024" xr:uid="{00000000-0005-0000-0000-000066030000}"/>
    <cellStyle name="60% - Accent6 4" xfId="2025" xr:uid="{00000000-0005-0000-0000-000067030000}"/>
    <cellStyle name="60% - Accent6 5" xfId="2026" xr:uid="{00000000-0005-0000-0000-000068030000}"/>
    <cellStyle name="60% - Accent6 6" xfId="2027" xr:uid="{00000000-0005-0000-0000-000069030000}"/>
    <cellStyle name="60% - Accent6 7" xfId="2028" xr:uid="{00000000-0005-0000-0000-00006A030000}"/>
    <cellStyle name="60% - Accent6 8" xfId="2029" xr:uid="{00000000-0005-0000-0000-00006B030000}"/>
    <cellStyle name="752131" xfId="794" xr:uid="{00000000-0005-0000-0000-00006C030000}"/>
    <cellStyle name="A3 297 x 420 mm" xfId="397" xr:uid="{00000000-0005-0000-0000-00006D030000}"/>
    <cellStyle name="Accent1" xfId="398" builtinId="29" customBuiltin="1"/>
    <cellStyle name="Accent1 2" xfId="399" xr:uid="{00000000-0005-0000-0000-00006F030000}"/>
    <cellStyle name="Accent1 2 2" xfId="795" xr:uid="{00000000-0005-0000-0000-000070030000}"/>
    <cellStyle name="Accent1 2 3" xfId="2030" xr:uid="{00000000-0005-0000-0000-000071030000}"/>
    <cellStyle name="Accent1 3" xfId="796" xr:uid="{00000000-0005-0000-0000-000072030000}"/>
    <cellStyle name="Accent1 3 2" xfId="2031" xr:uid="{00000000-0005-0000-0000-000073030000}"/>
    <cellStyle name="Accent1 4" xfId="2032" xr:uid="{00000000-0005-0000-0000-000074030000}"/>
    <cellStyle name="Accent1 5" xfId="2033" xr:uid="{00000000-0005-0000-0000-000075030000}"/>
    <cellStyle name="Accent1 6" xfId="2034" xr:uid="{00000000-0005-0000-0000-000076030000}"/>
    <cellStyle name="Accent1 7" xfId="2035" xr:uid="{00000000-0005-0000-0000-000077030000}"/>
    <cellStyle name="Accent1 8" xfId="2036" xr:uid="{00000000-0005-0000-0000-000078030000}"/>
    <cellStyle name="Accent2" xfId="400" builtinId="33" customBuiltin="1"/>
    <cellStyle name="Accent2 2" xfId="401" xr:uid="{00000000-0005-0000-0000-00007A030000}"/>
    <cellStyle name="Accent2 2 2" xfId="797" xr:uid="{00000000-0005-0000-0000-00007B030000}"/>
    <cellStyle name="Accent2 3" xfId="798" xr:uid="{00000000-0005-0000-0000-00007C030000}"/>
    <cellStyle name="Accent2 4" xfId="2037" xr:uid="{00000000-0005-0000-0000-00007D030000}"/>
    <cellStyle name="Accent2 5" xfId="2038" xr:uid="{00000000-0005-0000-0000-00007E030000}"/>
    <cellStyle name="Accent2 6" xfId="2039" xr:uid="{00000000-0005-0000-0000-00007F030000}"/>
    <cellStyle name="Accent3" xfId="402" builtinId="37" customBuiltin="1"/>
    <cellStyle name="Accent3 2" xfId="403" xr:uid="{00000000-0005-0000-0000-000081030000}"/>
    <cellStyle name="Accent3 2 2" xfId="799" xr:uid="{00000000-0005-0000-0000-000082030000}"/>
    <cellStyle name="Accent3 3" xfId="800" xr:uid="{00000000-0005-0000-0000-000083030000}"/>
    <cellStyle name="Accent3 4" xfId="2040" xr:uid="{00000000-0005-0000-0000-000084030000}"/>
    <cellStyle name="Accent3 5" xfId="2041" xr:uid="{00000000-0005-0000-0000-000085030000}"/>
    <cellStyle name="Accent3 6" xfId="2042" xr:uid="{00000000-0005-0000-0000-000086030000}"/>
    <cellStyle name="Accent4" xfId="404" builtinId="41" customBuiltin="1"/>
    <cellStyle name="Accent4 2" xfId="405" xr:uid="{00000000-0005-0000-0000-000088030000}"/>
    <cellStyle name="Accent4 2 2" xfId="801" xr:uid="{00000000-0005-0000-0000-000089030000}"/>
    <cellStyle name="Accent4 2 3" xfId="2043" xr:uid="{00000000-0005-0000-0000-00008A030000}"/>
    <cellStyle name="Accent4 3" xfId="802" xr:uid="{00000000-0005-0000-0000-00008B030000}"/>
    <cellStyle name="Accent4 3 2" xfId="2044" xr:uid="{00000000-0005-0000-0000-00008C030000}"/>
    <cellStyle name="Accent4 4" xfId="2045" xr:uid="{00000000-0005-0000-0000-00008D030000}"/>
    <cellStyle name="Accent4 5" xfId="2046" xr:uid="{00000000-0005-0000-0000-00008E030000}"/>
    <cellStyle name="Accent4 6" xfId="2047" xr:uid="{00000000-0005-0000-0000-00008F030000}"/>
    <cellStyle name="Accent4 7" xfId="2048" xr:uid="{00000000-0005-0000-0000-000090030000}"/>
    <cellStyle name="Accent4 8" xfId="2049" xr:uid="{00000000-0005-0000-0000-000091030000}"/>
    <cellStyle name="Accent5" xfId="406" builtinId="45" customBuiltin="1"/>
    <cellStyle name="Accent5 2" xfId="407" xr:uid="{00000000-0005-0000-0000-000093030000}"/>
    <cellStyle name="Accent5 2 2" xfId="803" xr:uid="{00000000-0005-0000-0000-000094030000}"/>
    <cellStyle name="Accent5 3" xfId="804" xr:uid="{00000000-0005-0000-0000-000095030000}"/>
    <cellStyle name="Accent5 4" xfId="2050" xr:uid="{00000000-0005-0000-0000-000096030000}"/>
    <cellStyle name="Accent5 5" xfId="2051" xr:uid="{00000000-0005-0000-0000-000097030000}"/>
    <cellStyle name="Accent5 6" xfId="2052" xr:uid="{00000000-0005-0000-0000-000098030000}"/>
    <cellStyle name="Accent6" xfId="408" builtinId="49" customBuiltin="1"/>
    <cellStyle name="Accent6 2" xfId="409" xr:uid="{00000000-0005-0000-0000-00009A030000}"/>
    <cellStyle name="Accent6 2 2" xfId="805" xr:uid="{00000000-0005-0000-0000-00009B030000}"/>
    <cellStyle name="Accent6 3" xfId="806" xr:uid="{00000000-0005-0000-0000-00009C030000}"/>
    <cellStyle name="Accent6 4" xfId="2053" xr:uid="{00000000-0005-0000-0000-00009D030000}"/>
    <cellStyle name="Accent6 5" xfId="2054" xr:uid="{00000000-0005-0000-0000-00009E030000}"/>
    <cellStyle name="Accent6 6" xfId="2055" xr:uid="{00000000-0005-0000-0000-00009F030000}"/>
    <cellStyle name="accounting" xfId="807" xr:uid="{00000000-0005-0000-0000-0000A0030000}"/>
    <cellStyle name="Actual Date" xfId="410" xr:uid="{00000000-0005-0000-0000-0000A1030000}"/>
    <cellStyle name="Actual Date 2" xfId="1872" xr:uid="{00000000-0005-0000-0000-0000A2030000}"/>
    <cellStyle name="Adjustable" xfId="411" xr:uid="{00000000-0005-0000-0000-0000A3030000}"/>
    <cellStyle name="amount" xfId="808" xr:uid="{00000000-0005-0000-0000-0000A4030000}"/>
    <cellStyle name="Arial 10" xfId="809" xr:uid="{00000000-0005-0000-0000-0000A5030000}"/>
    <cellStyle name="Arial 12" xfId="810" xr:uid="{00000000-0005-0000-0000-0000A6030000}"/>
    <cellStyle name="Arial 12 2" xfId="811" xr:uid="{00000000-0005-0000-0000-0000A7030000}"/>
    <cellStyle name="Assumption" xfId="812" xr:uid="{00000000-0005-0000-0000-0000A8030000}"/>
    <cellStyle name="at" xfId="813" xr:uid="{00000000-0005-0000-0000-0000A9030000}"/>
    <cellStyle name="at 2" xfId="814" xr:uid="{00000000-0005-0000-0000-0000AA030000}"/>
    <cellStyle name="b" xfId="815" xr:uid="{00000000-0005-0000-0000-0000AB030000}"/>
    <cellStyle name="b 2" xfId="816" xr:uid="{00000000-0005-0000-0000-0000AC030000}"/>
    <cellStyle name="b%0" xfId="817" xr:uid="{00000000-0005-0000-0000-0000AD030000}"/>
    <cellStyle name="b%1" xfId="818" xr:uid="{00000000-0005-0000-0000-0000AE030000}"/>
    <cellStyle name="b%2" xfId="819" xr:uid="{00000000-0005-0000-0000-0000AF030000}"/>
    <cellStyle name="b0" xfId="820" xr:uid="{00000000-0005-0000-0000-0000B0030000}"/>
    <cellStyle name="b09" xfId="821" xr:uid="{00000000-0005-0000-0000-0000B1030000}"/>
    <cellStyle name="b1" xfId="822" xr:uid="{00000000-0005-0000-0000-0000B2030000}"/>
    <cellStyle name="b1 2" xfId="823" xr:uid="{00000000-0005-0000-0000-0000B3030000}"/>
    <cellStyle name="b1 3" xfId="824" xr:uid="{00000000-0005-0000-0000-0000B4030000}"/>
    <cellStyle name="b1 4" xfId="825" xr:uid="{00000000-0005-0000-0000-0000B5030000}"/>
    <cellStyle name="b2" xfId="826" xr:uid="{00000000-0005-0000-0000-0000B6030000}"/>
    <cellStyle name="b2 2" xfId="827" xr:uid="{00000000-0005-0000-0000-0000B7030000}"/>
    <cellStyle name="Background" xfId="828" xr:uid="{00000000-0005-0000-0000-0000B8030000}"/>
    <cellStyle name="Background 2" xfId="829" xr:uid="{00000000-0005-0000-0000-0000B9030000}"/>
    <cellStyle name="Background 3" xfId="830" xr:uid="{00000000-0005-0000-0000-0000BA030000}"/>
    <cellStyle name="Background 4" xfId="831" xr:uid="{00000000-0005-0000-0000-0000BB030000}"/>
    <cellStyle name="Bad" xfId="412" builtinId="27" customBuiltin="1"/>
    <cellStyle name="Bad 2" xfId="413" xr:uid="{00000000-0005-0000-0000-0000BD030000}"/>
    <cellStyle name="Bad 2 2" xfId="832" xr:uid="{00000000-0005-0000-0000-0000BE030000}"/>
    <cellStyle name="Bad 2 3" xfId="2056" xr:uid="{00000000-0005-0000-0000-0000BF030000}"/>
    <cellStyle name="Bad 3" xfId="2057" xr:uid="{00000000-0005-0000-0000-0000C0030000}"/>
    <cellStyle name="Bad 4" xfId="2058" xr:uid="{00000000-0005-0000-0000-0000C1030000}"/>
    <cellStyle name="Bad 5" xfId="2059" xr:uid="{00000000-0005-0000-0000-0000C2030000}"/>
    <cellStyle name="Bad 6" xfId="2060" xr:uid="{00000000-0005-0000-0000-0000C3030000}"/>
    <cellStyle name="Bad 7" xfId="2061" xr:uid="{00000000-0005-0000-0000-0000C4030000}"/>
    <cellStyle name="Bad 8" xfId="2062" xr:uid="{00000000-0005-0000-0000-0000C5030000}"/>
    <cellStyle name="Basic" xfId="414" xr:uid="{00000000-0005-0000-0000-0000C6030000}"/>
    <cellStyle name="Basic - Style1" xfId="415" xr:uid="{00000000-0005-0000-0000-0000C7030000}"/>
    <cellStyle name="Black" xfId="833" xr:uid="{00000000-0005-0000-0000-0000C8030000}"/>
    <cellStyle name="BlankedZeros" xfId="834" xr:uid="{00000000-0005-0000-0000-0000C9030000}"/>
    <cellStyle name="Block Titles" xfId="835" xr:uid="{00000000-0005-0000-0000-0000CA030000}"/>
    <cellStyle name="Blue" xfId="836" xr:uid="{00000000-0005-0000-0000-0000CB030000}"/>
    <cellStyle name="Blue 2" xfId="837" xr:uid="{00000000-0005-0000-0000-0000CC030000}"/>
    <cellStyle name="bo" xfId="838" xr:uid="{00000000-0005-0000-0000-0000CD030000}"/>
    <cellStyle name="bo 2" xfId="839" xr:uid="{00000000-0005-0000-0000-0000CE030000}"/>
    <cellStyle name="Body text" xfId="840" xr:uid="{00000000-0005-0000-0000-0000CF030000}"/>
    <cellStyle name="Body: normal cell" xfId="2900" xr:uid="{EC0D2422-F83E-48E1-BE09-9ACDE3301D48}"/>
    <cellStyle name="Bold/Border" xfId="841" xr:uid="{00000000-0005-0000-0000-0000D0030000}"/>
    <cellStyle name="Border Heavy" xfId="416" xr:uid="{00000000-0005-0000-0000-0000D1030000}"/>
    <cellStyle name="Border Thin" xfId="417" xr:uid="{00000000-0005-0000-0000-0000D2030000}"/>
    <cellStyle name="Bottom" xfId="842" xr:uid="{00000000-0005-0000-0000-0000D3030000}"/>
    <cellStyle name="bout" xfId="843" xr:uid="{00000000-0005-0000-0000-0000D4030000}"/>
    <cellStyle name="bout 2" xfId="844" xr:uid="{00000000-0005-0000-0000-0000D5030000}"/>
    <cellStyle name="BoxSubHeader" xfId="2823" xr:uid="{AE6057F9-6B5F-494F-B566-DAF140328CEB}"/>
    <cellStyle name="BPchg" xfId="845" xr:uid="{00000000-0005-0000-0000-0000D6030000}"/>
    <cellStyle name="BPChgB" xfId="846" xr:uid="{00000000-0005-0000-0000-0000D7030000}"/>
    <cellStyle name="BPchgStd" xfId="847" xr:uid="{00000000-0005-0000-0000-0000D8030000}"/>
    <cellStyle name="British Pound" xfId="848" xr:uid="{00000000-0005-0000-0000-0000D9030000}"/>
    <cellStyle name="bt" xfId="849" xr:uid="{00000000-0005-0000-0000-0000DA030000}"/>
    <cellStyle name="btit" xfId="850" xr:uid="{00000000-0005-0000-0000-0000DB030000}"/>
    <cellStyle name="btit 2" xfId="851" xr:uid="{00000000-0005-0000-0000-0000DC030000}"/>
    <cellStyle name="btit 3" xfId="852" xr:uid="{00000000-0005-0000-0000-0000DD030000}"/>
    <cellStyle name="btit 4" xfId="853" xr:uid="{00000000-0005-0000-0000-0000DE030000}"/>
    <cellStyle name="Bullet" xfId="854" xr:uid="{00000000-0005-0000-0000-0000DF030000}"/>
    <cellStyle name="Bullet 2" xfId="855" xr:uid="{00000000-0005-0000-0000-0000E0030000}"/>
    <cellStyle name="c" xfId="856" xr:uid="{00000000-0005-0000-0000-0000E1030000}"/>
    <cellStyle name="c_ad3" xfId="857" xr:uid="{00000000-0005-0000-0000-0000E2030000}"/>
    <cellStyle name="c_ad5" xfId="858" xr:uid="{00000000-0005-0000-0000-0000E3030000}"/>
    <cellStyle name="c_asko1" xfId="859" xr:uid="{00000000-0005-0000-0000-0000E4030000}"/>
    <cellStyle name="c_btr_2" xfId="860" xr:uid="{00000000-0005-0000-0000-0000E5030000}"/>
    <cellStyle name="c_btr_3" xfId="861" xr:uid="{00000000-0005-0000-0000-0000E6030000}"/>
    <cellStyle name="c_Cases (2)" xfId="862" xr:uid="{00000000-0005-0000-0000-0000E7030000}"/>
    <cellStyle name="c_dccmod1" xfId="863" xr:uid="{00000000-0005-0000-0000-0000E8030000}"/>
    <cellStyle name="c_Earnings (2)" xfId="864" xr:uid="{00000000-0005-0000-0000-0000E9030000}"/>
    <cellStyle name="c_Grouse+Pelican" xfId="865" xr:uid="{00000000-0005-0000-0000-0000EA030000}"/>
    <cellStyle name="c_LBO" xfId="866" xr:uid="{00000000-0005-0000-0000-0000EB030000}"/>
    <cellStyle name="c_lbo1" xfId="867" xr:uid="{00000000-0005-0000-0000-0000EC030000}"/>
    <cellStyle name="c_lbo3" xfId="868" xr:uid="{00000000-0005-0000-0000-0000ED030000}"/>
    <cellStyle name="c_LBO5" xfId="869" xr:uid="{00000000-0005-0000-0000-0000EE030000}"/>
    <cellStyle name="c_Macros" xfId="870" xr:uid="{00000000-0005-0000-0000-0000EF030000}"/>
    <cellStyle name="c_Macros (2)" xfId="871" xr:uid="{00000000-0005-0000-0000-0000F0030000}"/>
    <cellStyle name="c_Macros (2) 2" xfId="872" xr:uid="{00000000-0005-0000-0000-0000F1030000}"/>
    <cellStyle name="c_Macros 2" xfId="873" xr:uid="{00000000-0005-0000-0000-0000F2030000}"/>
    <cellStyle name="c_Macros 3" xfId="874" xr:uid="{00000000-0005-0000-0000-0000F3030000}"/>
    <cellStyle name="c_Macros 4" xfId="875" xr:uid="{00000000-0005-0000-0000-0000F4030000}"/>
    <cellStyle name="c_Macros 5" xfId="876" xr:uid="{00000000-0005-0000-0000-0000F5030000}"/>
    <cellStyle name="c_Manager (2)" xfId="877" xr:uid="{00000000-0005-0000-0000-0000F6030000}"/>
    <cellStyle name="c_Manager (2) 2" xfId="878" xr:uid="{00000000-0005-0000-0000-0000F7030000}"/>
    <cellStyle name="c_model1" xfId="879" xr:uid="{00000000-0005-0000-0000-0000F8030000}"/>
    <cellStyle name="c_model6" xfId="880" xr:uid="{00000000-0005-0000-0000-0000F9030000}"/>
    <cellStyle name="c_saft_1" xfId="881" xr:uid="{00000000-0005-0000-0000-0000FA030000}"/>
    <cellStyle name="c_WACC benchmarking" xfId="882" xr:uid="{00000000-0005-0000-0000-0000FB030000}"/>
    <cellStyle name="c_WACC benchmarking 2" xfId="883" xr:uid="{00000000-0005-0000-0000-0000FC030000}"/>
    <cellStyle name="c_WACC benchmarking_Advantage_Completed_20071127_new assumptions_newlibor" xfId="884" xr:uid="{00000000-0005-0000-0000-0000FD030000}"/>
    <cellStyle name="c_WACC benchmarking_Advantage_Completed_20071127_new assumptions_newlibor 2" xfId="885" xr:uid="{00000000-0005-0000-0000-0000FE030000}"/>
    <cellStyle name="c_WACC benchmarking_Advantage_Completed_20071127_new assumptions_newlibor 3" xfId="886" xr:uid="{00000000-0005-0000-0000-0000FF030000}"/>
    <cellStyle name="c_West Ham (2)" xfId="887" xr:uid="{00000000-0005-0000-0000-000000040000}"/>
    <cellStyle name="c_Westham (2)" xfId="888" xr:uid="{00000000-0005-0000-0000-000001040000}"/>
    <cellStyle name="c_Wool_01_07_12_1999" xfId="889" xr:uid="{00000000-0005-0000-0000-000002040000}"/>
    <cellStyle name="c_Wool_14_12_1999_2" xfId="890" xr:uid="{00000000-0005-0000-0000-000003040000}"/>
    <cellStyle name="c_Wool_15_02_2000" xfId="891" xr:uid="{00000000-0005-0000-0000-000004040000}"/>
    <cellStyle name="c_Wool_28_01_2000_02" xfId="892" xr:uid="{00000000-0005-0000-0000-000005040000}"/>
    <cellStyle name="c_WoolEuro_12_04_2000_02" xfId="893" xr:uid="{00000000-0005-0000-0000-000006040000}"/>
    <cellStyle name="c_WoolEuro_17_03_2000" xfId="894" xr:uid="{00000000-0005-0000-0000-000007040000}"/>
    <cellStyle name="c_WoolEuro_20_03_2000_3" xfId="895" xr:uid="{00000000-0005-0000-0000-000008040000}"/>
    <cellStyle name="c_WoolEuroEx_14_04_2000_01" xfId="896" xr:uid="{00000000-0005-0000-0000-000009040000}"/>
    <cellStyle name="c0" xfId="897" xr:uid="{00000000-0005-0000-0000-00000A040000}"/>
    <cellStyle name="c2" xfId="898" xr:uid="{00000000-0005-0000-0000-00000B040000}"/>
    <cellStyle name="cach" xfId="899" xr:uid="{00000000-0005-0000-0000-00000C040000}"/>
    <cellStyle name="cach 2" xfId="900" xr:uid="{00000000-0005-0000-0000-00000D040000}"/>
    <cellStyle name="cajun" xfId="418" xr:uid="{00000000-0005-0000-0000-00000E040000}"/>
    <cellStyle name="Calc# [0,000]" xfId="2952" xr:uid="{C6923CDC-028D-4720-8C65-180F30A0CD80}"/>
    <cellStyle name="Calculation" xfId="419" builtinId="22" customBuiltin="1"/>
    <cellStyle name="Calculation 2" xfId="420" xr:uid="{00000000-0005-0000-0000-000010040000}"/>
    <cellStyle name="Calculation 2 2" xfId="901" xr:uid="{00000000-0005-0000-0000-000011040000}"/>
    <cellStyle name="Calculation 3" xfId="2063" xr:uid="{00000000-0005-0000-0000-000012040000}"/>
    <cellStyle name="Calculation 4" xfId="2064" xr:uid="{00000000-0005-0000-0000-000013040000}"/>
    <cellStyle name="Calculation 5" xfId="2065" xr:uid="{00000000-0005-0000-0000-000014040000}"/>
    <cellStyle name="Calculation 6" xfId="2066" xr:uid="{00000000-0005-0000-0000-000015040000}"/>
    <cellStyle name="CatTitle" xfId="902" xr:uid="{00000000-0005-0000-0000-000016040000}"/>
    <cellStyle name="CatTotal" xfId="903" xr:uid="{00000000-0005-0000-0000-000017040000}"/>
    <cellStyle name="CatTotal 2" xfId="904" xr:uid="{00000000-0005-0000-0000-000018040000}"/>
    <cellStyle name="cd" xfId="421" xr:uid="{00000000-0005-0000-0000-000019040000}"/>
    <cellStyle name="Center Bold" xfId="2953" xr:uid="{3FF5F6AE-123A-497F-AED6-864A61CB86FF}"/>
    <cellStyle name="Change" xfId="905" xr:uid="{00000000-0005-0000-0000-00001A040000}"/>
    <cellStyle name="Changeable" xfId="906" xr:uid="{00000000-0005-0000-0000-00001B040000}"/>
    <cellStyle name="Check Cell" xfId="422" builtinId="23" customBuiltin="1"/>
    <cellStyle name="Check Cell 2" xfId="423" xr:uid="{00000000-0005-0000-0000-00001D040000}"/>
    <cellStyle name="Check Cell 2 2" xfId="907" xr:uid="{00000000-0005-0000-0000-00001E040000}"/>
    <cellStyle name="Check Cell 2 3" xfId="2067" xr:uid="{00000000-0005-0000-0000-00001F040000}"/>
    <cellStyle name="Check Cell 3" xfId="2068" xr:uid="{00000000-0005-0000-0000-000020040000}"/>
    <cellStyle name="Check Cell 4" xfId="2069" xr:uid="{00000000-0005-0000-0000-000021040000}"/>
    <cellStyle name="Check Cell 5" xfId="2070" xr:uid="{00000000-0005-0000-0000-000022040000}"/>
    <cellStyle name="Check Cell 6" xfId="2071" xr:uid="{00000000-0005-0000-0000-000023040000}"/>
    <cellStyle name="Check Cell 7" xfId="2072" xr:uid="{00000000-0005-0000-0000-000024040000}"/>
    <cellStyle name="Check Cell 8" xfId="2073" xr:uid="{00000000-0005-0000-0000-000025040000}"/>
    <cellStyle name="co" xfId="908" xr:uid="{00000000-0005-0000-0000-000026040000}"/>
    <cellStyle name="ColHide" xfId="909" xr:uid="{00000000-0005-0000-0000-000027040000}"/>
    <cellStyle name="ColShow" xfId="910" xr:uid="{00000000-0005-0000-0000-000028040000}"/>
    <cellStyle name="Column Heading" xfId="911" xr:uid="{00000000-0005-0000-0000-000029040000}"/>
    <cellStyle name="Comma" xfId="424" builtinId="3"/>
    <cellStyle name="Comma  - Style1" xfId="913" xr:uid="{00000000-0005-0000-0000-00002B040000}"/>
    <cellStyle name="Comma  - Style2" xfId="914" xr:uid="{00000000-0005-0000-0000-00002C040000}"/>
    <cellStyle name="Comma  - Style3" xfId="915" xr:uid="{00000000-0005-0000-0000-00002D040000}"/>
    <cellStyle name="Comma  - Style4" xfId="916" xr:uid="{00000000-0005-0000-0000-00002E040000}"/>
    <cellStyle name="Comma  - Style5" xfId="917" xr:uid="{00000000-0005-0000-0000-00002F040000}"/>
    <cellStyle name="Comma  - Style6" xfId="918" xr:uid="{00000000-0005-0000-0000-000030040000}"/>
    <cellStyle name="Comma  - Style7" xfId="919" xr:uid="{00000000-0005-0000-0000-000031040000}"/>
    <cellStyle name="Comma  - Style8" xfId="920" xr:uid="{00000000-0005-0000-0000-000032040000}"/>
    <cellStyle name="Comma [0] 2" xfId="2568" xr:uid="{00000000-0005-0000-0000-000033040000}"/>
    <cellStyle name="Comma [0] 2 2" xfId="2828" xr:uid="{3EB44241-4C1B-4231-B244-D153315323EB}"/>
    <cellStyle name="Comma [0] 2 3" xfId="2938" xr:uid="{304B841C-DC65-4D93-A081-755455952231}"/>
    <cellStyle name="Comma [1]" xfId="425" xr:uid="{00000000-0005-0000-0000-000034040000}"/>
    <cellStyle name="Comma [1] 2" xfId="921" xr:uid="{00000000-0005-0000-0000-000035040000}"/>
    <cellStyle name="Comma [2]" xfId="426" xr:uid="{00000000-0005-0000-0000-000036040000}"/>
    <cellStyle name="Comma [2] 2" xfId="922" xr:uid="{00000000-0005-0000-0000-000037040000}"/>
    <cellStyle name="Comma [3]" xfId="427" xr:uid="{00000000-0005-0000-0000-000038040000}"/>
    <cellStyle name="Comma 0" xfId="428" xr:uid="{00000000-0005-0000-0000-000039040000}"/>
    <cellStyle name="Comma 0*" xfId="429" xr:uid="{00000000-0005-0000-0000-00003A040000}"/>
    <cellStyle name="Comma 10" xfId="639" xr:uid="{00000000-0005-0000-0000-00003B040000}"/>
    <cellStyle name="Comma 10 2" xfId="923" xr:uid="{00000000-0005-0000-0000-00003C040000}"/>
    <cellStyle name="Comma 11" xfId="642" xr:uid="{00000000-0005-0000-0000-00003D040000}"/>
    <cellStyle name="Comma 11 2" xfId="1634" xr:uid="{00000000-0005-0000-0000-00003E040000}"/>
    <cellStyle name="Comma 11 3" xfId="912" xr:uid="{00000000-0005-0000-0000-00003F040000}"/>
    <cellStyle name="Comma 11 4" xfId="2075" xr:uid="{00000000-0005-0000-0000-000040040000}"/>
    <cellStyle name="Comma 12" xfId="638" xr:uid="{00000000-0005-0000-0000-000041040000}"/>
    <cellStyle name="Comma 12 2" xfId="2076" xr:uid="{00000000-0005-0000-0000-000042040000}"/>
    <cellStyle name="Comma 12 3" xfId="2734" xr:uid="{00000000-0005-0000-0000-000043040000}"/>
    <cellStyle name="Comma 13" xfId="1912" xr:uid="{00000000-0005-0000-0000-000044040000}"/>
    <cellStyle name="Comma 13 2" xfId="2077" xr:uid="{00000000-0005-0000-0000-000045040000}"/>
    <cellStyle name="Comma 14" xfId="1913" xr:uid="{00000000-0005-0000-0000-000046040000}"/>
    <cellStyle name="Comma 14 2" xfId="2078" xr:uid="{00000000-0005-0000-0000-000047040000}"/>
    <cellStyle name="Comma 14 3" xfId="2569" xr:uid="{00000000-0005-0000-0000-000048040000}"/>
    <cellStyle name="Comma 15" xfId="1914" xr:uid="{00000000-0005-0000-0000-000049040000}"/>
    <cellStyle name="Comma 15 2" xfId="2079" xr:uid="{00000000-0005-0000-0000-00004A040000}"/>
    <cellStyle name="Comma 15 3" xfId="2570" xr:uid="{00000000-0005-0000-0000-00004B040000}"/>
    <cellStyle name="Comma 16" xfId="1915" xr:uid="{00000000-0005-0000-0000-00004C040000}"/>
    <cellStyle name="Comma 16 2" xfId="2080" xr:uid="{00000000-0005-0000-0000-00004D040000}"/>
    <cellStyle name="Comma 17" xfId="2081" xr:uid="{00000000-0005-0000-0000-00004E040000}"/>
    <cellStyle name="Comma 17 2" xfId="2082" xr:uid="{00000000-0005-0000-0000-00004F040000}"/>
    <cellStyle name="Comma 17 2 2" xfId="2083" xr:uid="{00000000-0005-0000-0000-000050040000}"/>
    <cellStyle name="Comma 17 2 2 2" xfId="2084" xr:uid="{00000000-0005-0000-0000-000051040000}"/>
    <cellStyle name="Comma 17 2 3" xfId="2085" xr:uid="{00000000-0005-0000-0000-000052040000}"/>
    <cellStyle name="Comma 17 3" xfId="2086" xr:uid="{00000000-0005-0000-0000-000053040000}"/>
    <cellStyle name="Comma 17 3 2" xfId="2087" xr:uid="{00000000-0005-0000-0000-000054040000}"/>
    <cellStyle name="Comma 17 3 2 2" xfId="2088" xr:uid="{00000000-0005-0000-0000-000055040000}"/>
    <cellStyle name="Comma 17 3 3" xfId="2089" xr:uid="{00000000-0005-0000-0000-000056040000}"/>
    <cellStyle name="Comma 17 4" xfId="2090" xr:uid="{00000000-0005-0000-0000-000057040000}"/>
    <cellStyle name="Comma 17 4 2" xfId="2091" xr:uid="{00000000-0005-0000-0000-000058040000}"/>
    <cellStyle name="Comma 17 5" xfId="2092" xr:uid="{00000000-0005-0000-0000-000059040000}"/>
    <cellStyle name="Comma 17 6" xfId="2571" xr:uid="{00000000-0005-0000-0000-00005A040000}"/>
    <cellStyle name="Comma 18" xfId="2093" xr:uid="{00000000-0005-0000-0000-00005B040000}"/>
    <cellStyle name="Comma 19" xfId="2094" xr:uid="{00000000-0005-0000-0000-00005C040000}"/>
    <cellStyle name="Comma 2" xfId="430" xr:uid="{00000000-0005-0000-0000-00005D040000}"/>
    <cellStyle name="Comma 2 2" xfId="628" xr:uid="{00000000-0005-0000-0000-00005E040000}"/>
    <cellStyle name="Comma 2 2 2" xfId="925" xr:uid="{00000000-0005-0000-0000-00005F040000}"/>
    <cellStyle name="Comma 2 2 2 2" xfId="2847" xr:uid="{D81628D1-3F95-472F-8CC3-49176DDC5BB9}"/>
    <cellStyle name="Comma 2 2 2 3" xfId="2827" xr:uid="{561696D6-2479-4E06-A03C-F24E837541F0}"/>
    <cellStyle name="Comma 2 2 3" xfId="2096" xr:uid="{00000000-0005-0000-0000-000060040000}"/>
    <cellStyle name="Comma 2 2 4" xfId="2095" xr:uid="{00000000-0005-0000-0000-000061040000}"/>
    <cellStyle name="Comma 2 2 5" xfId="2886" xr:uid="{56517431-3397-4CC0-B6A2-7CA631ADE6B0}"/>
    <cellStyle name="Comma 2 2 6" xfId="2934" xr:uid="{AB7C0677-4397-4150-912C-4F7FD955F9A5}"/>
    <cellStyle name="Comma 2 3" xfId="924" xr:uid="{00000000-0005-0000-0000-000062040000}"/>
    <cellStyle name="Comma 2 3 2" xfId="2674" xr:uid="{00000000-0005-0000-0000-000063040000}"/>
    <cellStyle name="Comma 2 3 3" xfId="2673" xr:uid="{00000000-0005-0000-0000-000064040000}"/>
    <cellStyle name="Comma 2 3 4" xfId="2957" xr:uid="{E1A5405F-A7AA-4C98-9DBA-6112D8501C7A}"/>
    <cellStyle name="Comma 2 4" xfId="2097" xr:uid="{00000000-0005-0000-0000-000065040000}"/>
    <cellStyle name="Comma 2 4 2" xfId="2675" xr:uid="{00000000-0005-0000-0000-000066040000}"/>
    <cellStyle name="Comma 2 5" xfId="2098" xr:uid="{00000000-0005-0000-0000-000067040000}"/>
    <cellStyle name="Comma 2 6" xfId="2834" xr:uid="{66B84918-EA8D-419B-92ED-CC3FFC3B86FE}"/>
    <cellStyle name="Comma 2 7" xfId="2929" xr:uid="{602D83ED-B925-4292-83C1-8512B75ABE0F}"/>
    <cellStyle name="Comma 2_Allocators" xfId="2099" xr:uid="{00000000-0005-0000-0000-000068040000}"/>
    <cellStyle name="Comma 20" xfId="2100" xr:uid="{00000000-0005-0000-0000-000069040000}"/>
    <cellStyle name="Comma 20 2" xfId="2101" xr:uid="{00000000-0005-0000-0000-00006A040000}"/>
    <cellStyle name="Comma 20 2 2" xfId="2102" xr:uid="{00000000-0005-0000-0000-00006B040000}"/>
    <cellStyle name="Comma 20 2 2 2" xfId="2103" xr:uid="{00000000-0005-0000-0000-00006C040000}"/>
    <cellStyle name="Comma 20 2 3" xfId="2104" xr:uid="{00000000-0005-0000-0000-00006D040000}"/>
    <cellStyle name="Comma 20 3" xfId="2105" xr:uid="{00000000-0005-0000-0000-00006E040000}"/>
    <cellStyle name="Comma 20 3 2" xfId="2106" xr:uid="{00000000-0005-0000-0000-00006F040000}"/>
    <cellStyle name="Comma 20 3 2 2" xfId="2107" xr:uid="{00000000-0005-0000-0000-000070040000}"/>
    <cellStyle name="Comma 20 3 3" xfId="2108" xr:uid="{00000000-0005-0000-0000-000071040000}"/>
    <cellStyle name="Comma 20 4" xfId="2109" xr:uid="{00000000-0005-0000-0000-000072040000}"/>
    <cellStyle name="Comma 20 4 2" xfId="2110" xr:uid="{00000000-0005-0000-0000-000073040000}"/>
    <cellStyle name="Comma 20 5" xfId="2111" xr:uid="{00000000-0005-0000-0000-000074040000}"/>
    <cellStyle name="Comma 20 6" xfId="2573" xr:uid="{00000000-0005-0000-0000-000075040000}"/>
    <cellStyle name="Comma 21" xfId="2112" xr:uid="{00000000-0005-0000-0000-000076040000}"/>
    <cellStyle name="Comma 22" xfId="2074" xr:uid="{00000000-0005-0000-0000-000077040000}"/>
    <cellStyle name="Comma 22 2" xfId="2574" xr:uid="{00000000-0005-0000-0000-000078040000}"/>
    <cellStyle name="Comma 23" xfId="2575" xr:uid="{00000000-0005-0000-0000-000079040000}"/>
    <cellStyle name="Comma 24" xfId="2567" xr:uid="{00000000-0005-0000-0000-00007A040000}"/>
    <cellStyle name="Comma 25" xfId="2616" xr:uid="{00000000-0005-0000-0000-00007B040000}"/>
    <cellStyle name="Comma 26" xfId="2627" xr:uid="{00000000-0005-0000-0000-00007C040000}"/>
    <cellStyle name="Comma 27" xfId="2632" xr:uid="{00000000-0005-0000-0000-00007D040000}"/>
    <cellStyle name="Comma 28" xfId="2645" xr:uid="{00000000-0005-0000-0000-00007E040000}"/>
    <cellStyle name="Comma 29" xfId="2650" xr:uid="{00000000-0005-0000-0000-00007F040000}"/>
    <cellStyle name="Comma 29 2" xfId="2803" xr:uid="{00000000-0005-0000-0000-000080040000}"/>
    <cellStyle name="Comma 29 2 2" xfId="2811" xr:uid="{00000000-0005-0000-0000-000081040000}"/>
    <cellStyle name="Comma 3" xfId="431" xr:uid="{00000000-0005-0000-0000-000082040000}"/>
    <cellStyle name="Comma 3 10" xfId="2113" xr:uid="{00000000-0005-0000-0000-000083040000}"/>
    <cellStyle name="Comma 3 10 2" xfId="2114" xr:uid="{00000000-0005-0000-0000-000084040000}"/>
    <cellStyle name="Comma 3 10 2 2" xfId="2115" xr:uid="{00000000-0005-0000-0000-000085040000}"/>
    <cellStyle name="Comma 3 10 2 2 2" xfId="2116" xr:uid="{00000000-0005-0000-0000-000086040000}"/>
    <cellStyle name="Comma 3 10 2 3" xfId="2117" xr:uid="{00000000-0005-0000-0000-000087040000}"/>
    <cellStyle name="Comma 3 10 3" xfId="2118" xr:uid="{00000000-0005-0000-0000-000088040000}"/>
    <cellStyle name="Comma 3 10 3 2" xfId="2119" xr:uid="{00000000-0005-0000-0000-000089040000}"/>
    <cellStyle name="Comma 3 10 3 2 2" xfId="2120" xr:uid="{00000000-0005-0000-0000-00008A040000}"/>
    <cellStyle name="Comma 3 10 3 3" xfId="2121" xr:uid="{00000000-0005-0000-0000-00008B040000}"/>
    <cellStyle name="Comma 3 10 4" xfId="2122" xr:uid="{00000000-0005-0000-0000-00008C040000}"/>
    <cellStyle name="Comma 3 10 4 2" xfId="2123" xr:uid="{00000000-0005-0000-0000-00008D040000}"/>
    <cellStyle name="Comma 3 10 5" xfId="2124" xr:uid="{00000000-0005-0000-0000-00008E040000}"/>
    <cellStyle name="Comma 3 11" xfId="2125" xr:uid="{00000000-0005-0000-0000-00008F040000}"/>
    <cellStyle name="Comma 3 12" xfId="2126" xr:uid="{00000000-0005-0000-0000-000090040000}"/>
    <cellStyle name="Comma 3 12 2" xfId="2127" xr:uid="{00000000-0005-0000-0000-000091040000}"/>
    <cellStyle name="Comma 3 12 2 2" xfId="2128" xr:uid="{00000000-0005-0000-0000-000092040000}"/>
    <cellStyle name="Comma 3 12 3" xfId="2129" xr:uid="{00000000-0005-0000-0000-000093040000}"/>
    <cellStyle name="Comma 3 13" xfId="2130" xr:uid="{00000000-0005-0000-0000-000094040000}"/>
    <cellStyle name="Comma 3 14" xfId="2676" xr:uid="{00000000-0005-0000-0000-000095040000}"/>
    <cellStyle name="Comma 3 15" xfId="2932" xr:uid="{B179D018-D20E-4857-B2C1-87E0966285AE}"/>
    <cellStyle name="Comma 3 2" xfId="926" xr:uid="{00000000-0005-0000-0000-000096040000}"/>
    <cellStyle name="Comma 3 3" xfId="2131" xr:uid="{00000000-0005-0000-0000-000097040000}"/>
    <cellStyle name="Comma 3 4" xfId="2132" xr:uid="{00000000-0005-0000-0000-000098040000}"/>
    <cellStyle name="Comma 3 4 2" xfId="2133" xr:uid="{00000000-0005-0000-0000-000099040000}"/>
    <cellStyle name="Comma 3 4 2 2" xfId="2134" xr:uid="{00000000-0005-0000-0000-00009A040000}"/>
    <cellStyle name="Comma 3 4 2 2 2" xfId="2135" xr:uid="{00000000-0005-0000-0000-00009B040000}"/>
    <cellStyle name="Comma 3 4 2 3" xfId="2136" xr:uid="{00000000-0005-0000-0000-00009C040000}"/>
    <cellStyle name="Comma 3 4 3" xfId="2137" xr:uid="{00000000-0005-0000-0000-00009D040000}"/>
    <cellStyle name="Comma 3 4 3 2" xfId="2138" xr:uid="{00000000-0005-0000-0000-00009E040000}"/>
    <cellStyle name="Comma 3 4 3 2 2" xfId="2139" xr:uid="{00000000-0005-0000-0000-00009F040000}"/>
    <cellStyle name="Comma 3 4 3 3" xfId="2140" xr:uid="{00000000-0005-0000-0000-0000A0040000}"/>
    <cellStyle name="Comma 3 4 4" xfId="2141" xr:uid="{00000000-0005-0000-0000-0000A1040000}"/>
    <cellStyle name="Comma 3 4 4 2" xfId="2142" xr:uid="{00000000-0005-0000-0000-0000A2040000}"/>
    <cellStyle name="Comma 3 4 5" xfId="2143" xr:uid="{00000000-0005-0000-0000-0000A3040000}"/>
    <cellStyle name="Comma 3 5" xfId="2144" xr:uid="{00000000-0005-0000-0000-0000A4040000}"/>
    <cellStyle name="Comma 3 5 2" xfId="2145" xr:uid="{00000000-0005-0000-0000-0000A5040000}"/>
    <cellStyle name="Comma 3 5 2 2" xfId="2146" xr:uid="{00000000-0005-0000-0000-0000A6040000}"/>
    <cellStyle name="Comma 3 5 2 2 2" xfId="2147" xr:uid="{00000000-0005-0000-0000-0000A7040000}"/>
    <cellStyle name="Comma 3 5 2 3" xfId="2148" xr:uid="{00000000-0005-0000-0000-0000A8040000}"/>
    <cellStyle name="Comma 3 5 3" xfId="2149" xr:uid="{00000000-0005-0000-0000-0000A9040000}"/>
    <cellStyle name="Comma 3 5 3 2" xfId="2150" xr:uid="{00000000-0005-0000-0000-0000AA040000}"/>
    <cellStyle name="Comma 3 5 3 2 2" xfId="2151" xr:uid="{00000000-0005-0000-0000-0000AB040000}"/>
    <cellStyle name="Comma 3 5 3 3" xfId="2152" xr:uid="{00000000-0005-0000-0000-0000AC040000}"/>
    <cellStyle name="Comma 3 5 4" xfId="2153" xr:uid="{00000000-0005-0000-0000-0000AD040000}"/>
    <cellStyle name="Comma 3 5 4 2" xfId="2154" xr:uid="{00000000-0005-0000-0000-0000AE040000}"/>
    <cellStyle name="Comma 3 5 5" xfId="2155" xr:uid="{00000000-0005-0000-0000-0000AF040000}"/>
    <cellStyle name="Comma 3 6" xfId="2156" xr:uid="{00000000-0005-0000-0000-0000B0040000}"/>
    <cellStyle name="Comma 3 6 2" xfId="2157" xr:uid="{00000000-0005-0000-0000-0000B1040000}"/>
    <cellStyle name="Comma 3 6 2 2" xfId="2158" xr:uid="{00000000-0005-0000-0000-0000B2040000}"/>
    <cellStyle name="Comma 3 6 2 2 2" xfId="2159" xr:uid="{00000000-0005-0000-0000-0000B3040000}"/>
    <cellStyle name="Comma 3 6 2 3" xfId="2160" xr:uid="{00000000-0005-0000-0000-0000B4040000}"/>
    <cellStyle name="Comma 3 6 3" xfId="2161" xr:uid="{00000000-0005-0000-0000-0000B5040000}"/>
    <cellStyle name="Comma 3 6 3 2" xfId="2162" xr:uid="{00000000-0005-0000-0000-0000B6040000}"/>
    <cellStyle name="Comma 3 6 3 2 2" xfId="2163" xr:uid="{00000000-0005-0000-0000-0000B7040000}"/>
    <cellStyle name="Comma 3 6 3 3" xfId="2164" xr:uid="{00000000-0005-0000-0000-0000B8040000}"/>
    <cellStyle name="Comma 3 6 4" xfId="2165" xr:uid="{00000000-0005-0000-0000-0000B9040000}"/>
    <cellStyle name="Comma 3 6 4 2" xfId="2166" xr:uid="{00000000-0005-0000-0000-0000BA040000}"/>
    <cellStyle name="Comma 3 6 5" xfId="2167" xr:uid="{00000000-0005-0000-0000-0000BB040000}"/>
    <cellStyle name="Comma 3 7" xfId="2168" xr:uid="{00000000-0005-0000-0000-0000BC040000}"/>
    <cellStyle name="Comma 3 7 2" xfId="2169" xr:uid="{00000000-0005-0000-0000-0000BD040000}"/>
    <cellStyle name="Comma 3 7 2 2" xfId="2170" xr:uid="{00000000-0005-0000-0000-0000BE040000}"/>
    <cellStyle name="Comma 3 7 2 2 2" xfId="2171" xr:uid="{00000000-0005-0000-0000-0000BF040000}"/>
    <cellStyle name="Comma 3 7 2 3" xfId="2172" xr:uid="{00000000-0005-0000-0000-0000C0040000}"/>
    <cellStyle name="Comma 3 7 3" xfId="2173" xr:uid="{00000000-0005-0000-0000-0000C1040000}"/>
    <cellStyle name="Comma 3 7 3 2" xfId="2174" xr:uid="{00000000-0005-0000-0000-0000C2040000}"/>
    <cellStyle name="Comma 3 7 3 2 2" xfId="2175" xr:uid="{00000000-0005-0000-0000-0000C3040000}"/>
    <cellStyle name="Comma 3 7 3 3" xfId="2176" xr:uid="{00000000-0005-0000-0000-0000C4040000}"/>
    <cellStyle name="Comma 3 7 4" xfId="2177" xr:uid="{00000000-0005-0000-0000-0000C5040000}"/>
    <cellStyle name="Comma 3 7 4 2" xfId="2178" xr:uid="{00000000-0005-0000-0000-0000C6040000}"/>
    <cellStyle name="Comma 3 7 5" xfId="2179" xr:uid="{00000000-0005-0000-0000-0000C7040000}"/>
    <cellStyle name="Comma 3 8" xfId="2180" xr:uid="{00000000-0005-0000-0000-0000C8040000}"/>
    <cellStyle name="Comma 3 8 2" xfId="2181" xr:uid="{00000000-0005-0000-0000-0000C9040000}"/>
    <cellStyle name="Comma 3 8 2 2" xfId="2182" xr:uid="{00000000-0005-0000-0000-0000CA040000}"/>
    <cellStyle name="Comma 3 8 2 2 2" xfId="2183" xr:uid="{00000000-0005-0000-0000-0000CB040000}"/>
    <cellStyle name="Comma 3 8 2 3" xfId="2184" xr:uid="{00000000-0005-0000-0000-0000CC040000}"/>
    <cellStyle name="Comma 3 8 3" xfId="2185" xr:uid="{00000000-0005-0000-0000-0000CD040000}"/>
    <cellStyle name="Comma 3 8 3 2" xfId="2186" xr:uid="{00000000-0005-0000-0000-0000CE040000}"/>
    <cellStyle name="Comma 3 8 3 2 2" xfId="2187" xr:uid="{00000000-0005-0000-0000-0000CF040000}"/>
    <cellStyle name="Comma 3 8 3 3" xfId="2188" xr:uid="{00000000-0005-0000-0000-0000D0040000}"/>
    <cellStyle name="Comma 3 8 4" xfId="2189" xr:uid="{00000000-0005-0000-0000-0000D1040000}"/>
    <cellStyle name="Comma 3 8 4 2" xfId="2190" xr:uid="{00000000-0005-0000-0000-0000D2040000}"/>
    <cellStyle name="Comma 3 8 5" xfId="2191" xr:uid="{00000000-0005-0000-0000-0000D3040000}"/>
    <cellStyle name="Comma 3 9" xfId="2192" xr:uid="{00000000-0005-0000-0000-0000D4040000}"/>
    <cellStyle name="Comma 3 9 2" xfId="2193" xr:uid="{00000000-0005-0000-0000-0000D5040000}"/>
    <cellStyle name="Comma 3 9 2 2" xfId="2194" xr:uid="{00000000-0005-0000-0000-0000D6040000}"/>
    <cellStyle name="Comma 3 9 2 2 2" xfId="2195" xr:uid="{00000000-0005-0000-0000-0000D7040000}"/>
    <cellStyle name="Comma 3 9 2 3" xfId="2196" xr:uid="{00000000-0005-0000-0000-0000D8040000}"/>
    <cellStyle name="Comma 3 9 3" xfId="2197" xr:uid="{00000000-0005-0000-0000-0000D9040000}"/>
    <cellStyle name="Comma 3 9 3 2" xfId="2198" xr:uid="{00000000-0005-0000-0000-0000DA040000}"/>
    <cellStyle name="Comma 3 9 3 2 2" xfId="2199" xr:uid="{00000000-0005-0000-0000-0000DB040000}"/>
    <cellStyle name="Comma 3 9 3 3" xfId="2200" xr:uid="{00000000-0005-0000-0000-0000DC040000}"/>
    <cellStyle name="Comma 3 9 4" xfId="2201" xr:uid="{00000000-0005-0000-0000-0000DD040000}"/>
    <cellStyle name="Comma 3 9 4 2" xfId="2202" xr:uid="{00000000-0005-0000-0000-0000DE040000}"/>
    <cellStyle name="Comma 3 9 5" xfId="2203" xr:uid="{00000000-0005-0000-0000-0000DF040000}"/>
    <cellStyle name="Comma 30" xfId="2662" xr:uid="{00000000-0005-0000-0000-0000E0040000}"/>
    <cellStyle name="Comma 31" xfId="2736" xr:uid="{00000000-0005-0000-0000-0000E1040000}"/>
    <cellStyle name="Comma 32" xfId="2751" xr:uid="{00000000-0005-0000-0000-0000E2040000}"/>
    <cellStyle name="Comma 33" xfId="2754" xr:uid="{00000000-0005-0000-0000-0000E3040000}"/>
    <cellStyle name="Comma 34" xfId="2756" xr:uid="{00000000-0005-0000-0000-0000E4040000}"/>
    <cellStyle name="Comma 35" xfId="2759" xr:uid="{00000000-0005-0000-0000-0000E5040000}"/>
    <cellStyle name="Comma 36" xfId="2770" xr:uid="{00000000-0005-0000-0000-0000E6040000}"/>
    <cellStyle name="Comma 37" xfId="2774" xr:uid="{00000000-0005-0000-0000-0000E7040000}"/>
    <cellStyle name="Comma 38" xfId="2793" xr:uid="{00000000-0005-0000-0000-0000E8040000}"/>
    <cellStyle name="Comma 39" xfId="2796" xr:uid="{00000000-0005-0000-0000-0000E9040000}"/>
    <cellStyle name="Comma 4" xfId="618" xr:uid="{00000000-0005-0000-0000-0000EA040000}"/>
    <cellStyle name="Comma 4 2" xfId="927" xr:uid="{00000000-0005-0000-0000-0000EB040000}"/>
    <cellStyle name="Comma 4 2 2" xfId="2840" xr:uid="{4F60FB38-822D-432F-ADB7-2ADB1A50E525}"/>
    <cellStyle name="Comma 4 3" xfId="2204" xr:uid="{00000000-0005-0000-0000-0000EC040000}"/>
    <cellStyle name="Comma 4 4" xfId="2205" xr:uid="{00000000-0005-0000-0000-0000ED040000}"/>
    <cellStyle name="Comma 4 5" xfId="2576" xr:uid="{00000000-0005-0000-0000-0000EE040000}"/>
    <cellStyle name="Comma 4 6" xfId="2804" xr:uid="{00000000-0005-0000-0000-0000EF040000}"/>
    <cellStyle name="Comma 4 7" xfId="2812" xr:uid="{00000000-0005-0000-0000-0000F0040000}"/>
    <cellStyle name="Comma 4 8" xfId="2939" xr:uid="{DFD5249F-1BFD-4478-9805-4241E21CBC1D}"/>
    <cellStyle name="Comma 40" xfId="2798" xr:uid="{00000000-0005-0000-0000-0000F1040000}"/>
    <cellStyle name="Comma 41" xfId="2773" xr:uid="{00000000-0005-0000-0000-0000F2040000}"/>
    <cellStyle name="Comma 42" xfId="2800" xr:uid="{00000000-0005-0000-0000-0000F3040000}"/>
    <cellStyle name="Comma 43" xfId="2817" xr:uid="{A33A3F6D-FBF1-41BE-B003-EF4359449B00}"/>
    <cellStyle name="Comma 44" xfId="2919" xr:uid="{FC6CF595-E841-485D-83D9-FE5BCA07C84F}"/>
    <cellStyle name="Comma 5" xfId="622" xr:uid="{00000000-0005-0000-0000-0000F4040000}"/>
    <cellStyle name="Comma 5 2" xfId="928" xr:uid="{00000000-0005-0000-0000-0000F5040000}"/>
    <cellStyle name="Comma 5 2 2" xfId="2578" xr:uid="{00000000-0005-0000-0000-0000F6040000}"/>
    <cellStyle name="Comma 5 2 2 2 2 2" xfId="2822" xr:uid="{C5EC4D44-EDAB-471D-BA96-E3242E2E5D0B}"/>
    <cellStyle name="Comma 5 3" xfId="2206" xr:uid="{00000000-0005-0000-0000-0000F7040000}"/>
    <cellStyle name="Comma 5 4" xfId="2577" xr:uid="{00000000-0005-0000-0000-0000F8040000}"/>
    <cellStyle name="Comma 5 5" xfId="2896" xr:uid="{638F0F4A-D1EF-4A1E-B63B-1EFE94924A49}"/>
    <cellStyle name="Comma 6" xfId="621" xr:uid="{00000000-0005-0000-0000-0000F9040000}"/>
    <cellStyle name="Comma 6 2" xfId="929" xr:uid="{00000000-0005-0000-0000-0000FA040000}"/>
    <cellStyle name="Comma 6 3" xfId="2907" xr:uid="{7DE78513-FB4E-4BD0-9A1B-0583D86C7288}"/>
    <cellStyle name="Comma 7" xfId="643" xr:uid="{00000000-0005-0000-0000-0000FB040000}"/>
    <cellStyle name="Comma 7 2" xfId="930" xr:uid="{00000000-0005-0000-0000-0000FC040000}"/>
    <cellStyle name="Comma 7 2 9" xfId="2850" xr:uid="{8C9AC677-0C49-420E-8627-87A77BDB1429}"/>
    <cellStyle name="Comma 7 3" xfId="2908" xr:uid="{7C4A0FA3-2F12-4743-AE6E-88B81C74561D}"/>
    <cellStyle name="Comma 8" xfId="640" xr:uid="{00000000-0005-0000-0000-0000FD040000}"/>
    <cellStyle name="Comma 8 2" xfId="931" xr:uid="{00000000-0005-0000-0000-0000FE040000}"/>
    <cellStyle name="Comma 8 3" xfId="2913" xr:uid="{F4EEE506-F3CB-4E20-A03D-CBB746F62D97}"/>
    <cellStyle name="Comma 9" xfId="641" xr:uid="{00000000-0005-0000-0000-0000FF040000}"/>
    <cellStyle name="Comma 9 2" xfId="932" xr:uid="{00000000-0005-0000-0000-000000050000}"/>
    <cellStyle name="Comma 9 3" xfId="2914" xr:uid="{313A85A3-CA31-4EC4-B5E5-5B76D698CA90}"/>
    <cellStyle name="Comma0" xfId="432" xr:uid="{00000000-0005-0000-0000-000001050000}"/>
    <cellStyle name="Comma0 - Style3" xfId="433" xr:uid="{00000000-0005-0000-0000-000002050000}"/>
    <cellStyle name="Comma0 - Style3 2" xfId="934" xr:uid="{00000000-0005-0000-0000-000003050000}"/>
    <cellStyle name="Comma0 10" xfId="1902" xr:uid="{00000000-0005-0000-0000-000004050000}"/>
    <cellStyle name="Comma0 11" xfId="1827" xr:uid="{00000000-0005-0000-0000-000005050000}"/>
    <cellStyle name="Comma0 12" xfId="1901" xr:uid="{00000000-0005-0000-0000-000006050000}"/>
    <cellStyle name="Comma0 13" xfId="2677" xr:uid="{00000000-0005-0000-0000-000007050000}"/>
    <cellStyle name="Comma0 14" xfId="2730" xr:uid="{00000000-0005-0000-0000-000008050000}"/>
    <cellStyle name="Comma0 2" xfId="935" xr:uid="{00000000-0005-0000-0000-000009050000}"/>
    <cellStyle name="Comma0 3" xfId="936" xr:uid="{00000000-0005-0000-0000-00000A050000}"/>
    <cellStyle name="Comma0 4" xfId="937" xr:uid="{00000000-0005-0000-0000-00000B050000}"/>
    <cellStyle name="Comma0 5" xfId="938" xr:uid="{00000000-0005-0000-0000-00000C050000}"/>
    <cellStyle name="Comma0 6" xfId="933" xr:uid="{00000000-0005-0000-0000-00000D050000}"/>
    <cellStyle name="Comma0 7" xfId="1811" xr:uid="{00000000-0005-0000-0000-00000E050000}"/>
    <cellStyle name="Comma0 8" xfId="1903" xr:uid="{00000000-0005-0000-0000-00000F050000}"/>
    <cellStyle name="Comma0 9" xfId="1820" xr:uid="{00000000-0005-0000-0000-000010050000}"/>
    <cellStyle name="Comma0_AEP DSO Calcs Collection Curve Worksheet Sent to Brian Dunaway" xfId="939" xr:uid="{00000000-0005-0000-0000-000011050000}"/>
    <cellStyle name="CommaBlank" xfId="434" xr:uid="{00000000-0005-0000-0000-000012050000}"/>
    <cellStyle name="CommaBlank 2" xfId="1907" xr:uid="{00000000-0005-0000-0000-000013050000}"/>
    <cellStyle name="CompanyName" xfId="940" xr:uid="{00000000-0005-0000-0000-000014050000}"/>
    <cellStyle name="Constant" xfId="435" xr:uid="{00000000-0005-0000-0000-000015050000}"/>
    <cellStyle name="Cost" xfId="941" xr:uid="{00000000-0005-0000-0000-000016050000}"/>
    <cellStyle name="Cost 2" xfId="942" xr:uid="{00000000-0005-0000-0000-000017050000}"/>
    <cellStyle name="Cost 3" xfId="943" xr:uid="{00000000-0005-0000-0000-000018050000}"/>
    <cellStyle name="Cost 4" xfId="944" xr:uid="{00000000-0005-0000-0000-000019050000}"/>
    <cellStyle name="Cover Date" xfId="945" xr:uid="{00000000-0005-0000-0000-00001A050000}"/>
    <cellStyle name="Cover Subtitle" xfId="946" xr:uid="{00000000-0005-0000-0000-00001B050000}"/>
    <cellStyle name="Cover Title" xfId="947" xr:uid="{00000000-0005-0000-0000-00001C050000}"/>
    <cellStyle name="Currency" xfId="436" builtinId="4"/>
    <cellStyle name="Currency (1)" xfId="949" xr:uid="{00000000-0005-0000-0000-00001E050000}"/>
    <cellStyle name="Currency (1) 2" xfId="950" xr:uid="{00000000-0005-0000-0000-00001F050000}"/>
    <cellStyle name="Currency [1]" xfId="437" xr:uid="{00000000-0005-0000-0000-000020050000}"/>
    <cellStyle name="Currency [1] 2" xfId="951" xr:uid="{00000000-0005-0000-0000-000021050000}"/>
    <cellStyle name="Currency [2]" xfId="438" xr:uid="{00000000-0005-0000-0000-000022050000}"/>
    <cellStyle name="Currency [2] 2" xfId="952" xr:uid="{00000000-0005-0000-0000-000023050000}"/>
    <cellStyle name="Currency [2] 3" xfId="1873" xr:uid="{00000000-0005-0000-0000-000024050000}"/>
    <cellStyle name="Currency [3]" xfId="439" xr:uid="{00000000-0005-0000-0000-000025050000}"/>
    <cellStyle name="Currency 0" xfId="440" xr:uid="{00000000-0005-0000-0000-000026050000}"/>
    <cellStyle name="Currency 10" xfId="645" xr:uid="{00000000-0005-0000-0000-000027050000}"/>
    <cellStyle name="Currency 10 2" xfId="2209" xr:uid="{00000000-0005-0000-0000-000028050000}"/>
    <cellStyle name="Currency 10 2 2" xfId="2210" xr:uid="{00000000-0005-0000-0000-000029050000}"/>
    <cellStyle name="Currency 10 2 2 2" xfId="2211" xr:uid="{00000000-0005-0000-0000-00002A050000}"/>
    <cellStyle name="Currency 10 2 3" xfId="2212" xr:uid="{00000000-0005-0000-0000-00002B050000}"/>
    <cellStyle name="Currency 10 3" xfId="2213" xr:uid="{00000000-0005-0000-0000-00002C050000}"/>
    <cellStyle name="Currency 10 3 2" xfId="2214" xr:uid="{00000000-0005-0000-0000-00002D050000}"/>
    <cellStyle name="Currency 10 3 2 2" xfId="2215" xr:uid="{00000000-0005-0000-0000-00002E050000}"/>
    <cellStyle name="Currency 10 3 3" xfId="2216" xr:uid="{00000000-0005-0000-0000-00002F050000}"/>
    <cellStyle name="Currency 10 4" xfId="2217" xr:uid="{00000000-0005-0000-0000-000030050000}"/>
    <cellStyle name="Currency 10 4 2" xfId="2218" xr:uid="{00000000-0005-0000-0000-000031050000}"/>
    <cellStyle name="Currency 10 5" xfId="2219" xr:uid="{00000000-0005-0000-0000-000032050000}"/>
    <cellStyle name="Currency 10 6" xfId="2208" xr:uid="{00000000-0005-0000-0000-000033050000}"/>
    <cellStyle name="Currency 11" xfId="635" xr:uid="{00000000-0005-0000-0000-000034050000}"/>
    <cellStyle name="Currency 11 2" xfId="2220" xr:uid="{00000000-0005-0000-0000-000035050000}"/>
    <cellStyle name="Currency 12" xfId="1917" xr:uid="{00000000-0005-0000-0000-000036050000}"/>
    <cellStyle name="Currency 13" xfId="2207" xr:uid="{00000000-0005-0000-0000-000037050000}"/>
    <cellStyle name="Currency 13 2" xfId="2891" xr:uid="{EAEFFB02-1C9D-42D9-B370-53C215408192}"/>
    <cellStyle name="Currency 14" xfId="2580" xr:uid="{00000000-0005-0000-0000-000038050000}"/>
    <cellStyle name="Currency 15" xfId="2606" xr:uid="{00000000-0005-0000-0000-000039050000}"/>
    <cellStyle name="Currency 16" xfId="2626" xr:uid="{00000000-0005-0000-0000-00003A050000}"/>
    <cellStyle name="Currency 17" xfId="2633" xr:uid="{00000000-0005-0000-0000-00003B050000}"/>
    <cellStyle name="Currency 18" xfId="2644" xr:uid="{00000000-0005-0000-0000-00003C050000}"/>
    <cellStyle name="Currency 19" xfId="2651" xr:uid="{00000000-0005-0000-0000-00003D050000}"/>
    <cellStyle name="Currency 2" xfId="441" xr:uid="{00000000-0005-0000-0000-00003E050000}"/>
    <cellStyle name="Currency 2 11" xfId="2820" xr:uid="{642DAED7-A4C2-423D-B4DF-A05EC45ED02B}"/>
    <cellStyle name="Currency 2 2" xfId="2222" xr:uid="{00000000-0005-0000-0000-00003F050000}"/>
    <cellStyle name="Currency 2 3" xfId="2223" xr:uid="{00000000-0005-0000-0000-000040050000}"/>
    <cellStyle name="Currency 2 3 2" xfId="2679" xr:uid="{00000000-0005-0000-0000-000041050000}"/>
    <cellStyle name="Currency 2 3 3" xfId="2678" xr:uid="{00000000-0005-0000-0000-000042050000}"/>
    <cellStyle name="Currency 2 4" xfId="2224" xr:uid="{00000000-0005-0000-0000-000043050000}"/>
    <cellStyle name="Currency 2 5" xfId="2221" xr:uid="{00000000-0005-0000-0000-000044050000}"/>
    <cellStyle name="Currency 2 5 2" xfId="2680" xr:uid="{00000000-0005-0000-0000-000045050000}"/>
    <cellStyle name="Currency 2 6" xfId="2893" xr:uid="{CC3C472D-41E2-470B-8F31-762206FF9D25}"/>
    <cellStyle name="Currency 20" xfId="2663" xr:uid="{00000000-0005-0000-0000-000046050000}"/>
    <cellStyle name="Currency 21" xfId="2738" xr:uid="{00000000-0005-0000-0000-000047050000}"/>
    <cellStyle name="Currency 22" xfId="2749" xr:uid="{00000000-0005-0000-0000-000048050000}"/>
    <cellStyle name="Currency 23" xfId="2737" xr:uid="{00000000-0005-0000-0000-000049050000}"/>
    <cellStyle name="Currency 24" xfId="2750" xr:uid="{00000000-0005-0000-0000-00004A050000}"/>
    <cellStyle name="Currency 25" xfId="2760" xr:uid="{00000000-0005-0000-0000-00004B050000}"/>
    <cellStyle name="Currency 26" xfId="2769" xr:uid="{00000000-0005-0000-0000-00004C050000}"/>
    <cellStyle name="Currency 27" xfId="2776" xr:uid="{00000000-0005-0000-0000-00004D050000}"/>
    <cellStyle name="Currency 28" xfId="2790" xr:uid="{00000000-0005-0000-0000-00004E050000}"/>
    <cellStyle name="Currency 29" xfId="2775" xr:uid="{00000000-0005-0000-0000-00004F050000}"/>
    <cellStyle name="Currency 3" xfId="442" xr:uid="{00000000-0005-0000-0000-000050050000}"/>
    <cellStyle name="Currency 3 10" xfId="2664" xr:uid="{00000000-0005-0000-0000-000051050000}"/>
    <cellStyle name="Currency 3 11" xfId="2739" xr:uid="{00000000-0005-0000-0000-000052050000}"/>
    <cellStyle name="Currency 3 12" xfId="2761" xr:uid="{00000000-0005-0000-0000-000053050000}"/>
    <cellStyle name="Currency 3 13" xfId="2777" xr:uid="{00000000-0005-0000-0000-000054050000}"/>
    <cellStyle name="Currency 3 2" xfId="953" xr:uid="{00000000-0005-0000-0000-000055050000}"/>
    <cellStyle name="Currency 3 3" xfId="2226" xr:uid="{00000000-0005-0000-0000-000056050000}"/>
    <cellStyle name="Currency 3 4" xfId="2227" xr:uid="{00000000-0005-0000-0000-000057050000}"/>
    <cellStyle name="Currency 3 5" xfId="2228" xr:uid="{00000000-0005-0000-0000-000058050000}"/>
    <cellStyle name="Currency 3 6" xfId="2225" xr:uid="{00000000-0005-0000-0000-000059050000}"/>
    <cellStyle name="Currency 3 7" xfId="2581" xr:uid="{00000000-0005-0000-0000-00005A050000}"/>
    <cellStyle name="Currency 3 8" xfId="2634" xr:uid="{00000000-0005-0000-0000-00005B050000}"/>
    <cellStyle name="Currency 3 9" xfId="2652" xr:uid="{00000000-0005-0000-0000-00005C050000}"/>
    <cellStyle name="Currency 30" xfId="2791" xr:uid="{00000000-0005-0000-0000-00005D050000}"/>
    <cellStyle name="Currency 31" xfId="2778" xr:uid="{00000000-0005-0000-0000-00005E050000}"/>
    <cellStyle name="Currency 32" xfId="2792" xr:uid="{00000000-0005-0000-0000-00005F050000}"/>
    <cellStyle name="Currency 33" xfId="2915" xr:uid="{DB2B18D4-401F-469D-9148-95FA1D476F08}"/>
    <cellStyle name="Currency 34" xfId="2945" xr:uid="{57366C80-D176-43A2-80C0-3416A3F8BB6D}"/>
    <cellStyle name="Currency 4" xfId="623" xr:uid="{00000000-0005-0000-0000-000060050000}"/>
    <cellStyle name="Currency 4 2" xfId="954" xr:uid="{00000000-0005-0000-0000-000061050000}"/>
    <cellStyle name="Currency 4 3" xfId="2230" xr:uid="{00000000-0005-0000-0000-000062050000}"/>
    <cellStyle name="Currency 4 4" xfId="2231" xr:uid="{00000000-0005-0000-0000-000063050000}"/>
    <cellStyle name="Currency 4 5" xfId="2229" xr:uid="{00000000-0005-0000-0000-000064050000}"/>
    <cellStyle name="Currency 5" xfId="620" xr:uid="{00000000-0005-0000-0000-000065050000}"/>
    <cellStyle name="Currency 5 2" xfId="955" xr:uid="{00000000-0005-0000-0000-000066050000}"/>
    <cellStyle name="Currency 5 3" xfId="2582" xr:uid="{00000000-0005-0000-0000-000067050000}"/>
    <cellStyle name="Currency 5 4" xfId="2635" xr:uid="{00000000-0005-0000-0000-000068050000}"/>
    <cellStyle name="Currency 5 5" xfId="2653" xr:uid="{00000000-0005-0000-0000-000069050000}"/>
    <cellStyle name="Currency 5 6" xfId="2665" xr:uid="{00000000-0005-0000-0000-00006A050000}"/>
    <cellStyle name="Currency 5 7" xfId="2740" xr:uid="{00000000-0005-0000-0000-00006B050000}"/>
    <cellStyle name="Currency 5 8" xfId="2762" xr:uid="{00000000-0005-0000-0000-00006C050000}"/>
    <cellStyle name="Currency 5 9" xfId="2779" xr:uid="{00000000-0005-0000-0000-00006D050000}"/>
    <cellStyle name="Currency 6" xfId="646" xr:uid="{00000000-0005-0000-0000-00006E050000}"/>
    <cellStyle name="Currency 6 2" xfId="956" xr:uid="{00000000-0005-0000-0000-00006F050000}"/>
    <cellStyle name="Currency 7" xfId="637" xr:uid="{00000000-0005-0000-0000-000070050000}"/>
    <cellStyle name="Currency 7 2" xfId="957" xr:uid="{00000000-0005-0000-0000-000071050000}"/>
    <cellStyle name="Currency 7 3" xfId="2232" xr:uid="{00000000-0005-0000-0000-000072050000}"/>
    <cellStyle name="Currency 8" xfId="644" xr:uid="{00000000-0005-0000-0000-000073050000}"/>
    <cellStyle name="Currency 8 2" xfId="1635" xr:uid="{00000000-0005-0000-0000-000074050000}"/>
    <cellStyle name="Currency 8 3" xfId="948" xr:uid="{00000000-0005-0000-0000-000075050000}"/>
    <cellStyle name="Currency 8 4" xfId="2233" xr:uid="{00000000-0005-0000-0000-000076050000}"/>
    <cellStyle name="Currency 9" xfId="636" xr:uid="{00000000-0005-0000-0000-000077050000}"/>
    <cellStyle name="Currency 9 2" xfId="2234" xr:uid="{00000000-0005-0000-0000-000078050000}"/>
    <cellStyle name="Currency0" xfId="443" xr:uid="{00000000-0005-0000-0000-000079050000}"/>
    <cellStyle name="Currency0 2" xfId="959" xr:uid="{00000000-0005-0000-0000-00007A050000}"/>
    <cellStyle name="Currency0 2 2" xfId="2958" xr:uid="{1C1B1B58-B660-426C-97F6-DCC57C990620}"/>
    <cellStyle name="Currency0 3" xfId="960" xr:uid="{00000000-0005-0000-0000-00007B050000}"/>
    <cellStyle name="Currency0 4" xfId="961" xr:uid="{00000000-0005-0000-0000-00007C050000}"/>
    <cellStyle name="Currency0 5" xfId="958" xr:uid="{00000000-0005-0000-0000-00007D050000}"/>
    <cellStyle name="d" xfId="962" xr:uid="{00000000-0005-0000-0000-00007E050000}"/>
    <cellStyle name="Dash" xfId="963" xr:uid="{00000000-0005-0000-0000-00007F050000}"/>
    <cellStyle name="Dash 2" xfId="964" xr:uid="{00000000-0005-0000-0000-000080050000}"/>
    <cellStyle name="DATA TYPE" xfId="444" xr:uid="{00000000-0005-0000-0000-000081050000}"/>
    <cellStyle name="Date" xfId="445" xr:uid="{00000000-0005-0000-0000-000082050000}"/>
    <cellStyle name="Date [mm-d-yyyy]" xfId="446" xr:uid="{00000000-0005-0000-0000-000083050000}"/>
    <cellStyle name="Date [mmm-d-yyyy]" xfId="447" xr:uid="{00000000-0005-0000-0000-000084050000}"/>
    <cellStyle name="Date [mmm-yyyy]" xfId="448" xr:uid="{00000000-0005-0000-0000-000085050000}"/>
    <cellStyle name="Date 10" xfId="1899" xr:uid="{00000000-0005-0000-0000-000086050000}"/>
    <cellStyle name="Date 11" xfId="1843" xr:uid="{00000000-0005-0000-0000-000087050000}"/>
    <cellStyle name="Date 12" xfId="1898" xr:uid="{00000000-0005-0000-0000-000088050000}"/>
    <cellStyle name="Date 13" xfId="2681" xr:uid="{00000000-0005-0000-0000-000089050000}"/>
    <cellStyle name="Date 14" xfId="2729" xr:uid="{00000000-0005-0000-0000-00008A050000}"/>
    <cellStyle name="Date 2" xfId="966" xr:uid="{00000000-0005-0000-0000-00008B050000}"/>
    <cellStyle name="Date 2 2" xfId="967" xr:uid="{00000000-0005-0000-0000-00008C050000}"/>
    <cellStyle name="Date 2 3" xfId="968" xr:uid="{00000000-0005-0000-0000-00008D050000}"/>
    <cellStyle name="Date 3" xfId="969" xr:uid="{00000000-0005-0000-0000-00008E050000}"/>
    <cellStyle name="Date 4" xfId="970" xr:uid="{00000000-0005-0000-0000-00008F050000}"/>
    <cellStyle name="Date 5" xfId="971" xr:uid="{00000000-0005-0000-0000-000090050000}"/>
    <cellStyle name="Date 6" xfId="965" xr:uid="{00000000-0005-0000-0000-000091050000}"/>
    <cellStyle name="Date 7" xfId="1837" xr:uid="{00000000-0005-0000-0000-000092050000}"/>
    <cellStyle name="Date 8" xfId="1900" xr:uid="{00000000-0005-0000-0000-000093050000}"/>
    <cellStyle name="Date 9" xfId="1841" xr:uid="{00000000-0005-0000-0000-000094050000}"/>
    <cellStyle name="Date Aligned" xfId="449" xr:uid="{00000000-0005-0000-0000-000095050000}"/>
    <cellStyle name="Date_$ FEL Managed View" xfId="450" xr:uid="{00000000-0005-0000-0000-000096050000}"/>
    <cellStyle name="Date2" xfId="451" xr:uid="{00000000-0005-0000-0000-000097050000}"/>
    <cellStyle name="Date2 2" xfId="973" xr:uid="{00000000-0005-0000-0000-000098050000}"/>
    <cellStyle name="Date2 3" xfId="974" xr:uid="{00000000-0005-0000-0000-000099050000}"/>
    <cellStyle name="Date2 4" xfId="975" xr:uid="{00000000-0005-0000-0000-00009A050000}"/>
    <cellStyle name="Date2 5" xfId="972" xr:uid="{00000000-0005-0000-0000-00009B050000}"/>
    <cellStyle name="DateFormat" xfId="976" xr:uid="{00000000-0005-0000-0000-00009C050000}"/>
    <cellStyle name="DateLong" xfId="452" xr:uid="{00000000-0005-0000-0000-00009D050000}"/>
    <cellStyle name="DateLong 2" xfId="1874" xr:uid="{00000000-0005-0000-0000-00009E050000}"/>
    <cellStyle name="DateShort" xfId="453" xr:uid="{00000000-0005-0000-0000-00009F050000}"/>
    <cellStyle name="Day" xfId="454" xr:uid="{00000000-0005-0000-0000-0000A0050000}"/>
    <cellStyle name="Day 2" xfId="1875" xr:uid="{00000000-0005-0000-0000-0000A1050000}"/>
    <cellStyle name="dd" xfId="977" xr:uid="{00000000-0005-0000-0000-0000A2050000}"/>
    <cellStyle name="ddd" xfId="978" xr:uid="{00000000-0005-0000-0000-0000A3050000}"/>
    <cellStyle name="decimal" xfId="455" xr:uid="{00000000-0005-0000-0000-0000A4050000}"/>
    <cellStyle name="Dezimal [0]_Compiling Utility Macros" xfId="456" xr:uid="{00000000-0005-0000-0000-0000A5050000}"/>
    <cellStyle name="Dezimal_Compiling Utility Macros" xfId="457" xr:uid="{00000000-0005-0000-0000-0000A6050000}"/>
    <cellStyle name="dohm" xfId="458" xr:uid="{00000000-0005-0000-0000-0000A7050000}"/>
    <cellStyle name="dohm1" xfId="459" xr:uid="{00000000-0005-0000-0000-0000A8050000}"/>
    <cellStyle name="dohm2" xfId="460" xr:uid="{00000000-0005-0000-0000-0000A9050000}"/>
    <cellStyle name="Dollar" xfId="979" xr:uid="{00000000-0005-0000-0000-0000AA050000}"/>
    <cellStyle name="Dollar 2" xfId="980" xr:uid="{00000000-0005-0000-0000-0000AB050000}"/>
    <cellStyle name="Dollar 3" xfId="981" xr:uid="{00000000-0005-0000-0000-0000AC050000}"/>
    <cellStyle name="Dollar 4" xfId="982" xr:uid="{00000000-0005-0000-0000-0000AD050000}"/>
    <cellStyle name="Dollar_Zero" xfId="461" xr:uid="{00000000-0005-0000-0000-0000AE050000}"/>
    <cellStyle name="Dollars" xfId="462" xr:uid="{00000000-0005-0000-0000-0000AF050000}"/>
    <cellStyle name="Dollars 2" xfId="983" xr:uid="{00000000-0005-0000-0000-0000B0050000}"/>
    <cellStyle name="Dotted Line" xfId="463" xr:uid="{00000000-0005-0000-0000-0000B1050000}"/>
    <cellStyle name="Double Accounting" xfId="984" xr:uid="{00000000-0005-0000-0000-0000B2050000}"/>
    <cellStyle name="dr" xfId="985" xr:uid="{00000000-0005-0000-0000-0000B3050000}"/>
    <cellStyle name="ds" xfId="986" xr:uid="{00000000-0005-0000-0000-0000B4050000}"/>
    <cellStyle name="Duration" xfId="987" xr:uid="{00000000-0005-0000-0000-0000B5050000}"/>
    <cellStyle name="ep" xfId="988" xr:uid="{00000000-0005-0000-0000-0000B6050000}"/>
    <cellStyle name="Escalation" xfId="464" xr:uid="{00000000-0005-0000-0000-0000B7050000}"/>
    <cellStyle name="Estimate" xfId="989" xr:uid="{00000000-0005-0000-0000-0000B8050000}"/>
    <cellStyle name="Euro" xfId="465" xr:uid="{00000000-0005-0000-0000-0000B9050000}"/>
    <cellStyle name="Euro 2" xfId="991" xr:uid="{00000000-0005-0000-0000-0000BA050000}"/>
    <cellStyle name="Euro 2 2" xfId="992" xr:uid="{00000000-0005-0000-0000-0000BB050000}"/>
    <cellStyle name="Euro 2 3" xfId="993" xr:uid="{00000000-0005-0000-0000-0000BC050000}"/>
    <cellStyle name="Euro 3" xfId="994" xr:uid="{00000000-0005-0000-0000-0000BD050000}"/>
    <cellStyle name="Euro 4" xfId="995" xr:uid="{00000000-0005-0000-0000-0000BE050000}"/>
    <cellStyle name="Euro 5" xfId="996" xr:uid="{00000000-0005-0000-0000-0000BF050000}"/>
    <cellStyle name="Euro 6" xfId="990" xr:uid="{00000000-0005-0000-0000-0000C0050000}"/>
    <cellStyle name="Euro 7" xfId="1876" xr:uid="{00000000-0005-0000-0000-0000C1050000}"/>
    <cellStyle name="Explanatory Text" xfId="466" builtinId="53" customBuiltin="1"/>
    <cellStyle name="Explanatory Text 2" xfId="467" xr:uid="{00000000-0005-0000-0000-0000C3050000}"/>
    <cellStyle name="Explanatory Text 2 2" xfId="997" xr:uid="{00000000-0005-0000-0000-0000C4050000}"/>
    <cellStyle name="Explanatory Text 3" xfId="2235" xr:uid="{00000000-0005-0000-0000-0000C5050000}"/>
    <cellStyle name="Explanatory Text 4" xfId="2236" xr:uid="{00000000-0005-0000-0000-0000C6050000}"/>
    <cellStyle name="Explanatory Text 5" xfId="2237" xr:uid="{00000000-0005-0000-0000-0000C7050000}"/>
    <cellStyle name="Explanatory Text 6" xfId="2238" xr:uid="{00000000-0005-0000-0000-0000C8050000}"/>
    <cellStyle name="extra" xfId="998" xr:uid="{00000000-0005-0000-0000-0000C9050000}"/>
    <cellStyle name="extra 2" xfId="999" xr:uid="{00000000-0005-0000-0000-0000CA050000}"/>
    <cellStyle name="f" xfId="1000" xr:uid="{00000000-0005-0000-0000-0000CB050000}"/>
    <cellStyle name="Factor" xfId="468" xr:uid="{00000000-0005-0000-0000-0000CC050000}"/>
    <cellStyle name="ff" xfId="1001" xr:uid="{00000000-0005-0000-0000-0000CD050000}"/>
    <cellStyle name="fff" xfId="1002" xr:uid="{00000000-0005-0000-0000-0000CE050000}"/>
    <cellStyle name="FilterCol" xfId="1003" xr:uid="{00000000-0005-0000-0000-0000CF050000}"/>
    <cellStyle name="FinClose" xfId="469" xr:uid="{00000000-0005-0000-0000-0000D0050000}"/>
    <cellStyle name="Fixed" xfId="470" xr:uid="{00000000-0005-0000-0000-0000D1050000}"/>
    <cellStyle name="Fixed [0]" xfId="471" xr:uid="{00000000-0005-0000-0000-0000D2050000}"/>
    <cellStyle name="Fixed [0] 2" xfId="1877" xr:uid="{00000000-0005-0000-0000-0000D3050000}"/>
    <cellStyle name="Fixed 10" xfId="1896" xr:uid="{00000000-0005-0000-0000-0000D4050000}"/>
    <cellStyle name="Fixed 11" xfId="1869" xr:uid="{00000000-0005-0000-0000-0000D5050000}"/>
    <cellStyle name="Fixed 12" xfId="1895" xr:uid="{00000000-0005-0000-0000-0000D6050000}"/>
    <cellStyle name="Fixed 13" xfId="2682" xr:uid="{00000000-0005-0000-0000-0000D7050000}"/>
    <cellStyle name="Fixed 14" xfId="2728" xr:uid="{00000000-0005-0000-0000-0000D8050000}"/>
    <cellStyle name="Fixed 2" xfId="1005" xr:uid="{00000000-0005-0000-0000-0000D9050000}"/>
    <cellStyle name="Fixed 2 2" xfId="1006" xr:uid="{00000000-0005-0000-0000-0000DA050000}"/>
    <cellStyle name="Fixed 2 3" xfId="1007" xr:uid="{00000000-0005-0000-0000-0000DB050000}"/>
    <cellStyle name="Fixed 3" xfId="1008" xr:uid="{00000000-0005-0000-0000-0000DC050000}"/>
    <cellStyle name="Fixed 4" xfId="1009" xr:uid="{00000000-0005-0000-0000-0000DD050000}"/>
    <cellStyle name="Fixed 5" xfId="1010" xr:uid="{00000000-0005-0000-0000-0000DE050000}"/>
    <cellStyle name="Fixed 6" xfId="1004" xr:uid="{00000000-0005-0000-0000-0000DF050000}"/>
    <cellStyle name="Fixed 7" xfId="1859" xr:uid="{00000000-0005-0000-0000-0000E0050000}"/>
    <cellStyle name="Fixed 8" xfId="1897" xr:uid="{00000000-0005-0000-0000-0000E1050000}"/>
    <cellStyle name="Fixed 9" xfId="1865" xr:uid="{00000000-0005-0000-0000-0000E2050000}"/>
    <cellStyle name="Fixed_$ FEL Managed View" xfId="472" xr:uid="{00000000-0005-0000-0000-0000E3050000}"/>
    <cellStyle name="Fixed2 - Style2" xfId="473" xr:uid="{00000000-0005-0000-0000-0000E4050000}"/>
    <cellStyle name="Fixed2 - Style2 2" xfId="1011" xr:uid="{00000000-0005-0000-0000-0000E5050000}"/>
    <cellStyle name="fn" xfId="1012" xr:uid="{00000000-0005-0000-0000-0000E6050000}"/>
    <cellStyle name="fn 2" xfId="1013" xr:uid="{00000000-0005-0000-0000-0000E7050000}"/>
    <cellStyle name="Font: Calibri, 9pt regular" xfId="2901" xr:uid="{FBD152F7-5D17-4B38-BE77-0E55A038B57B}"/>
    <cellStyle name="Footer SBILogo1" xfId="1014" xr:uid="{00000000-0005-0000-0000-0000E8050000}"/>
    <cellStyle name="Footer SBILogo2" xfId="1015" xr:uid="{00000000-0005-0000-0000-0000E9050000}"/>
    <cellStyle name="Footnote" xfId="474" xr:uid="{00000000-0005-0000-0000-0000EA050000}"/>
    <cellStyle name="Footnote 2" xfId="1017" xr:uid="{00000000-0005-0000-0000-0000EB050000}"/>
    <cellStyle name="Footnote 3" xfId="1016" xr:uid="{00000000-0005-0000-0000-0000EC050000}"/>
    <cellStyle name="Footnote Reference" xfId="1018" xr:uid="{00000000-0005-0000-0000-0000ED050000}"/>
    <cellStyle name="Footnote_AccessGroup 012509 v3" xfId="1019" xr:uid="{00000000-0005-0000-0000-0000EE050000}"/>
    <cellStyle name="Footnotes: top row" xfId="2902" xr:uid="{E2FDF3B4-A4F8-431B-8D3A-B7410DFBCAB1}"/>
    <cellStyle name="FRxAmtStyle" xfId="1020" xr:uid="{00000000-0005-0000-0000-0000EF050000}"/>
    <cellStyle name="FRxCurrStyle" xfId="1021" xr:uid="{00000000-0005-0000-0000-0000F0050000}"/>
    <cellStyle name="FRxPcntStyle" xfId="1022" xr:uid="{00000000-0005-0000-0000-0000F1050000}"/>
    <cellStyle name="FS_Zero" xfId="475" xr:uid="{00000000-0005-0000-0000-0000F2050000}"/>
    <cellStyle name="FS-Hist_Zero" xfId="476" xr:uid="{00000000-0005-0000-0000-0000F3050000}"/>
    <cellStyle name="FUEL SUBTOTAL" xfId="477" xr:uid="{00000000-0005-0000-0000-0000F4050000}"/>
    <cellStyle name="FUEL TYPE" xfId="478" xr:uid="{00000000-0005-0000-0000-0000F5050000}"/>
    <cellStyle name="general" xfId="479" xr:uid="{00000000-0005-0000-0000-0000F6050000}"/>
    <cellStyle name="Good" xfId="480" builtinId="26" customBuiltin="1"/>
    <cellStyle name="Good 2" xfId="481" xr:uid="{00000000-0005-0000-0000-0000F8050000}"/>
    <cellStyle name="Good 2 2" xfId="1023" xr:uid="{00000000-0005-0000-0000-0000F9050000}"/>
    <cellStyle name="Good 3" xfId="1024" xr:uid="{00000000-0005-0000-0000-0000FA050000}"/>
    <cellStyle name="Good 4" xfId="2239" xr:uid="{00000000-0005-0000-0000-0000FB050000}"/>
    <cellStyle name="Good 5" xfId="2240" xr:uid="{00000000-0005-0000-0000-0000FC050000}"/>
    <cellStyle name="Good 6" xfId="2241" xr:uid="{00000000-0005-0000-0000-0000FD050000}"/>
    <cellStyle name="Grey" xfId="482" xr:uid="{00000000-0005-0000-0000-0000FE050000}"/>
    <cellStyle name="Grey 2" xfId="1025" xr:uid="{00000000-0005-0000-0000-0000FF050000}"/>
    <cellStyle name="GreybarHeader" xfId="1026" xr:uid="{00000000-0005-0000-0000-000000060000}"/>
    <cellStyle name="Group Headings" xfId="1027" xr:uid="{00000000-0005-0000-0000-000001060000}"/>
    <cellStyle name="h" xfId="1028" xr:uid="{00000000-0005-0000-0000-000002060000}"/>
    <cellStyle name="h1" xfId="1029" xr:uid="{00000000-0005-0000-0000-000003060000}"/>
    <cellStyle name="h2" xfId="1030" xr:uid="{00000000-0005-0000-0000-000004060000}"/>
    <cellStyle name="Hard Percent" xfId="483" xr:uid="{00000000-0005-0000-0000-000005060000}"/>
    <cellStyle name="hardCode" xfId="2824" xr:uid="{4614C8D1-0964-41D4-A856-7A6447E33113}"/>
    <cellStyle name="HEADER" xfId="484" xr:uid="{00000000-0005-0000-0000-000006060000}"/>
    <cellStyle name="Header 2" xfId="1033" xr:uid="{00000000-0005-0000-0000-000007060000}"/>
    <cellStyle name="Header 3" xfId="1032" xr:uid="{00000000-0005-0000-0000-000008060000}"/>
    <cellStyle name="Header Draft Stamp" xfId="1034" xr:uid="{00000000-0005-0000-0000-000009060000}"/>
    <cellStyle name="Header Total" xfId="1035" xr:uid="{00000000-0005-0000-0000-00000A060000}"/>
    <cellStyle name="Header: bottom row" xfId="2903" xr:uid="{8A29BD2B-0095-4C5E-9761-1E10A65BF57D}"/>
    <cellStyle name="Header_AccessGroup 012509 v3" xfId="1036" xr:uid="{00000000-0005-0000-0000-00000B060000}"/>
    <cellStyle name="Header1" xfId="485" xr:uid="{00000000-0005-0000-0000-00000C060000}"/>
    <cellStyle name="Header2" xfId="486" xr:uid="{00000000-0005-0000-0000-00000D060000}"/>
    <cellStyle name="Header3" xfId="1037" xr:uid="{00000000-0005-0000-0000-00000E060000}"/>
    <cellStyle name="Header4" xfId="1038" xr:uid="{00000000-0005-0000-0000-00000F060000}"/>
    <cellStyle name="Heading 1" xfId="487" builtinId="16" customBuiltin="1"/>
    <cellStyle name="Heading 1 2" xfId="488" xr:uid="{00000000-0005-0000-0000-000011060000}"/>
    <cellStyle name="Heading 1 2 2" xfId="1039" xr:uid="{00000000-0005-0000-0000-000012060000}"/>
    <cellStyle name="Heading 1 2 3" xfId="2242" xr:uid="{00000000-0005-0000-0000-000013060000}"/>
    <cellStyle name="Heading 1 2 4" xfId="2854" xr:uid="{B857B418-1AD8-4834-BAFD-9A309867CC3E}"/>
    <cellStyle name="Heading 1 3" xfId="2243" xr:uid="{00000000-0005-0000-0000-000014060000}"/>
    <cellStyle name="Heading 1 4" xfId="2244" xr:uid="{00000000-0005-0000-0000-000015060000}"/>
    <cellStyle name="Heading 1 5" xfId="2245" xr:uid="{00000000-0005-0000-0000-000016060000}"/>
    <cellStyle name="Heading 1 6" xfId="2246" xr:uid="{00000000-0005-0000-0000-000017060000}"/>
    <cellStyle name="Heading 1 7" xfId="2247" xr:uid="{00000000-0005-0000-0000-000018060000}"/>
    <cellStyle name="Heading 1 8" xfId="2248" xr:uid="{00000000-0005-0000-0000-000019060000}"/>
    <cellStyle name="Heading 1 Above" xfId="1040" xr:uid="{00000000-0005-0000-0000-00001A060000}"/>
    <cellStyle name="Heading 1+" xfId="1041" xr:uid="{00000000-0005-0000-0000-00001B060000}"/>
    <cellStyle name="Heading 2" xfId="489" builtinId="17" customBuiltin="1"/>
    <cellStyle name="Heading 2 2" xfId="490" xr:uid="{00000000-0005-0000-0000-00001D060000}"/>
    <cellStyle name="Heading 2 2 2" xfId="1042" xr:uid="{00000000-0005-0000-0000-00001E060000}"/>
    <cellStyle name="Heading 2 2 3" xfId="2249" xr:uid="{00000000-0005-0000-0000-00001F060000}"/>
    <cellStyle name="Heading 2 2 4" xfId="2855" xr:uid="{DD0DEF82-5C8A-4044-B8D4-DEAF5D0EB2C0}"/>
    <cellStyle name="Heading 2 3" xfId="2250" xr:uid="{00000000-0005-0000-0000-000020060000}"/>
    <cellStyle name="Heading 2 4" xfId="2251" xr:uid="{00000000-0005-0000-0000-000021060000}"/>
    <cellStyle name="Heading 2 5" xfId="2252" xr:uid="{00000000-0005-0000-0000-000022060000}"/>
    <cellStyle name="Heading 2 6" xfId="2253" xr:uid="{00000000-0005-0000-0000-000023060000}"/>
    <cellStyle name="Heading 2 7" xfId="2254" xr:uid="{00000000-0005-0000-0000-000024060000}"/>
    <cellStyle name="Heading 2 8" xfId="2255" xr:uid="{00000000-0005-0000-0000-000025060000}"/>
    <cellStyle name="Heading 2 Below" xfId="1043" xr:uid="{00000000-0005-0000-0000-000026060000}"/>
    <cellStyle name="Heading 2+" xfId="1044" xr:uid="{00000000-0005-0000-0000-000027060000}"/>
    <cellStyle name="Heading 3" xfId="491" builtinId="18" customBuiltin="1"/>
    <cellStyle name="Heading 3 2" xfId="492" xr:uid="{00000000-0005-0000-0000-000029060000}"/>
    <cellStyle name="Heading 3 2 2" xfId="1045" xr:uid="{00000000-0005-0000-0000-00002A060000}"/>
    <cellStyle name="Heading 3 2 3" xfId="2256" xr:uid="{00000000-0005-0000-0000-00002B060000}"/>
    <cellStyle name="Heading 3 2 4" xfId="2856" xr:uid="{615A87D3-DAB5-43DD-9252-B522E70E345A}"/>
    <cellStyle name="Heading 3 3" xfId="2257" xr:uid="{00000000-0005-0000-0000-00002C060000}"/>
    <cellStyle name="Heading 3 4" xfId="2258" xr:uid="{00000000-0005-0000-0000-00002D060000}"/>
    <cellStyle name="Heading 3 5" xfId="2259" xr:uid="{00000000-0005-0000-0000-00002E060000}"/>
    <cellStyle name="Heading 3 6" xfId="2260" xr:uid="{00000000-0005-0000-0000-00002F060000}"/>
    <cellStyle name="Heading 3 7" xfId="2261" xr:uid="{00000000-0005-0000-0000-000030060000}"/>
    <cellStyle name="Heading 3 8" xfId="2262" xr:uid="{00000000-0005-0000-0000-000031060000}"/>
    <cellStyle name="Heading 3+" xfId="1046" xr:uid="{00000000-0005-0000-0000-000032060000}"/>
    <cellStyle name="Heading 4" xfId="493" builtinId="19" customBuiltin="1"/>
    <cellStyle name="Heading 4 2" xfId="494" xr:uid="{00000000-0005-0000-0000-000034060000}"/>
    <cellStyle name="Heading 4 2 2" xfId="1047" xr:uid="{00000000-0005-0000-0000-000035060000}"/>
    <cellStyle name="Heading 4 2 3" xfId="2263" xr:uid="{00000000-0005-0000-0000-000036060000}"/>
    <cellStyle name="Heading 4 2 4" xfId="2857" xr:uid="{61993958-1817-486C-B2EA-E4314089791D}"/>
    <cellStyle name="Heading 4 3" xfId="2264" xr:uid="{00000000-0005-0000-0000-000037060000}"/>
    <cellStyle name="Heading 4 4" xfId="2265" xr:uid="{00000000-0005-0000-0000-000038060000}"/>
    <cellStyle name="Heading 4 5" xfId="2266" xr:uid="{00000000-0005-0000-0000-000039060000}"/>
    <cellStyle name="Heading 4 6" xfId="2267" xr:uid="{00000000-0005-0000-0000-00003A060000}"/>
    <cellStyle name="Heading 4 7" xfId="2268" xr:uid="{00000000-0005-0000-0000-00003B060000}"/>
    <cellStyle name="Heading 4 8" xfId="2269" xr:uid="{00000000-0005-0000-0000-00003C060000}"/>
    <cellStyle name="Heading1" xfId="495" xr:uid="{00000000-0005-0000-0000-00003D060000}"/>
    <cellStyle name="HEADING1 2" xfId="1049" xr:uid="{00000000-0005-0000-0000-00003E060000}"/>
    <cellStyle name="HEADING1 3" xfId="1050" xr:uid="{00000000-0005-0000-0000-00003F060000}"/>
    <cellStyle name="HEADING1 4" xfId="1051" xr:uid="{00000000-0005-0000-0000-000040060000}"/>
    <cellStyle name="HEADING1 5" xfId="1048" xr:uid="{00000000-0005-0000-0000-000041060000}"/>
    <cellStyle name="Heading2" xfId="496" xr:uid="{00000000-0005-0000-0000-000042060000}"/>
    <cellStyle name="HEADING2 2" xfId="1052" xr:uid="{00000000-0005-0000-0000-000043060000}"/>
    <cellStyle name="Heading2 3" xfId="2833" xr:uid="{85420044-BB7D-47A7-ACA0-0E44C3547CA7}"/>
    <cellStyle name="Headings" xfId="1053" xr:uid="{00000000-0005-0000-0000-000044060000}"/>
    <cellStyle name="hh" xfId="1054" xr:uid="{00000000-0005-0000-0000-000045060000}"/>
    <cellStyle name="HHV" xfId="497" xr:uid="{00000000-0005-0000-0000-000046060000}"/>
    <cellStyle name="HHV 2" xfId="1911" xr:uid="{00000000-0005-0000-0000-000047060000}"/>
    <cellStyle name="Hidden" xfId="498" xr:uid="{00000000-0005-0000-0000-000048060000}"/>
    <cellStyle name="HIGHLIGHT" xfId="499" xr:uid="{00000000-0005-0000-0000-000049060000}"/>
    <cellStyle name="Highlight 2" xfId="1055" xr:uid="{00000000-0005-0000-0000-00004A060000}"/>
    <cellStyle name="Hist inmatning" xfId="1056" xr:uid="{00000000-0005-0000-0000-00004B060000}"/>
    <cellStyle name="hj" xfId="1057" xr:uid="{00000000-0005-0000-0000-00004C060000}"/>
    <cellStyle name="hj 2" xfId="1058" xr:uid="{00000000-0005-0000-0000-00004D060000}"/>
    <cellStyle name="Hyperlink" xfId="2916" builtinId="8"/>
    <cellStyle name="Hyperlink 2" xfId="2583" xr:uid="{00000000-0005-0000-0000-00004E060000}"/>
    <cellStyle name="i" xfId="1059" xr:uid="{00000000-0005-0000-0000-00004F060000}"/>
    <cellStyle name="i0" xfId="1060" xr:uid="{00000000-0005-0000-0000-000050060000}"/>
    <cellStyle name="i1" xfId="1061" xr:uid="{00000000-0005-0000-0000-000051060000}"/>
    <cellStyle name="i2" xfId="1062" xr:uid="{00000000-0005-0000-0000-000052060000}"/>
    <cellStyle name="i3" xfId="1063" xr:uid="{00000000-0005-0000-0000-000053060000}"/>
    <cellStyle name="i4" xfId="1064" xr:uid="{00000000-0005-0000-0000-000054060000}"/>
    <cellStyle name="i5" xfId="1065" xr:uid="{00000000-0005-0000-0000-000055060000}"/>
    <cellStyle name="Indirect Reference" xfId="1066" xr:uid="{00000000-0005-0000-0000-000056060000}"/>
    <cellStyle name="Indirect Reference 2" xfId="1067" xr:uid="{00000000-0005-0000-0000-000057060000}"/>
    <cellStyle name="Indirect Reference 3" xfId="1068" xr:uid="{00000000-0005-0000-0000-000058060000}"/>
    <cellStyle name="Indirect Reference 4" xfId="1069" xr:uid="{00000000-0005-0000-0000-000059060000}"/>
    <cellStyle name="inmatning" xfId="1070" xr:uid="{00000000-0005-0000-0000-00005A060000}"/>
    <cellStyle name="Input" xfId="500" builtinId="20" customBuiltin="1"/>
    <cellStyle name="Input (estimate)" xfId="1071" xr:uid="{00000000-0005-0000-0000-00005C060000}"/>
    <cellStyle name="Input [yellow]" xfId="501" xr:uid="{00000000-0005-0000-0000-00005D060000}"/>
    <cellStyle name="Input [yellow] 2" xfId="1072" xr:uid="{00000000-0005-0000-0000-00005E060000}"/>
    <cellStyle name="Input 2" xfId="502" xr:uid="{00000000-0005-0000-0000-00005F060000}"/>
    <cellStyle name="Input 2 2" xfId="1073" xr:uid="{00000000-0005-0000-0000-000060060000}"/>
    <cellStyle name="Input 3" xfId="2270" xr:uid="{00000000-0005-0000-0000-000061060000}"/>
    <cellStyle name="Input 4" xfId="2271" xr:uid="{00000000-0005-0000-0000-000062060000}"/>
    <cellStyle name="Input 5" xfId="2272" xr:uid="{00000000-0005-0000-0000-000063060000}"/>
    <cellStyle name="Input 6" xfId="2273" xr:uid="{00000000-0005-0000-0000-000064060000}"/>
    <cellStyle name="Input 7" xfId="2954" xr:uid="{2B3638B6-8D7C-4F25-9EC1-0E3E3997A919}"/>
    <cellStyle name="Input from Analysys" xfId="1074" xr:uid="{00000000-0005-0000-0000-000065060000}"/>
    <cellStyle name="Input from CETI" xfId="1075" xr:uid="{00000000-0005-0000-0000-000066060000}"/>
    <cellStyle name="Input Link" xfId="1076" xr:uid="{00000000-0005-0000-0000-000067060000}"/>
    <cellStyle name="Input Text" xfId="2949" xr:uid="{FE5C78EE-5303-45FE-9CB3-DAAD154A507C}"/>
    <cellStyle name="Input% [00%]" xfId="2951" xr:uid="{EFE9C882-1249-46D5-AF86-975FD183B9FE}"/>
    <cellStyle name="InputAmt" xfId="1077" xr:uid="{00000000-0005-0000-0000-000068060000}"/>
    <cellStyle name="InputBlueFont" xfId="1078" xr:uid="{00000000-0005-0000-0000-000069060000}"/>
    <cellStyle name="InputBlueFontLocked" xfId="1079" xr:uid="{00000000-0005-0000-0000-00006A060000}"/>
    <cellStyle name="InputBlueFontLocked 2" xfId="1080" xr:uid="{00000000-0005-0000-0000-00006B060000}"/>
    <cellStyle name="inputCell" xfId="2826" xr:uid="{72BC24AE-2C5E-4641-9EA3-05430EC23029}"/>
    <cellStyle name="InputPct" xfId="1081" xr:uid="{00000000-0005-0000-0000-00006C060000}"/>
    <cellStyle name="InputShaded" xfId="1082" xr:uid="{00000000-0005-0000-0000-00006D060000}"/>
    <cellStyle name="InputShaded 2" xfId="1083" xr:uid="{00000000-0005-0000-0000-00006E060000}"/>
    <cellStyle name="InputVal" xfId="1084" xr:uid="{00000000-0005-0000-0000-00006F060000}"/>
    <cellStyle name="InputVal 2" xfId="1085" xr:uid="{00000000-0005-0000-0000-000070060000}"/>
    <cellStyle name="InputValNeg" xfId="1086" xr:uid="{00000000-0005-0000-0000-000071060000}"/>
    <cellStyle name="InputValNeg 2" xfId="1087" xr:uid="{00000000-0005-0000-0000-000072060000}"/>
    <cellStyle name="Integer" xfId="1088" xr:uid="{00000000-0005-0000-0000-000073060000}"/>
    <cellStyle name="Integer 2" xfId="1089" xr:uid="{00000000-0005-0000-0000-000074060000}"/>
    <cellStyle name="Integer 3" xfId="1090" xr:uid="{00000000-0005-0000-0000-000075060000}"/>
    <cellStyle name="Integer 4" xfId="1091" xr:uid="{00000000-0005-0000-0000-000076060000}"/>
    <cellStyle name="italic" xfId="1092" xr:uid="{00000000-0005-0000-0000-000077060000}"/>
    <cellStyle name="ItalicHeader" xfId="1093" xr:uid="{00000000-0005-0000-0000-000078060000}"/>
    <cellStyle name="kirkdollars" xfId="503" xr:uid="{00000000-0005-0000-0000-000079060000}"/>
    <cellStyle name="Komma [0]_Sheet1" xfId="1094" xr:uid="{00000000-0005-0000-0000-00007A060000}"/>
    <cellStyle name="Komma_Sheet1" xfId="1095" xr:uid="{00000000-0005-0000-0000-00007B060000}"/>
    <cellStyle name="kopregel" xfId="1096" xr:uid="{00000000-0005-0000-0000-00007C060000}"/>
    <cellStyle name="Ks" xfId="1097" xr:uid="{00000000-0005-0000-0000-00007D060000}"/>
    <cellStyle name="Label" xfId="1098" xr:uid="{00000000-0005-0000-0000-00007E060000}"/>
    <cellStyle name="LblRed" xfId="1099" xr:uid="{00000000-0005-0000-0000-00007F060000}"/>
    <cellStyle name="lev1" xfId="1100" xr:uid="{00000000-0005-0000-0000-000080060000}"/>
    <cellStyle name="lev2" xfId="1101" xr:uid="{00000000-0005-0000-0000-000081060000}"/>
    <cellStyle name="lev3" xfId="1102" xr:uid="{00000000-0005-0000-0000-000082060000}"/>
    <cellStyle name="lev4" xfId="1103" xr:uid="{00000000-0005-0000-0000-000083060000}"/>
    <cellStyle name="Lien hypertexte" xfId="1104" xr:uid="{00000000-0005-0000-0000-000084060000}"/>
    <cellStyle name="Lien hypertexte visité" xfId="1105" xr:uid="{00000000-0005-0000-0000-000085060000}"/>
    <cellStyle name="Lines" xfId="2584" xr:uid="{00000000-0005-0000-0000-000086060000}"/>
    <cellStyle name="link:# [0,000]" xfId="2948" xr:uid="{9EE554A5-94A9-4F25-841B-3992E438FDEF}"/>
    <cellStyle name="link:Text" xfId="2947" xr:uid="{D44AFE48-0587-4014-A97E-8C7E22EF77CB}"/>
    <cellStyle name="Linked" xfId="1106" xr:uid="{00000000-0005-0000-0000-000087060000}"/>
    <cellStyle name="Linked Cell" xfId="504" builtinId="24" customBuiltin="1"/>
    <cellStyle name="Linked Cell 2" xfId="505" xr:uid="{00000000-0005-0000-0000-000089060000}"/>
    <cellStyle name="Linked Cell 2 2" xfId="1107" xr:uid="{00000000-0005-0000-0000-00008A060000}"/>
    <cellStyle name="Linked Cell 3" xfId="2274" xr:uid="{00000000-0005-0000-0000-00008B060000}"/>
    <cellStyle name="Linked Cell 4" xfId="2275" xr:uid="{00000000-0005-0000-0000-00008C060000}"/>
    <cellStyle name="Linked Cell 5" xfId="2276" xr:uid="{00000000-0005-0000-0000-00008D060000}"/>
    <cellStyle name="Linked Cell 6" xfId="2277" xr:uid="{00000000-0005-0000-0000-00008E060000}"/>
    <cellStyle name="M" xfId="506" xr:uid="{00000000-0005-0000-0000-00008F060000}"/>
    <cellStyle name="M 10" xfId="2666" xr:uid="{00000000-0005-0000-0000-000090060000}"/>
    <cellStyle name="m 11" xfId="2683" xr:uid="{00000000-0005-0000-0000-000091060000}"/>
    <cellStyle name="m 12" xfId="2686" xr:uid="{00000000-0005-0000-0000-000092060000}"/>
    <cellStyle name="m 2" xfId="1108" xr:uid="{00000000-0005-0000-0000-000093060000}"/>
    <cellStyle name="M 3" xfId="1904" xr:uid="{00000000-0005-0000-0000-000094060000}"/>
    <cellStyle name="M 4" xfId="2585" xr:uid="{00000000-0005-0000-0000-000095060000}"/>
    <cellStyle name="M 5" xfId="2602" xr:uid="{00000000-0005-0000-0000-000096060000}"/>
    <cellStyle name="M 6" xfId="2625" xr:uid="{00000000-0005-0000-0000-000097060000}"/>
    <cellStyle name="M 7" xfId="2636" xr:uid="{00000000-0005-0000-0000-000098060000}"/>
    <cellStyle name="M 8" xfId="2643" xr:uid="{00000000-0005-0000-0000-000099060000}"/>
    <cellStyle name="M 9" xfId="2654" xr:uid="{00000000-0005-0000-0000-00009A060000}"/>
    <cellStyle name="m/d/yy" xfId="507" xr:uid="{00000000-0005-0000-0000-00009B060000}"/>
    <cellStyle name="m2" xfId="1109" xr:uid="{00000000-0005-0000-0000-00009C060000}"/>
    <cellStyle name="Main Title" xfId="1110" xr:uid="{00000000-0005-0000-0000-00009D060000}"/>
    <cellStyle name="Main Title 2" xfId="1111" xr:uid="{00000000-0005-0000-0000-00009E060000}"/>
    <cellStyle name="Margin" xfId="1112" xr:uid="{00000000-0005-0000-0000-00009F060000}"/>
    <cellStyle name="Memo" xfId="1113" xr:uid="{00000000-0005-0000-0000-0000A0060000}"/>
    <cellStyle name="MemoLbl" xfId="1114" xr:uid="{00000000-0005-0000-0000-0000A1060000}"/>
    <cellStyle name="MemoLbl 2" xfId="1115" xr:uid="{00000000-0005-0000-0000-0000A2060000}"/>
    <cellStyle name="MemoPct_Wide" xfId="1116" xr:uid="{00000000-0005-0000-0000-0000A3060000}"/>
    <cellStyle name="MemoPercent" xfId="1117" xr:uid="{00000000-0005-0000-0000-0000A4060000}"/>
    <cellStyle name="MemoPercent 2" xfId="1118" xr:uid="{00000000-0005-0000-0000-0000A5060000}"/>
    <cellStyle name="MemoTitle" xfId="1119" xr:uid="{00000000-0005-0000-0000-0000A6060000}"/>
    <cellStyle name="MemoTitleItal" xfId="1120" xr:uid="{00000000-0005-0000-0000-0000A7060000}"/>
    <cellStyle name="MemoValue" xfId="1121" xr:uid="{00000000-0005-0000-0000-0000A8060000}"/>
    <cellStyle name="MemoValue 2" xfId="1122" xr:uid="{00000000-0005-0000-0000-0000A9060000}"/>
    <cellStyle name="MemoValueRow18" xfId="1123" xr:uid="{00000000-0005-0000-0000-0000AA060000}"/>
    <cellStyle name="MemoValueRow18 2" xfId="1124" xr:uid="{00000000-0005-0000-0000-0000AB060000}"/>
    <cellStyle name="MemoValueWide" xfId="1125" xr:uid="{00000000-0005-0000-0000-0000AC060000}"/>
    <cellStyle name="MemoValueWide 2" xfId="1126" xr:uid="{00000000-0005-0000-0000-0000AD060000}"/>
    <cellStyle name="Migliaia (0)_All 2" xfId="1127" xr:uid="{00000000-0005-0000-0000-0000AE060000}"/>
    <cellStyle name="Migliaia_All 2" xfId="1128" xr:uid="{00000000-0005-0000-0000-0000AF060000}"/>
    <cellStyle name="Millares [0]_2AV_M_M " xfId="1129" xr:uid="{00000000-0005-0000-0000-0000B0060000}"/>
    <cellStyle name="Millares_2AV_M_M " xfId="1130" xr:uid="{00000000-0005-0000-0000-0000B1060000}"/>
    <cellStyle name="Milliers [0] 2" xfId="2942" xr:uid="{B205489D-258F-4E61-8456-556E38582207}"/>
    <cellStyle name="Milliers [0]_comparable" xfId="1131" xr:uid="{00000000-0005-0000-0000-0000B2060000}"/>
    <cellStyle name="Milliers 2" xfId="2941" xr:uid="{03F6B493-C14E-49F0-99AA-78FFE3887466}"/>
    <cellStyle name="Milliers_comparable" xfId="1132" xr:uid="{00000000-0005-0000-0000-0000B3060000}"/>
    <cellStyle name="MLComma0" xfId="508" xr:uid="{00000000-0005-0000-0000-0000B4060000}"/>
    <cellStyle name="MLComma0 2" xfId="1881" xr:uid="{00000000-0005-0000-0000-0000B5060000}"/>
    <cellStyle name="MLPercent0" xfId="509" xr:uid="{00000000-0005-0000-0000-0000B6060000}"/>
    <cellStyle name="MLPercent0 2" xfId="1882" xr:uid="{00000000-0005-0000-0000-0000B7060000}"/>
    <cellStyle name="Moneda [0]_2AV_M_M " xfId="1133" xr:uid="{00000000-0005-0000-0000-0000B8060000}"/>
    <cellStyle name="Moneda_2AV_M_M " xfId="1134" xr:uid="{00000000-0005-0000-0000-0000B9060000}"/>
    <cellStyle name="Monétaire [0]_comparable" xfId="1135" xr:uid="{00000000-0005-0000-0000-0000BA060000}"/>
    <cellStyle name="Monétaire 2" xfId="2943" xr:uid="{775D3A41-9722-482C-A105-D6B2A5A5208D}"/>
    <cellStyle name="Monétaire_comparable" xfId="1136" xr:uid="{00000000-0005-0000-0000-0000BB060000}"/>
    <cellStyle name="Month" xfId="510" xr:uid="{00000000-0005-0000-0000-0000BC060000}"/>
    <cellStyle name="Month-long" xfId="511" xr:uid="{00000000-0005-0000-0000-0000BD060000}"/>
    <cellStyle name="Month-short" xfId="512" xr:uid="{00000000-0005-0000-0000-0000BE060000}"/>
    <cellStyle name="Mon-yr" xfId="513" xr:uid="{00000000-0005-0000-0000-0000BF060000}"/>
    <cellStyle name="Ms" xfId="1137" xr:uid="{00000000-0005-0000-0000-0000C0060000}"/>
    <cellStyle name="mt" xfId="1138" xr:uid="{00000000-0005-0000-0000-0000C1060000}"/>
    <cellStyle name="Multiple" xfId="514" xr:uid="{00000000-0005-0000-0000-0000C2060000}"/>
    <cellStyle name="Multiple [1]" xfId="515" xr:uid="{00000000-0005-0000-0000-0000C3060000}"/>
    <cellStyle name="Multiple 10" xfId="2685" xr:uid="{00000000-0005-0000-0000-0000C4060000}"/>
    <cellStyle name="Multiple 11" xfId="2684" xr:uid="{00000000-0005-0000-0000-0000C5060000}"/>
    <cellStyle name="Multiple 2" xfId="1140" xr:uid="{00000000-0005-0000-0000-0000C6060000}"/>
    <cellStyle name="Multiple 3" xfId="1139" xr:uid="{00000000-0005-0000-0000-0000C7060000}"/>
    <cellStyle name="Multiple 4" xfId="1878" xr:uid="{00000000-0005-0000-0000-0000C8060000}"/>
    <cellStyle name="Multiple 5" xfId="1885" xr:uid="{00000000-0005-0000-0000-0000C9060000}"/>
    <cellStyle name="Multiple 6" xfId="1879" xr:uid="{00000000-0005-0000-0000-0000CA060000}"/>
    <cellStyle name="Multiple 7" xfId="1884" xr:uid="{00000000-0005-0000-0000-0000CB060000}"/>
    <cellStyle name="Multiple 8" xfId="1880" xr:uid="{00000000-0005-0000-0000-0000CC060000}"/>
    <cellStyle name="Multiple 9" xfId="1883" xr:uid="{00000000-0005-0000-0000-0000CD060000}"/>
    <cellStyle name="Multiple_Quarterly Fin" xfId="516" xr:uid="{00000000-0005-0000-0000-0000CE060000}"/>
    <cellStyle name="n2" xfId="1141" xr:uid="{00000000-0005-0000-0000-0000CF060000}"/>
    <cellStyle name="n2 2" xfId="1142" xr:uid="{00000000-0005-0000-0000-0000D0060000}"/>
    <cellStyle name="NA is zero" xfId="517" xr:uid="{00000000-0005-0000-0000-0000D1060000}"/>
    <cellStyle name="Name" xfId="1143" xr:uid="{00000000-0005-0000-0000-0000D2060000}"/>
    <cellStyle name="Neutral" xfId="518" builtinId="28" customBuiltin="1"/>
    <cellStyle name="Neutral 2" xfId="519" xr:uid="{00000000-0005-0000-0000-0000D4060000}"/>
    <cellStyle name="Neutral 2 2" xfId="1144" xr:uid="{00000000-0005-0000-0000-0000D5060000}"/>
    <cellStyle name="Neutral 2 3" xfId="2586" xr:uid="{00000000-0005-0000-0000-0000D6060000}"/>
    <cellStyle name="Neutral 3" xfId="2278" xr:uid="{00000000-0005-0000-0000-0000D7060000}"/>
    <cellStyle name="Neutral 4" xfId="2279" xr:uid="{00000000-0005-0000-0000-0000D8060000}"/>
    <cellStyle name="Neutral 5" xfId="2280" xr:uid="{00000000-0005-0000-0000-0000D9060000}"/>
    <cellStyle name="Neutral 6" xfId="2281" xr:uid="{00000000-0005-0000-0000-0000DA060000}"/>
    <cellStyle name="no" xfId="1145" xr:uid="{00000000-0005-0000-0000-0000DB060000}"/>
    <cellStyle name="no dec" xfId="520" xr:uid="{00000000-0005-0000-0000-0000DC060000}"/>
    <cellStyle name="No.s to 1dp" xfId="1146" xr:uid="{00000000-0005-0000-0000-0000DD060000}"/>
    <cellStyle name="NonPrint_Heading" xfId="1147" xr:uid="{00000000-0005-0000-0000-0000DE060000}"/>
    <cellStyle name="Normal" xfId="0" builtinId="0"/>
    <cellStyle name="Normal - Style1" xfId="521" xr:uid="{00000000-0005-0000-0000-0000E0060000}"/>
    <cellStyle name="Normal - Style1 11" xfId="2842" xr:uid="{DC5EA6C1-CDC5-48A5-BABA-1BF04E5722A9}"/>
    <cellStyle name="Normal - Style1 2_Project CF &amp; Project Structures" xfId="2836" xr:uid="{3777C85B-0600-47E4-8AD7-5FD99439E145}"/>
    <cellStyle name="Normal - Style2" xfId="522" xr:uid="{00000000-0005-0000-0000-0000E1060000}"/>
    <cellStyle name="Normal - Style3" xfId="523" xr:uid="{00000000-0005-0000-0000-0000E2060000}"/>
    <cellStyle name="Normal [0]" xfId="524" xr:uid="{00000000-0005-0000-0000-0000E3060000}"/>
    <cellStyle name="Normal [1]" xfId="525" xr:uid="{00000000-0005-0000-0000-0000E4060000}"/>
    <cellStyle name="Normal [1] 2" xfId="1910" xr:uid="{00000000-0005-0000-0000-0000E5060000}"/>
    <cellStyle name="Normal [2]" xfId="526" xr:uid="{00000000-0005-0000-0000-0000E6060000}"/>
    <cellStyle name="Normal [3]" xfId="527" xr:uid="{00000000-0005-0000-0000-0000E7060000}"/>
    <cellStyle name="Normal 10" xfId="1148" xr:uid="{00000000-0005-0000-0000-0000E8060000}"/>
    <cellStyle name="Normal 10 11" xfId="2889" xr:uid="{BD67DB34-83C5-4EDC-8217-662F27069D33}"/>
    <cellStyle name="Normal 10 2" xfId="2282" xr:uid="{00000000-0005-0000-0000-0000E9060000}"/>
    <cellStyle name="Normal 10 3" xfId="2587" xr:uid="{00000000-0005-0000-0000-0000EA060000}"/>
    <cellStyle name="Normal 10 4" xfId="2912" xr:uid="{771A17B4-C4C4-409D-9EFA-006B3BE98A59}"/>
    <cellStyle name="Normal 11" xfId="1149" xr:uid="{00000000-0005-0000-0000-0000EB060000}"/>
    <cellStyle name="Normal 11 2" xfId="2283" xr:uid="{00000000-0005-0000-0000-0000EC060000}"/>
    <cellStyle name="Normal 11 3" xfId="2588" xr:uid="{00000000-0005-0000-0000-0000ED060000}"/>
    <cellStyle name="Normal 12" xfId="1150" xr:uid="{00000000-0005-0000-0000-0000EE060000}"/>
    <cellStyle name="Normal 12 2" xfId="2284" xr:uid="{00000000-0005-0000-0000-0000EF060000}"/>
    <cellStyle name="Normal 12 3" xfId="2589" xr:uid="{00000000-0005-0000-0000-0000F0060000}"/>
    <cellStyle name="Normal 13" xfId="1151" xr:uid="{00000000-0005-0000-0000-0000F1060000}"/>
    <cellStyle name="Normal 13 2" xfId="2285" xr:uid="{00000000-0005-0000-0000-0000F2060000}"/>
    <cellStyle name="Normal 13 3" xfId="2590" xr:uid="{00000000-0005-0000-0000-0000F3060000}"/>
    <cellStyle name="Normal 14" xfId="1152" xr:uid="{00000000-0005-0000-0000-0000F4060000}"/>
    <cellStyle name="Normal 14 2" xfId="2286" xr:uid="{00000000-0005-0000-0000-0000F5060000}"/>
    <cellStyle name="Normal 14 3" xfId="2591" xr:uid="{00000000-0005-0000-0000-0000F6060000}"/>
    <cellStyle name="Normal 14 4" xfId="2637" xr:uid="{00000000-0005-0000-0000-0000F7060000}"/>
    <cellStyle name="Normal 14 5" xfId="2655" xr:uid="{00000000-0005-0000-0000-0000F8060000}"/>
    <cellStyle name="Normal 14 6" xfId="2667" xr:uid="{00000000-0005-0000-0000-0000F9060000}"/>
    <cellStyle name="Normal 14 7" xfId="2741" xr:uid="{00000000-0005-0000-0000-0000FA060000}"/>
    <cellStyle name="Normal 14 8" xfId="2763" xr:uid="{00000000-0005-0000-0000-0000FB060000}"/>
    <cellStyle name="Normal 14 9" xfId="2780" xr:uid="{00000000-0005-0000-0000-0000FC060000}"/>
    <cellStyle name="Normal 15" xfId="1153" xr:uid="{00000000-0005-0000-0000-0000FD060000}"/>
    <cellStyle name="Normal 15 2" xfId="2288" xr:uid="{00000000-0005-0000-0000-0000FE060000}"/>
    <cellStyle name="Normal 15 2 2" xfId="2289" xr:uid="{00000000-0005-0000-0000-0000FF060000}"/>
    <cellStyle name="Normal 15 2 2 2" xfId="2290" xr:uid="{00000000-0005-0000-0000-000000070000}"/>
    <cellStyle name="Normal 15 2 3" xfId="2291" xr:uid="{00000000-0005-0000-0000-000001070000}"/>
    <cellStyle name="Normal 15 3" xfId="2292" xr:uid="{00000000-0005-0000-0000-000002070000}"/>
    <cellStyle name="Normal 15 3 2" xfId="2293" xr:uid="{00000000-0005-0000-0000-000003070000}"/>
    <cellStyle name="Normal 15 3 2 2" xfId="2294" xr:uid="{00000000-0005-0000-0000-000004070000}"/>
    <cellStyle name="Normal 15 3 3" xfId="2295" xr:uid="{00000000-0005-0000-0000-000005070000}"/>
    <cellStyle name="Normal 15 4" xfId="2296" xr:uid="{00000000-0005-0000-0000-000006070000}"/>
    <cellStyle name="Normal 15 4 2" xfId="2297" xr:uid="{00000000-0005-0000-0000-000007070000}"/>
    <cellStyle name="Normal 15 5" xfId="2298" xr:uid="{00000000-0005-0000-0000-000008070000}"/>
    <cellStyle name="Normal 15 6" xfId="2287" xr:uid="{00000000-0005-0000-0000-000009070000}"/>
    <cellStyle name="Normal 15 7" xfId="2592" xr:uid="{00000000-0005-0000-0000-00000A070000}"/>
    <cellStyle name="Normal 16" xfId="1154" xr:uid="{00000000-0005-0000-0000-00000B070000}"/>
    <cellStyle name="Normal 16 2" xfId="1636" xr:uid="{00000000-0005-0000-0000-00000C070000}"/>
    <cellStyle name="Normal 16 2 2" xfId="2688" xr:uid="{00000000-0005-0000-0000-00000D070000}"/>
    <cellStyle name="Normal 16 3" xfId="2299" xr:uid="{00000000-0005-0000-0000-00000E070000}"/>
    <cellStyle name="Normal 16 4" xfId="2687" xr:uid="{00000000-0005-0000-0000-00000F070000}"/>
    <cellStyle name="Normal 17" xfId="1155" xr:uid="{00000000-0005-0000-0000-000010070000}"/>
    <cellStyle name="Normal 17 2" xfId="1637" xr:uid="{00000000-0005-0000-0000-000011070000}"/>
    <cellStyle name="Normal 17 2 2" xfId="2690" xr:uid="{00000000-0005-0000-0000-000012070000}"/>
    <cellStyle name="Normal 17 3" xfId="2300" xr:uid="{00000000-0005-0000-0000-000013070000}"/>
    <cellStyle name="Normal 17 4" xfId="2689" xr:uid="{00000000-0005-0000-0000-000014070000}"/>
    <cellStyle name="Normal 18" xfId="1156" xr:uid="{00000000-0005-0000-0000-000015070000}"/>
    <cellStyle name="Normal 18 2" xfId="1638" xr:uid="{00000000-0005-0000-0000-000016070000}"/>
    <cellStyle name="Normal 18 2 2" xfId="2692" xr:uid="{00000000-0005-0000-0000-000017070000}"/>
    <cellStyle name="Normal 18 2 3" xfId="2838" xr:uid="{75DA34E5-A467-471C-A4A1-C61AF403E102}"/>
    <cellStyle name="Normal 18 2 8 2 2" xfId="2894" xr:uid="{E815865F-A596-40ED-8383-DA266BC6EC43}"/>
    <cellStyle name="Normal 18 3" xfId="2301" xr:uid="{00000000-0005-0000-0000-000018070000}"/>
    <cellStyle name="Normal 18 4" xfId="2691" xr:uid="{00000000-0005-0000-0000-000019070000}"/>
    <cellStyle name="Normal 19" xfId="1916" xr:uid="{00000000-0005-0000-0000-00001A070000}"/>
    <cellStyle name="Normal 19 2" xfId="2302" xr:uid="{00000000-0005-0000-0000-00001B070000}"/>
    <cellStyle name="Normal 19 3" xfId="2693" xr:uid="{00000000-0005-0000-0000-00001C070000}"/>
    <cellStyle name="Normal 2" xfId="528" xr:uid="{00000000-0005-0000-0000-00001D070000}"/>
    <cellStyle name="Normal 2 10 2" xfId="2881" xr:uid="{A38338A0-5386-4939-A58D-BE0C8E4574F6}"/>
    <cellStyle name="Normal 2 16 2" xfId="2882" xr:uid="{313549E4-8E5F-4900-B2A5-C976E952C7D8}"/>
    <cellStyle name="Normal 2 17" xfId="2818" xr:uid="{50999A38-2A27-45D0-9207-FDB90D8550C6}"/>
    <cellStyle name="Normal 2 17 2" xfId="2888" xr:uid="{16111C2E-9C03-48D7-9AA0-539A7FA61E4C}"/>
    <cellStyle name="Normal 2 2" xfId="629" xr:uid="{00000000-0005-0000-0000-00001E070000}"/>
    <cellStyle name="Normal 2 2 2" xfId="1158" xr:uid="{00000000-0005-0000-0000-00001F070000}"/>
    <cellStyle name="Normal 2 2 2 2" xfId="2304" xr:uid="{00000000-0005-0000-0000-000020070000}"/>
    <cellStyle name="Normal 2 2 3" xfId="2303" xr:uid="{00000000-0005-0000-0000-000021070000}"/>
    <cellStyle name="Normal 2 2 3 2" xfId="2694" xr:uid="{00000000-0005-0000-0000-000022070000}"/>
    <cellStyle name="Normal 2 2 4" xfId="2845" xr:uid="{D7972133-5A11-4D2B-BB76-C350DA608ED9}"/>
    <cellStyle name="Normal 2 2 7" xfId="2883" xr:uid="{FFF418FB-0C6E-4888-8C98-86AAD8717333}"/>
    <cellStyle name="Normal 2 3" xfId="1157" xr:uid="{00000000-0005-0000-0000-000023070000}"/>
    <cellStyle name="Normal 2 3 10" xfId="2959" xr:uid="{FD8FD3FD-87DB-4F5A-8544-FCCD5142DC30}"/>
    <cellStyle name="Normal 2 3 2" xfId="2593" xr:uid="{00000000-0005-0000-0000-000024070000}"/>
    <cellStyle name="Normal 2 3 3" xfId="2638" xr:uid="{00000000-0005-0000-0000-000025070000}"/>
    <cellStyle name="Normal 2 3 4" xfId="2656" xr:uid="{00000000-0005-0000-0000-000026070000}"/>
    <cellStyle name="Normal 2 3 5" xfId="2668" xr:uid="{00000000-0005-0000-0000-000027070000}"/>
    <cellStyle name="Normal 2 3 6" xfId="2742" xr:uid="{00000000-0005-0000-0000-000028070000}"/>
    <cellStyle name="Normal 2 3 7" xfId="2764" xr:uid="{00000000-0005-0000-0000-000029070000}"/>
    <cellStyle name="Normal 2 3 8" xfId="2781" xr:uid="{00000000-0005-0000-0000-00002A070000}"/>
    <cellStyle name="Normal 2 3 9" xfId="2841" xr:uid="{F55A5ED2-83CE-4388-8BDF-82FB5FE730EC}"/>
    <cellStyle name="Normal 2 4" xfId="653" xr:uid="{00000000-0005-0000-0000-00002B070000}"/>
    <cellStyle name="Normal 2 4 2" xfId="2305" xr:uid="{00000000-0005-0000-0000-00002C070000}"/>
    <cellStyle name="Normal 2 4 2 2" xfId="2695" xr:uid="{00000000-0005-0000-0000-00002D070000}"/>
    <cellStyle name="Normal 2 5" xfId="2306" xr:uid="{00000000-0005-0000-0000-00002E070000}"/>
    <cellStyle name="Normal 2 6" xfId="2835" xr:uid="{39F78AF6-A78A-4159-8EB7-BECDBFD6E3E3}"/>
    <cellStyle name="Normal 2 7" xfId="2921" xr:uid="{F98310C9-7025-4290-910A-DDCBEFFC3C07}"/>
    <cellStyle name="Normal 2_Adjustment WP" xfId="2307" xr:uid="{00000000-0005-0000-0000-00002F070000}"/>
    <cellStyle name="Normal 20" xfId="1159" xr:uid="{00000000-0005-0000-0000-000030070000}"/>
    <cellStyle name="Normal 20 2" xfId="2308" xr:uid="{00000000-0005-0000-0000-000031070000}"/>
    <cellStyle name="Normal 206" xfId="2844" xr:uid="{24C3DDB9-514C-49D6-A9ED-1B0463B3122F}"/>
    <cellStyle name="Normal 206 2" xfId="2890" xr:uid="{12338EFC-2116-4BBD-9999-F3F37F5009B2}"/>
    <cellStyle name="Normal 206 3" xfId="2885" xr:uid="{937FF39F-496C-4B90-8653-5944AE333E8E}"/>
    <cellStyle name="Normal 21" xfId="2309" xr:uid="{00000000-0005-0000-0000-000032070000}"/>
    <cellStyle name="Normal 21 2" xfId="2696" xr:uid="{00000000-0005-0000-0000-000033070000}"/>
    <cellStyle name="Normal 22" xfId="2310" xr:uid="{00000000-0005-0000-0000-000034070000}"/>
    <cellStyle name="Normal 22 2" xfId="2697" xr:uid="{00000000-0005-0000-0000-000035070000}"/>
    <cellStyle name="Normal 23" xfId="2311" xr:uid="{00000000-0005-0000-0000-000036070000}"/>
    <cellStyle name="Normal 23 2" xfId="2698" xr:uid="{00000000-0005-0000-0000-000037070000}"/>
    <cellStyle name="Normal 24" xfId="2312" xr:uid="{00000000-0005-0000-0000-000038070000}"/>
    <cellStyle name="Normal 24 2" xfId="2699" xr:uid="{00000000-0005-0000-0000-000039070000}"/>
    <cellStyle name="Normal 25" xfId="2313" xr:uid="{00000000-0005-0000-0000-00003A070000}"/>
    <cellStyle name="Normal 25 2" xfId="2700" xr:uid="{00000000-0005-0000-0000-00003B070000}"/>
    <cellStyle name="Normal 26" xfId="2314" xr:uid="{00000000-0005-0000-0000-00003C070000}"/>
    <cellStyle name="Normal 26 2" xfId="2701" xr:uid="{00000000-0005-0000-0000-00003D070000}"/>
    <cellStyle name="Normal 27" xfId="2315" xr:uid="{00000000-0005-0000-0000-00003E070000}"/>
    <cellStyle name="Normal 27 2" xfId="2702" xr:uid="{00000000-0005-0000-0000-00003F070000}"/>
    <cellStyle name="Normal 28" xfId="2316" xr:uid="{00000000-0005-0000-0000-000040070000}"/>
    <cellStyle name="Normal 28 2" xfId="2703" xr:uid="{00000000-0005-0000-0000-000041070000}"/>
    <cellStyle name="Normal 29" xfId="2317" xr:uid="{00000000-0005-0000-0000-000042070000}"/>
    <cellStyle name="Normal 29 2" xfId="2704" xr:uid="{00000000-0005-0000-0000-000043070000}"/>
    <cellStyle name="Normal 3" xfId="529" xr:uid="{00000000-0005-0000-0000-000044070000}"/>
    <cellStyle name="Normal 3 10" xfId="2813" xr:uid="{00000000-0005-0000-0000-000045070000}"/>
    <cellStyle name="Normal 3 11" xfId="2928" xr:uid="{063270D5-6124-4E3E-9418-439517451943}"/>
    <cellStyle name="Normal 3 188" xfId="2887" xr:uid="{9E633A0A-2F6F-435A-9A57-DF2207781BC8}"/>
    <cellStyle name="Normal 3 2" xfId="1160" xr:uid="{00000000-0005-0000-0000-000046070000}"/>
    <cellStyle name="Normal 3 2 2" xfId="2318" xr:uid="{00000000-0005-0000-0000-000047070000}"/>
    <cellStyle name="Normal 3 2 3" xfId="2851" xr:uid="{E5629B69-5A39-4801-9C90-EB32A5CD6CEC}"/>
    <cellStyle name="Normal 3 2 4" xfId="2935" xr:uid="{4225DE06-E651-42DC-B54D-F90B810B20FC}"/>
    <cellStyle name="Normal 3 3" xfId="2319" xr:uid="{00000000-0005-0000-0000-000048070000}"/>
    <cellStyle name="Normal 3 3 2" xfId="2706" xr:uid="{00000000-0005-0000-0000-000049070000}"/>
    <cellStyle name="Normal 3 3 3" xfId="2705" xr:uid="{00000000-0005-0000-0000-00004A070000}"/>
    <cellStyle name="Normal 3 4" xfId="2320" xr:uid="{00000000-0005-0000-0000-00004B070000}"/>
    <cellStyle name="Normal 3 4 2" xfId="2707" xr:uid="{00000000-0005-0000-0000-00004C070000}"/>
    <cellStyle name="Normal 3 5" xfId="2321" xr:uid="{00000000-0005-0000-0000-00004D070000}"/>
    <cellStyle name="Normal 3 6" xfId="2322" xr:uid="{00000000-0005-0000-0000-00004E070000}"/>
    <cellStyle name="Normal 3 7" xfId="2323" xr:uid="{00000000-0005-0000-0000-00004F070000}"/>
    <cellStyle name="Normal 3 8" xfId="2324" xr:uid="{00000000-0005-0000-0000-000050070000}"/>
    <cellStyle name="Normal 3 9" xfId="2805" xr:uid="{00000000-0005-0000-0000-000051070000}"/>
    <cellStyle name="Normal 3_108 Summary" xfId="2325" xr:uid="{00000000-0005-0000-0000-000052070000}"/>
    <cellStyle name="Normal 30" xfId="2326" xr:uid="{00000000-0005-0000-0000-000053070000}"/>
    <cellStyle name="Normal 30 2" xfId="2732" xr:uid="{00000000-0005-0000-0000-000054070000}"/>
    <cellStyle name="Normal 31" xfId="2327" xr:uid="{00000000-0005-0000-0000-000055070000}"/>
    <cellStyle name="Normal 32" xfId="2328" xr:uid="{00000000-0005-0000-0000-000056070000}"/>
    <cellStyle name="Normal 33" xfId="2329" xr:uid="{00000000-0005-0000-0000-000057070000}"/>
    <cellStyle name="Normal 34" xfId="2330" xr:uid="{00000000-0005-0000-0000-000058070000}"/>
    <cellStyle name="Normal 35" xfId="1161" xr:uid="{00000000-0005-0000-0000-000059070000}"/>
    <cellStyle name="Normal 35 2" xfId="2332" xr:uid="{00000000-0005-0000-0000-00005A070000}"/>
    <cellStyle name="Normal 35 2 2" xfId="2333" xr:uid="{00000000-0005-0000-0000-00005B070000}"/>
    <cellStyle name="Normal 35 2 2 2" xfId="2334" xr:uid="{00000000-0005-0000-0000-00005C070000}"/>
    <cellStyle name="Normal 35 2 3" xfId="2335" xr:uid="{00000000-0005-0000-0000-00005D070000}"/>
    <cellStyle name="Normal 35 3" xfId="2336" xr:uid="{00000000-0005-0000-0000-00005E070000}"/>
    <cellStyle name="Normal 35 3 2" xfId="2337" xr:uid="{00000000-0005-0000-0000-00005F070000}"/>
    <cellStyle name="Normal 35 3 2 2" xfId="2338" xr:uid="{00000000-0005-0000-0000-000060070000}"/>
    <cellStyle name="Normal 35 3 3" xfId="2339" xr:uid="{00000000-0005-0000-0000-000061070000}"/>
    <cellStyle name="Normal 35 4" xfId="2340" xr:uid="{00000000-0005-0000-0000-000062070000}"/>
    <cellStyle name="Normal 35 4 2" xfId="2341" xr:uid="{00000000-0005-0000-0000-000063070000}"/>
    <cellStyle name="Normal 35 5" xfId="2342" xr:uid="{00000000-0005-0000-0000-000064070000}"/>
    <cellStyle name="Normal 35 6" xfId="2331" xr:uid="{00000000-0005-0000-0000-000065070000}"/>
    <cellStyle name="Normal 36" xfId="2343" xr:uid="{00000000-0005-0000-0000-000066070000}"/>
    <cellStyle name="Normal 36 2" xfId="2344" xr:uid="{00000000-0005-0000-0000-000067070000}"/>
    <cellStyle name="Normal 37" xfId="1919" xr:uid="{00000000-0005-0000-0000-000068070000}"/>
    <cellStyle name="Normal 38" xfId="2566" xr:uid="{00000000-0005-0000-0000-000069070000}"/>
    <cellStyle name="Normal 39" xfId="2617" xr:uid="{00000000-0005-0000-0000-00006A070000}"/>
    <cellStyle name="Normal 4" xfId="530" xr:uid="{00000000-0005-0000-0000-00006B070000}"/>
    <cellStyle name="Normal 4 2" xfId="624" xr:uid="{00000000-0005-0000-0000-00006C070000}"/>
    <cellStyle name="Normal 4 2 2" xfId="1162" xr:uid="{00000000-0005-0000-0000-00006D070000}"/>
    <cellStyle name="Normal 4 2 3" xfId="2345" xr:uid="{00000000-0005-0000-0000-00006E070000}"/>
    <cellStyle name="Normal 4 2 4" xfId="2895" xr:uid="{44197430-CD71-455A-9584-CFA9F5A6572E}"/>
    <cellStyle name="Normal 4 3" xfId="1163" xr:uid="{00000000-0005-0000-0000-00006F070000}"/>
    <cellStyle name="Normal 4 3 2" xfId="2346" xr:uid="{00000000-0005-0000-0000-000070070000}"/>
    <cellStyle name="Normal 4 3 2 2" xfId="2819" xr:uid="{1C9F30FC-05DF-4D6C-AFEF-3811CE6EC545}"/>
    <cellStyle name="Normal 4 4" xfId="2347" xr:uid="{00000000-0005-0000-0000-000071070000}"/>
    <cellStyle name="Normal 4 5" xfId="2348" xr:uid="{00000000-0005-0000-0000-000072070000}"/>
    <cellStyle name="Normal 4 6" xfId="2594" xr:uid="{00000000-0005-0000-0000-000073070000}"/>
    <cellStyle name="Normal 4 7" xfId="2843" xr:uid="{D220C769-831E-4CF1-B638-C161B7BB28CF}"/>
    <cellStyle name="Normal 40" xfId="2629" xr:uid="{00000000-0005-0000-0000-000074070000}"/>
    <cellStyle name="Normal 41" xfId="2631" xr:uid="{00000000-0005-0000-0000-000075070000}"/>
    <cellStyle name="Normal 42" xfId="2647" xr:uid="{00000000-0005-0000-0000-000076070000}"/>
    <cellStyle name="Normal 43" xfId="2649" xr:uid="{00000000-0005-0000-0000-000077070000}"/>
    <cellStyle name="Normal 44" xfId="2661" xr:uid="{00000000-0005-0000-0000-000078070000}"/>
    <cellStyle name="Normal 45" xfId="2735" xr:uid="{00000000-0005-0000-0000-000079070000}"/>
    <cellStyle name="Normal 46" xfId="2753" xr:uid="{00000000-0005-0000-0000-00007A070000}"/>
    <cellStyle name="Normal 47" xfId="2755" xr:uid="{00000000-0005-0000-0000-00007B070000}"/>
    <cellStyle name="Normal 48" xfId="2757" xr:uid="{00000000-0005-0000-0000-00007C070000}"/>
    <cellStyle name="Normal 49" xfId="2758" xr:uid="{00000000-0005-0000-0000-00007D070000}"/>
    <cellStyle name="Normal 5" xfId="627" xr:uid="{00000000-0005-0000-0000-00007E070000}"/>
    <cellStyle name="Normal 5 2" xfId="650" xr:uid="{00000000-0005-0000-0000-00007F070000}"/>
    <cellStyle name="Normal 5 2 2" xfId="2349" xr:uid="{00000000-0005-0000-0000-000080070000}"/>
    <cellStyle name="Normal 5 3" xfId="1164" xr:uid="{00000000-0005-0000-0000-000081070000}"/>
    <cellStyle name="Normal 5 4" xfId="2852" xr:uid="{4F99146F-A6D6-485F-8334-0C0F38CE1E4B}"/>
    <cellStyle name="Normal 5 5" xfId="2931" xr:uid="{C1B54730-AF2F-4A42-B689-1EA039437A38}"/>
    <cellStyle name="Normal 50" xfId="2771" xr:uid="{00000000-0005-0000-0000-000082070000}"/>
    <cellStyle name="Normal 51" xfId="2772" xr:uid="{00000000-0005-0000-0000-000083070000}"/>
    <cellStyle name="Normal 51 2" xfId="2832" xr:uid="{E8BBC18A-0039-45AC-B966-80ACDE8DFF4C}"/>
    <cellStyle name="Normal 52" xfId="2794" xr:uid="{00000000-0005-0000-0000-000084070000}"/>
    <cellStyle name="Normal 53" xfId="2797" xr:uid="{00000000-0005-0000-0000-000085070000}"/>
    <cellStyle name="Normal 54" xfId="2799" xr:uid="{00000000-0005-0000-0000-000086070000}"/>
    <cellStyle name="Normal 55" xfId="2795" xr:uid="{00000000-0005-0000-0000-000087070000}"/>
    <cellStyle name="Normal 56" xfId="2801" xr:uid="{00000000-0005-0000-0000-000088070000}"/>
    <cellStyle name="Normal 57" xfId="2802" xr:uid="{00000000-0005-0000-0000-000089070000}"/>
    <cellStyle name="Normal 57 2" xfId="2848" xr:uid="{4892BCAA-115D-4CFA-A119-122DCAC4C2EF}"/>
    <cellStyle name="Normal 58" xfId="2808" xr:uid="{00000000-0005-0000-0000-00008A070000}"/>
    <cellStyle name="Normal 58 5" xfId="2849" xr:uid="{B81BB4FE-FCD7-4594-BAEE-7580F6CFE0B8}"/>
    <cellStyle name="Normal 59" xfId="2810" xr:uid="{00000000-0005-0000-0000-00008B070000}"/>
    <cellStyle name="Normal 6" xfId="631" xr:uid="{00000000-0005-0000-0000-00008C070000}"/>
    <cellStyle name="Normal 6 10" xfId="2351" xr:uid="{00000000-0005-0000-0000-00008D070000}"/>
    <cellStyle name="Normal 6 10 2" xfId="2352" xr:uid="{00000000-0005-0000-0000-00008E070000}"/>
    <cellStyle name="Normal 6 10 2 2" xfId="2353" xr:uid="{00000000-0005-0000-0000-00008F070000}"/>
    <cellStyle name="Normal 6 10 3" xfId="2354" xr:uid="{00000000-0005-0000-0000-000090070000}"/>
    <cellStyle name="Normal 6 11" xfId="2350" xr:uid="{00000000-0005-0000-0000-000091070000}"/>
    <cellStyle name="Normal 6 12" xfId="2595" xr:uid="{00000000-0005-0000-0000-000092070000}"/>
    <cellStyle name="Normal 6 13" xfId="2837" xr:uid="{E4C24A76-4301-408B-8BB4-DA703314D7DA}"/>
    <cellStyle name="Normal 6 14" xfId="2936" xr:uid="{139F4D31-1AF2-4496-9664-8E42FCD856B8}"/>
    <cellStyle name="Normal 6 2" xfId="651" xr:uid="{00000000-0005-0000-0000-000093070000}"/>
    <cellStyle name="Normal 6 2 2" xfId="2356" xr:uid="{00000000-0005-0000-0000-000094070000}"/>
    <cellStyle name="Normal 6 2 2 2" xfId="2357" xr:uid="{00000000-0005-0000-0000-000095070000}"/>
    <cellStyle name="Normal 6 2 2 2 2" xfId="2358" xr:uid="{00000000-0005-0000-0000-000096070000}"/>
    <cellStyle name="Normal 6 2 2 3" xfId="2359" xr:uid="{00000000-0005-0000-0000-000097070000}"/>
    <cellStyle name="Normal 6 2 3" xfId="2360" xr:uid="{00000000-0005-0000-0000-000098070000}"/>
    <cellStyle name="Normal 6 2 3 2" xfId="2361" xr:uid="{00000000-0005-0000-0000-000099070000}"/>
    <cellStyle name="Normal 6 2 3 2 2" xfId="2362" xr:uid="{00000000-0005-0000-0000-00009A070000}"/>
    <cellStyle name="Normal 6 2 3 3" xfId="2363" xr:uid="{00000000-0005-0000-0000-00009B070000}"/>
    <cellStyle name="Normal 6 2 4" xfId="2364" xr:uid="{00000000-0005-0000-0000-00009C070000}"/>
    <cellStyle name="Normal 6 2 4 2" xfId="2365" xr:uid="{00000000-0005-0000-0000-00009D070000}"/>
    <cellStyle name="Normal 6 2 5" xfId="2366" xr:uid="{00000000-0005-0000-0000-00009E070000}"/>
    <cellStyle name="Normal 6 2 6" xfId="2355" xr:uid="{00000000-0005-0000-0000-00009F070000}"/>
    <cellStyle name="Normal 6 3" xfId="1165" xr:uid="{00000000-0005-0000-0000-0000A0070000}"/>
    <cellStyle name="Normal 6 3 2" xfId="2368" xr:uid="{00000000-0005-0000-0000-0000A1070000}"/>
    <cellStyle name="Normal 6 3 2 2" xfId="2369" xr:uid="{00000000-0005-0000-0000-0000A2070000}"/>
    <cellStyle name="Normal 6 3 2 2 2" xfId="2370" xr:uid="{00000000-0005-0000-0000-0000A3070000}"/>
    <cellStyle name="Normal 6 3 2 3" xfId="2371" xr:uid="{00000000-0005-0000-0000-0000A4070000}"/>
    <cellStyle name="Normal 6 3 3" xfId="2372" xr:uid="{00000000-0005-0000-0000-0000A5070000}"/>
    <cellStyle name="Normal 6 3 3 2" xfId="2373" xr:uid="{00000000-0005-0000-0000-0000A6070000}"/>
    <cellStyle name="Normal 6 3 3 2 2" xfId="2374" xr:uid="{00000000-0005-0000-0000-0000A7070000}"/>
    <cellStyle name="Normal 6 3 3 3" xfId="2375" xr:uid="{00000000-0005-0000-0000-0000A8070000}"/>
    <cellStyle name="Normal 6 3 4" xfId="2376" xr:uid="{00000000-0005-0000-0000-0000A9070000}"/>
    <cellStyle name="Normal 6 3 4 2" xfId="2377" xr:uid="{00000000-0005-0000-0000-0000AA070000}"/>
    <cellStyle name="Normal 6 3 5" xfId="2378" xr:uid="{00000000-0005-0000-0000-0000AB070000}"/>
    <cellStyle name="Normal 6 3 6" xfId="2367" xr:uid="{00000000-0005-0000-0000-0000AC070000}"/>
    <cellStyle name="Normal 6 4" xfId="2379" xr:uid="{00000000-0005-0000-0000-0000AD070000}"/>
    <cellStyle name="Normal 6 4 2" xfId="2380" xr:uid="{00000000-0005-0000-0000-0000AE070000}"/>
    <cellStyle name="Normal 6 4 2 2" xfId="2381" xr:uid="{00000000-0005-0000-0000-0000AF070000}"/>
    <cellStyle name="Normal 6 4 2 2 2" xfId="2382" xr:uid="{00000000-0005-0000-0000-0000B0070000}"/>
    <cellStyle name="Normal 6 4 2 3" xfId="2383" xr:uid="{00000000-0005-0000-0000-0000B1070000}"/>
    <cellStyle name="Normal 6 4 3" xfId="2384" xr:uid="{00000000-0005-0000-0000-0000B2070000}"/>
    <cellStyle name="Normal 6 4 3 2" xfId="2385" xr:uid="{00000000-0005-0000-0000-0000B3070000}"/>
    <cellStyle name="Normal 6 4 3 2 2" xfId="2386" xr:uid="{00000000-0005-0000-0000-0000B4070000}"/>
    <cellStyle name="Normal 6 4 3 3" xfId="2387" xr:uid="{00000000-0005-0000-0000-0000B5070000}"/>
    <cellStyle name="Normal 6 4 4" xfId="2388" xr:uid="{00000000-0005-0000-0000-0000B6070000}"/>
    <cellStyle name="Normal 6 4 4 2" xfId="2389" xr:uid="{00000000-0005-0000-0000-0000B7070000}"/>
    <cellStyle name="Normal 6 4 5" xfId="2390" xr:uid="{00000000-0005-0000-0000-0000B8070000}"/>
    <cellStyle name="Normal 6 5" xfId="2391" xr:uid="{00000000-0005-0000-0000-0000B9070000}"/>
    <cellStyle name="Normal 6 5 2" xfId="2392" xr:uid="{00000000-0005-0000-0000-0000BA070000}"/>
    <cellStyle name="Normal 6 5 2 2" xfId="2393" xr:uid="{00000000-0005-0000-0000-0000BB070000}"/>
    <cellStyle name="Normal 6 5 2 2 2" xfId="2394" xr:uid="{00000000-0005-0000-0000-0000BC070000}"/>
    <cellStyle name="Normal 6 5 2 3" xfId="2395" xr:uid="{00000000-0005-0000-0000-0000BD070000}"/>
    <cellStyle name="Normal 6 5 3" xfId="2396" xr:uid="{00000000-0005-0000-0000-0000BE070000}"/>
    <cellStyle name="Normal 6 5 3 2" xfId="2397" xr:uid="{00000000-0005-0000-0000-0000BF070000}"/>
    <cellStyle name="Normal 6 5 3 2 2" xfId="2398" xr:uid="{00000000-0005-0000-0000-0000C0070000}"/>
    <cellStyle name="Normal 6 5 3 3" xfId="2399" xr:uid="{00000000-0005-0000-0000-0000C1070000}"/>
    <cellStyle name="Normal 6 5 4" xfId="2400" xr:uid="{00000000-0005-0000-0000-0000C2070000}"/>
    <cellStyle name="Normal 6 5 4 2" xfId="2401" xr:uid="{00000000-0005-0000-0000-0000C3070000}"/>
    <cellStyle name="Normal 6 5 5" xfId="2402" xr:uid="{00000000-0005-0000-0000-0000C4070000}"/>
    <cellStyle name="Normal 6 6" xfId="2403" xr:uid="{00000000-0005-0000-0000-0000C5070000}"/>
    <cellStyle name="Normal 6 6 2" xfId="2404" xr:uid="{00000000-0005-0000-0000-0000C6070000}"/>
    <cellStyle name="Normal 6 6 2 2" xfId="2405" xr:uid="{00000000-0005-0000-0000-0000C7070000}"/>
    <cellStyle name="Normal 6 6 2 2 2" xfId="2406" xr:uid="{00000000-0005-0000-0000-0000C8070000}"/>
    <cellStyle name="Normal 6 6 2 3" xfId="2407" xr:uid="{00000000-0005-0000-0000-0000C9070000}"/>
    <cellStyle name="Normal 6 6 3" xfId="2408" xr:uid="{00000000-0005-0000-0000-0000CA070000}"/>
    <cellStyle name="Normal 6 6 3 2" xfId="2409" xr:uid="{00000000-0005-0000-0000-0000CB070000}"/>
    <cellStyle name="Normal 6 6 3 2 2" xfId="2410" xr:uid="{00000000-0005-0000-0000-0000CC070000}"/>
    <cellStyle name="Normal 6 6 3 3" xfId="2411" xr:uid="{00000000-0005-0000-0000-0000CD070000}"/>
    <cellStyle name="Normal 6 6 4" xfId="2412" xr:uid="{00000000-0005-0000-0000-0000CE070000}"/>
    <cellStyle name="Normal 6 6 4 2" xfId="2413" xr:uid="{00000000-0005-0000-0000-0000CF070000}"/>
    <cellStyle name="Normal 6 6 5" xfId="2414" xr:uid="{00000000-0005-0000-0000-0000D0070000}"/>
    <cellStyle name="Normal 6 7" xfId="2415" xr:uid="{00000000-0005-0000-0000-0000D1070000}"/>
    <cellStyle name="Normal 6 7 2" xfId="2416" xr:uid="{00000000-0005-0000-0000-0000D2070000}"/>
    <cellStyle name="Normal 6 7 2 2" xfId="2417" xr:uid="{00000000-0005-0000-0000-0000D3070000}"/>
    <cellStyle name="Normal 6 7 2 2 2" xfId="2418" xr:uid="{00000000-0005-0000-0000-0000D4070000}"/>
    <cellStyle name="Normal 6 7 2 3" xfId="2419" xr:uid="{00000000-0005-0000-0000-0000D5070000}"/>
    <cellStyle name="Normal 6 7 3" xfId="2420" xr:uid="{00000000-0005-0000-0000-0000D6070000}"/>
    <cellStyle name="Normal 6 7 3 2" xfId="2421" xr:uid="{00000000-0005-0000-0000-0000D7070000}"/>
    <cellStyle name="Normal 6 7 3 2 2" xfId="2422" xr:uid="{00000000-0005-0000-0000-0000D8070000}"/>
    <cellStyle name="Normal 6 7 3 3" xfId="2423" xr:uid="{00000000-0005-0000-0000-0000D9070000}"/>
    <cellStyle name="Normal 6 7 4" xfId="2424" xr:uid="{00000000-0005-0000-0000-0000DA070000}"/>
    <cellStyle name="Normal 6 7 4 2" xfId="2425" xr:uid="{00000000-0005-0000-0000-0000DB070000}"/>
    <cellStyle name="Normal 6 7 5" xfId="2426" xr:uid="{00000000-0005-0000-0000-0000DC070000}"/>
    <cellStyle name="Normal 6 8" xfId="2427" xr:uid="{00000000-0005-0000-0000-0000DD070000}"/>
    <cellStyle name="Normal 6 8 2" xfId="2428" xr:uid="{00000000-0005-0000-0000-0000DE070000}"/>
    <cellStyle name="Normal 6 8 2 2" xfId="2429" xr:uid="{00000000-0005-0000-0000-0000DF070000}"/>
    <cellStyle name="Normal 6 8 2 2 2" xfId="2430" xr:uid="{00000000-0005-0000-0000-0000E0070000}"/>
    <cellStyle name="Normal 6 8 2 3" xfId="2431" xr:uid="{00000000-0005-0000-0000-0000E1070000}"/>
    <cellStyle name="Normal 6 8 3" xfId="2432" xr:uid="{00000000-0005-0000-0000-0000E2070000}"/>
    <cellStyle name="Normal 6 8 3 2" xfId="2433" xr:uid="{00000000-0005-0000-0000-0000E3070000}"/>
    <cellStyle name="Normal 6 8 3 2 2" xfId="2434" xr:uid="{00000000-0005-0000-0000-0000E4070000}"/>
    <cellStyle name="Normal 6 8 3 3" xfId="2435" xr:uid="{00000000-0005-0000-0000-0000E5070000}"/>
    <cellStyle name="Normal 6 8 4" xfId="2436" xr:uid="{00000000-0005-0000-0000-0000E6070000}"/>
    <cellStyle name="Normal 6 8 4 2" xfId="2437" xr:uid="{00000000-0005-0000-0000-0000E7070000}"/>
    <cellStyle name="Normal 6 8 5" xfId="2438" xr:uid="{00000000-0005-0000-0000-0000E8070000}"/>
    <cellStyle name="Normal 6 9" xfId="2439" xr:uid="{00000000-0005-0000-0000-0000E9070000}"/>
    <cellStyle name="Normal 60" xfId="2815" xr:uid="{AE5A4E50-2408-457F-8B20-2FED5D2025C8}"/>
    <cellStyle name="Normal 61" xfId="2917" xr:uid="{F8ABDB42-719D-419A-BA4D-B6E24847CF45}"/>
    <cellStyle name="Normal 7" xfId="1166" xr:uid="{00000000-0005-0000-0000-0000EA070000}"/>
    <cellStyle name="Normal 7 2" xfId="2440" xr:uid="{00000000-0005-0000-0000-0000EB070000}"/>
    <cellStyle name="Normal 7 3" xfId="2596" xr:uid="{00000000-0005-0000-0000-0000EC070000}"/>
    <cellStyle name="Normal 7 4" xfId="2897" xr:uid="{E719AFA9-5E9C-4EB0-B708-001008810ACF}"/>
    <cellStyle name="Normal 7 5" xfId="2940" xr:uid="{DAC8F036-5EB1-4F6A-A6B0-94C6F9FB665F}"/>
    <cellStyle name="Normal 72 2" xfId="2880" xr:uid="{1DB88341-CA94-4B62-BECF-2BA4B2E65D47}"/>
    <cellStyle name="Normal 8" xfId="1167" xr:uid="{00000000-0005-0000-0000-0000ED070000}"/>
    <cellStyle name="Normal 8 2" xfId="1168" xr:uid="{00000000-0005-0000-0000-0000EE070000}"/>
    <cellStyle name="Normal 8 3" xfId="1169" xr:uid="{00000000-0005-0000-0000-0000EF070000}"/>
    <cellStyle name="Normal 8 4" xfId="2441" xr:uid="{00000000-0005-0000-0000-0000F0070000}"/>
    <cellStyle name="Normal 8 5" xfId="2597" xr:uid="{00000000-0005-0000-0000-0000F1070000}"/>
    <cellStyle name="Normal 8 6" xfId="2899" xr:uid="{62B746A0-DDDA-4C23-97A8-3EBACAB5EC42}"/>
    <cellStyle name="Normal 9" xfId="1170" xr:uid="{00000000-0005-0000-0000-0000F2070000}"/>
    <cellStyle name="Normal 9 2" xfId="2442" xr:uid="{00000000-0005-0000-0000-0000F3070000}"/>
    <cellStyle name="Normal 9 3" xfId="2598" xr:uid="{00000000-0005-0000-0000-0000F4070000}"/>
    <cellStyle name="Normal 9 4" xfId="2909" xr:uid="{6366CCCB-29D1-44E5-8A62-1263CD2EC355}"/>
    <cellStyle name="Normal Bold" xfId="531" xr:uid="{00000000-0005-0000-0000-0000F5070000}"/>
    <cellStyle name="Normal Pct" xfId="532" xr:uid="{00000000-0005-0000-0000-0000F6070000}"/>
    <cellStyle name="Normal_RateReturn_AFUDC" xfId="533" xr:uid="{00000000-0005-0000-0000-0000F7070000}"/>
    <cellStyle name="normal5" xfId="534" xr:uid="{00000000-0005-0000-0000-0000F8070000}"/>
    <cellStyle name="Normale_All 2" xfId="1171" xr:uid="{00000000-0005-0000-0000-0000F9070000}"/>
    <cellStyle name="NormalGB" xfId="535" xr:uid="{00000000-0005-0000-0000-0000FA070000}"/>
    <cellStyle name="NOT" xfId="1172" xr:uid="{00000000-0005-0000-0000-0000FB070000}"/>
    <cellStyle name="Note" xfId="536" builtinId="10" customBuiltin="1"/>
    <cellStyle name="Note 10" xfId="2443" xr:uid="{00000000-0005-0000-0000-0000FD070000}"/>
    <cellStyle name="Note 11" xfId="2444" xr:uid="{00000000-0005-0000-0000-0000FE070000}"/>
    <cellStyle name="Note 2" xfId="537" xr:uid="{00000000-0005-0000-0000-0000FF070000}"/>
    <cellStyle name="Note 2 2" xfId="1173" xr:uid="{00000000-0005-0000-0000-000000080000}"/>
    <cellStyle name="Note 2 2 2" xfId="2446" xr:uid="{00000000-0005-0000-0000-000001080000}"/>
    <cellStyle name="Note 2 3" xfId="1886" xr:uid="{00000000-0005-0000-0000-000002080000}"/>
    <cellStyle name="Note 2 4" xfId="2445" xr:uid="{00000000-0005-0000-0000-000003080000}"/>
    <cellStyle name="Note 2_Allocators" xfId="2447" xr:uid="{00000000-0005-0000-0000-000004080000}"/>
    <cellStyle name="Note 3" xfId="625" xr:uid="{00000000-0005-0000-0000-000005080000}"/>
    <cellStyle name="Note 3 2" xfId="1174" xr:uid="{00000000-0005-0000-0000-000006080000}"/>
    <cellStyle name="Note 3 2 2" xfId="2449" xr:uid="{00000000-0005-0000-0000-000007080000}"/>
    <cellStyle name="Note 3 3" xfId="2450" xr:uid="{00000000-0005-0000-0000-000008080000}"/>
    <cellStyle name="Note 3 4" xfId="2448" xr:uid="{00000000-0005-0000-0000-000009080000}"/>
    <cellStyle name="Note 3_Allocators" xfId="2451" xr:uid="{00000000-0005-0000-0000-00000A080000}"/>
    <cellStyle name="Note 4" xfId="2452" xr:uid="{00000000-0005-0000-0000-00000B080000}"/>
    <cellStyle name="Note 4 2" xfId="2453" xr:uid="{00000000-0005-0000-0000-00000C080000}"/>
    <cellStyle name="Note 4_Allocators" xfId="2454" xr:uid="{00000000-0005-0000-0000-00000D080000}"/>
    <cellStyle name="Note 5" xfId="2455" xr:uid="{00000000-0005-0000-0000-00000E080000}"/>
    <cellStyle name="Note 6" xfId="2456" xr:uid="{00000000-0005-0000-0000-00000F080000}"/>
    <cellStyle name="Note 6 2" xfId="2457" xr:uid="{00000000-0005-0000-0000-000010080000}"/>
    <cellStyle name="Note 6_Allocators" xfId="2458" xr:uid="{00000000-0005-0000-0000-000011080000}"/>
    <cellStyle name="Note 7" xfId="2459" xr:uid="{00000000-0005-0000-0000-000012080000}"/>
    <cellStyle name="Note 7 2" xfId="2460" xr:uid="{00000000-0005-0000-0000-000013080000}"/>
    <cellStyle name="Note 8" xfId="2461" xr:uid="{00000000-0005-0000-0000-000014080000}"/>
    <cellStyle name="Note 9" xfId="2462" xr:uid="{00000000-0005-0000-0000-000015080000}"/>
    <cellStyle name="Notes" xfId="1175" xr:uid="{00000000-0005-0000-0000-000016080000}"/>
    <cellStyle name="nPlosion" xfId="538" xr:uid="{00000000-0005-0000-0000-000017080000}"/>
    <cellStyle name="NPPESalesPct" xfId="539" xr:uid="{00000000-0005-0000-0000-000018080000}"/>
    <cellStyle name="ntec" xfId="540" xr:uid="{00000000-0005-0000-0000-000019080000}"/>
    <cellStyle name="Number" xfId="1176" xr:uid="{00000000-0005-0000-0000-00001A080000}"/>
    <cellStyle name="NumberFormat" xfId="1177" xr:uid="{00000000-0005-0000-0000-00001B080000}"/>
    <cellStyle name="nvision" xfId="541" xr:uid="{00000000-0005-0000-0000-00001C080000}"/>
    <cellStyle name="NWI%S" xfId="542" xr:uid="{00000000-0005-0000-0000-00001D080000}"/>
    <cellStyle name="Œ…‹æØ‚è [0.00]_GE 3 MINIMUM" xfId="1178" xr:uid="{00000000-0005-0000-0000-00001E080000}"/>
    <cellStyle name="Œ…‹æØ‚è_GE 3 MINIMUM" xfId="1179" xr:uid="{00000000-0005-0000-0000-00001F080000}"/>
    <cellStyle name="Offsheet" xfId="2829" xr:uid="{EE9467F3-7B27-4787-8EAE-FFE3B25310F0}"/>
    <cellStyle name="outh America" xfId="1180" xr:uid="{00000000-0005-0000-0000-000020080000}"/>
    <cellStyle name="outh America 2" xfId="1181" xr:uid="{00000000-0005-0000-0000-000021080000}"/>
    <cellStyle name="outh America 3" xfId="1182" xr:uid="{00000000-0005-0000-0000-000022080000}"/>
    <cellStyle name="outh America 4" xfId="1183" xr:uid="{00000000-0005-0000-0000-000023080000}"/>
    <cellStyle name="Outlined" xfId="543" xr:uid="{00000000-0005-0000-0000-000024080000}"/>
    <cellStyle name="Output" xfId="544" builtinId="21" customBuiltin="1"/>
    <cellStyle name="Output 2" xfId="545" xr:uid="{00000000-0005-0000-0000-000026080000}"/>
    <cellStyle name="Output 2 2" xfId="1184" xr:uid="{00000000-0005-0000-0000-000027080000}"/>
    <cellStyle name="Output 3" xfId="2463" xr:uid="{00000000-0005-0000-0000-000028080000}"/>
    <cellStyle name="Output 4" xfId="2464" xr:uid="{00000000-0005-0000-0000-000029080000}"/>
    <cellStyle name="Output 5" xfId="2465" xr:uid="{00000000-0005-0000-0000-00002A080000}"/>
    <cellStyle name="Output 6" xfId="2466" xr:uid="{00000000-0005-0000-0000-00002B080000}"/>
    <cellStyle name="p" xfId="1185" xr:uid="{00000000-0005-0000-0000-00002C080000}"/>
    <cellStyle name="p_WACC benchmarking" xfId="1186" xr:uid="{00000000-0005-0000-0000-00002D080000}"/>
    <cellStyle name="p1" xfId="1187" xr:uid="{00000000-0005-0000-0000-00002E080000}"/>
    <cellStyle name="Page Heading Large" xfId="546" xr:uid="{00000000-0005-0000-0000-00002F080000}"/>
    <cellStyle name="Page Heading Large 2" xfId="1189" xr:uid="{00000000-0005-0000-0000-000030080000}"/>
    <cellStyle name="Page Heading Large 3" xfId="1190" xr:uid="{00000000-0005-0000-0000-000031080000}"/>
    <cellStyle name="Page Heading Large 4" xfId="1191" xr:uid="{00000000-0005-0000-0000-000032080000}"/>
    <cellStyle name="Page Heading Large 5" xfId="1188" xr:uid="{00000000-0005-0000-0000-000033080000}"/>
    <cellStyle name="Page Heading Small" xfId="547" xr:uid="{00000000-0005-0000-0000-000034080000}"/>
    <cellStyle name="Page Heading Small 2" xfId="1193" xr:uid="{00000000-0005-0000-0000-000035080000}"/>
    <cellStyle name="Page Heading Small 3" xfId="1194" xr:uid="{00000000-0005-0000-0000-000036080000}"/>
    <cellStyle name="Page Heading Small 4" xfId="1195" xr:uid="{00000000-0005-0000-0000-000037080000}"/>
    <cellStyle name="Page Heading Small 5" xfId="1192" xr:uid="{00000000-0005-0000-0000-000038080000}"/>
    <cellStyle name="Page Number" xfId="548" xr:uid="{00000000-0005-0000-0000-000039080000}"/>
    <cellStyle name="Page Number 2" xfId="1197" xr:uid="{00000000-0005-0000-0000-00003A080000}"/>
    <cellStyle name="Page Number 3" xfId="1196" xr:uid="{00000000-0005-0000-0000-00003B080000}"/>
    <cellStyle name="Page Title" xfId="549" xr:uid="{00000000-0005-0000-0000-00003C080000}"/>
    <cellStyle name="Parent row" xfId="2904" xr:uid="{03862389-B4DB-4780-BE6A-E38864D1F150}"/>
    <cellStyle name="PctChg" xfId="1198" xr:uid="{00000000-0005-0000-0000-00003D080000}"/>
    <cellStyle name="PctChgCol" xfId="1199" xr:uid="{00000000-0005-0000-0000-00003E080000}"/>
    <cellStyle name="pd" xfId="1200" xr:uid="{00000000-0005-0000-0000-00003F080000}"/>
    <cellStyle name="pe" xfId="1201" xr:uid="{00000000-0005-0000-0000-000040080000}"/>
    <cellStyle name="pe 2" xfId="1202" xr:uid="{00000000-0005-0000-0000-000041080000}"/>
    <cellStyle name="per" xfId="1203" xr:uid="{00000000-0005-0000-0000-000042080000}"/>
    <cellStyle name="per m3" xfId="550" xr:uid="{00000000-0005-0000-0000-000043080000}"/>
    <cellStyle name="per Ton" xfId="551" xr:uid="{00000000-0005-0000-0000-000044080000}"/>
    <cellStyle name="Percen - Style1" xfId="552" xr:uid="{00000000-0005-0000-0000-000045080000}"/>
    <cellStyle name="Percen - Style1 2" xfId="1204" xr:uid="{00000000-0005-0000-0000-000046080000}"/>
    <cellStyle name="Percent" xfId="553" builtinId="5"/>
    <cellStyle name="Percent [.00%]" xfId="554" xr:uid="{00000000-0005-0000-0000-000048080000}"/>
    <cellStyle name="Percent [0]" xfId="555" xr:uid="{00000000-0005-0000-0000-000049080000}"/>
    <cellStyle name="Percent [0] 2" xfId="1206" xr:uid="{00000000-0005-0000-0000-00004A080000}"/>
    <cellStyle name="Percent [0] 3" xfId="1887" xr:uid="{00000000-0005-0000-0000-00004B080000}"/>
    <cellStyle name="Percent [0] 4" xfId="2846" xr:uid="{FB94DEE4-2C5E-4256-A82D-93B015F1B079}"/>
    <cellStyle name="Percent [1]" xfId="556" xr:uid="{00000000-0005-0000-0000-00004C080000}"/>
    <cellStyle name="Percent [1] 2" xfId="1207" xr:uid="{00000000-0005-0000-0000-00004D080000}"/>
    <cellStyle name="Percent [2]" xfId="557" xr:uid="{00000000-0005-0000-0000-00004E080000}"/>
    <cellStyle name="Percent [2] 2" xfId="1209" xr:uid="{00000000-0005-0000-0000-00004F080000}"/>
    <cellStyle name="Percent [2] 3" xfId="1210" xr:uid="{00000000-0005-0000-0000-000050080000}"/>
    <cellStyle name="Percent [2] 4" xfId="1211" xr:uid="{00000000-0005-0000-0000-000051080000}"/>
    <cellStyle name="Percent [2] 5" xfId="1208" xr:uid="{00000000-0005-0000-0000-000052080000}"/>
    <cellStyle name="Percent [2] 6" xfId="1888" xr:uid="{00000000-0005-0000-0000-000053080000}"/>
    <cellStyle name="Percent 00" xfId="1212" xr:uid="{00000000-0005-0000-0000-000054080000}"/>
    <cellStyle name="Percent 10" xfId="634" xr:uid="{00000000-0005-0000-0000-000055080000}"/>
    <cellStyle name="Percent 10 2" xfId="1213" xr:uid="{00000000-0005-0000-0000-000056080000}"/>
    <cellStyle name="Percent 10 3" xfId="2468" xr:uid="{00000000-0005-0000-0000-000057080000}"/>
    <cellStyle name="Percent 10 4" xfId="2807" xr:uid="{00000000-0005-0000-0000-000058080000}"/>
    <cellStyle name="Percent 11" xfId="1214" xr:uid="{00000000-0005-0000-0000-000059080000}"/>
    <cellStyle name="Percent 12" xfId="1215" xr:uid="{00000000-0005-0000-0000-00005A080000}"/>
    <cellStyle name="Percent 13" xfId="1216" xr:uid="{00000000-0005-0000-0000-00005B080000}"/>
    <cellStyle name="Percent 13 2" xfId="2470" xr:uid="{00000000-0005-0000-0000-00005C080000}"/>
    <cellStyle name="Percent 13 2 2" xfId="2471" xr:uid="{00000000-0005-0000-0000-00005D080000}"/>
    <cellStyle name="Percent 13 2 2 2" xfId="2472" xr:uid="{00000000-0005-0000-0000-00005E080000}"/>
    <cellStyle name="Percent 13 2 3" xfId="2473" xr:uid="{00000000-0005-0000-0000-00005F080000}"/>
    <cellStyle name="Percent 13 3" xfId="2474" xr:uid="{00000000-0005-0000-0000-000060080000}"/>
    <cellStyle name="Percent 13 3 2" xfId="2475" xr:uid="{00000000-0005-0000-0000-000061080000}"/>
    <cellStyle name="Percent 13 3 2 2" xfId="2476" xr:uid="{00000000-0005-0000-0000-000062080000}"/>
    <cellStyle name="Percent 13 3 3" xfId="2477" xr:uid="{00000000-0005-0000-0000-000063080000}"/>
    <cellStyle name="Percent 13 4" xfId="2478" xr:uid="{00000000-0005-0000-0000-000064080000}"/>
    <cellStyle name="Percent 13 4 2" xfId="2479" xr:uid="{00000000-0005-0000-0000-000065080000}"/>
    <cellStyle name="Percent 13 5" xfId="2480" xr:uid="{00000000-0005-0000-0000-000066080000}"/>
    <cellStyle name="Percent 13 6" xfId="2469" xr:uid="{00000000-0005-0000-0000-000067080000}"/>
    <cellStyle name="Percent 14" xfId="1205" xr:uid="{00000000-0005-0000-0000-000068080000}"/>
    <cellStyle name="Percent 14 2" xfId="1639" xr:uid="{00000000-0005-0000-0000-000069080000}"/>
    <cellStyle name="Percent 15" xfId="1918" xr:uid="{00000000-0005-0000-0000-00006A080000}"/>
    <cellStyle name="Percent 15 2" xfId="2708" xr:uid="{00000000-0005-0000-0000-00006B080000}"/>
    <cellStyle name="Percent 16" xfId="2467" xr:uid="{00000000-0005-0000-0000-00006C080000}"/>
    <cellStyle name="Percent 16 2" xfId="2709" xr:uid="{00000000-0005-0000-0000-00006D080000}"/>
    <cellStyle name="Percent 17" xfId="2599" xr:uid="{00000000-0005-0000-0000-00006E080000}"/>
    <cellStyle name="Percent 17 2" xfId="2710" xr:uid="{00000000-0005-0000-0000-00006F080000}"/>
    <cellStyle name="Percent 18" xfId="2579" xr:uid="{00000000-0005-0000-0000-000070080000}"/>
    <cellStyle name="Percent 18 2" xfId="2711" xr:uid="{00000000-0005-0000-0000-000071080000}"/>
    <cellStyle name="Percent 19" xfId="2572" xr:uid="{00000000-0005-0000-0000-000072080000}"/>
    <cellStyle name="Percent 19 2" xfId="2712" xr:uid="{00000000-0005-0000-0000-000073080000}"/>
    <cellStyle name="Percent 2" xfId="558" xr:uid="{00000000-0005-0000-0000-000074080000}"/>
    <cellStyle name="Percent 2 2" xfId="630" xr:uid="{00000000-0005-0000-0000-000075080000}"/>
    <cellStyle name="Percent 2 2 2" xfId="2481" xr:uid="{00000000-0005-0000-0000-000076080000}"/>
    <cellStyle name="Percent 2 2 3" xfId="2884" xr:uid="{5563C8B2-CBFA-4C5F-9C92-541B4C99DFF5}"/>
    <cellStyle name="Percent 2 2 4" xfId="2956" xr:uid="{6F1573A4-4489-44EC-90E2-29962FF34AC6}"/>
    <cellStyle name="Percent 2 3" xfId="1217" xr:uid="{00000000-0005-0000-0000-000077080000}"/>
    <cellStyle name="Percent 2 3 2" xfId="2714" xr:uid="{00000000-0005-0000-0000-000078080000}"/>
    <cellStyle name="Percent 2 3 3" xfId="2713" xr:uid="{00000000-0005-0000-0000-000079080000}"/>
    <cellStyle name="Percent 2 4" xfId="2715" xr:uid="{00000000-0005-0000-0000-00007A080000}"/>
    <cellStyle name="Percent 2 5" xfId="2930" xr:uid="{1B439411-96AD-4491-A159-D581A6B0527E}"/>
    <cellStyle name="Percent 20" xfId="2639" xr:uid="{00000000-0005-0000-0000-00007B080000}"/>
    <cellStyle name="Percent 20 2" xfId="2716" xr:uid="{00000000-0005-0000-0000-00007C080000}"/>
    <cellStyle name="Percent 21" xfId="2640" xr:uid="{00000000-0005-0000-0000-00007D080000}"/>
    <cellStyle name="Percent 21 2" xfId="2717" xr:uid="{00000000-0005-0000-0000-00007E080000}"/>
    <cellStyle name="Percent 22" xfId="2657" xr:uid="{00000000-0005-0000-0000-00007F080000}"/>
    <cellStyle name="Percent 22 2" xfId="2718" xr:uid="{00000000-0005-0000-0000-000080080000}"/>
    <cellStyle name="Percent 23" xfId="2669" xr:uid="{00000000-0005-0000-0000-000081080000}"/>
    <cellStyle name="Percent 23 2" xfId="2719" xr:uid="{00000000-0005-0000-0000-000082080000}"/>
    <cellStyle name="Percent 24" xfId="2720" xr:uid="{00000000-0005-0000-0000-000083080000}"/>
    <cellStyle name="Percent 25" xfId="2721" xr:uid="{00000000-0005-0000-0000-000084080000}"/>
    <cellStyle name="Percent 26" xfId="2722" xr:uid="{00000000-0005-0000-0000-000085080000}"/>
    <cellStyle name="Percent 27" xfId="2723" xr:uid="{00000000-0005-0000-0000-000086080000}"/>
    <cellStyle name="Percent 28" xfId="2724" xr:uid="{00000000-0005-0000-0000-000087080000}"/>
    <cellStyle name="Percent 29" xfId="2725" xr:uid="{00000000-0005-0000-0000-000088080000}"/>
    <cellStyle name="Percent 3" xfId="626" xr:uid="{00000000-0005-0000-0000-000089080000}"/>
    <cellStyle name="Percent 3 2" xfId="1218" xr:uid="{00000000-0005-0000-0000-00008A080000}"/>
    <cellStyle name="Percent 3 2 2" xfId="2483" xr:uid="{00000000-0005-0000-0000-00008B080000}"/>
    <cellStyle name="Percent 3 2 3" xfId="2726" xr:uid="{00000000-0005-0000-0000-00008C080000}"/>
    <cellStyle name="Percent 3 2 4" xfId="2839" xr:uid="{627CBAA0-F84E-46F8-8880-1D3C04BA2943}"/>
    <cellStyle name="Percent 3 3" xfId="2484" xr:uid="{00000000-0005-0000-0000-00008D080000}"/>
    <cellStyle name="Percent 3 3 2" xfId="2727" xr:uid="{00000000-0005-0000-0000-00008E080000}"/>
    <cellStyle name="Percent 3 3 3" xfId="2821" xr:uid="{1EC2C56C-BB90-4EC1-8F80-5B91F24BAA89}"/>
    <cellStyle name="Percent 3 4" xfId="2485" xr:uid="{00000000-0005-0000-0000-00008F080000}"/>
    <cellStyle name="Percent 3 5" xfId="2486" xr:uid="{00000000-0005-0000-0000-000090080000}"/>
    <cellStyle name="Percent 3 6" xfId="2487" xr:uid="{00000000-0005-0000-0000-000091080000}"/>
    <cellStyle name="Percent 3 7" xfId="2482" xr:uid="{00000000-0005-0000-0000-000092080000}"/>
    <cellStyle name="Percent 3 8" xfId="2933" xr:uid="{60CF94F3-DEAC-49BE-A57A-9457B3B45A2D}"/>
    <cellStyle name="Percent 30" xfId="2733" xr:uid="{00000000-0005-0000-0000-000093080000}"/>
    <cellStyle name="Percent 30 2" xfId="2831" xr:uid="{4AC58B40-E08D-4C76-96E5-786B9E261680}"/>
    <cellStyle name="Percent 31" xfId="2744" xr:uid="{00000000-0005-0000-0000-000094080000}"/>
    <cellStyle name="Percent 32" xfId="2745" xr:uid="{00000000-0005-0000-0000-000095080000}"/>
    <cellStyle name="Percent 33" xfId="2743" xr:uid="{00000000-0005-0000-0000-000096080000}"/>
    <cellStyle name="Percent 34" xfId="2748" xr:uid="{00000000-0005-0000-0000-000097080000}"/>
    <cellStyle name="Percent 35" xfId="2765" xr:uid="{00000000-0005-0000-0000-000098080000}"/>
    <cellStyle name="Percent 36" xfId="2768" xr:uid="{00000000-0005-0000-0000-000099080000}"/>
    <cellStyle name="Percent 37" xfId="2782" xr:uid="{00000000-0005-0000-0000-00009A080000}"/>
    <cellStyle name="Percent 38" xfId="2786" xr:uid="{00000000-0005-0000-0000-00009B080000}"/>
    <cellStyle name="Percent 39" xfId="2783" xr:uid="{00000000-0005-0000-0000-00009C080000}"/>
    <cellStyle name="Percent 4" xfId="619" xr:uid="{00000000-0005-0000-0000-00009D080000}"/>
    <cellStyle name="Percent 4 2" xfId="1219" xr:uid="{00000000-0005-0000-0000-00009E080000}"/>
    <cellStyle name="Percent 4 2 2" xfId="2489" xr:uid="{00000000-0005-0000-0000-00009F080000}"/>
    <cellStyle name="Percent 4 2 3" xfId="2825" xr:uid="{014F62B3-5BAB-4920-A16F-88A016E34ECA}"/>
    <cellStyle name="Percent 4 3" xfId="2490" xr:uid="{00000000-0005-0000-0000-0000A0080000}"/>
    <cellStyle name="Percent 4 4" xfId="2491" xr:uid="{00000000-0005-0000-0000-0000A1080000}"/>
    <cellStyle name="Percent 4 5" xfId="2488" xr:uid="{00000000-0005-0000-0000-0000A2080000}"/>
    <cellStyle name="Percent 4 6" xfId="2898" xr:uid="{62D39130-91FC-4462-BA25-4133E70ACEB2}"/>
    <cellStyle name="Percent 4 7" xfId="2937" xr:uid="{68B7B530-8174-4544-B47A-63086C72267E}"/>
    <cellStyle name="Percent 4 8" xfId="2960" xr:uid="{17FB40AC-EC67-4DE1-98C4-4CC76C61CF52}"/>
    <cellStyle name="Percent 40" xfId="2788" xr:uid="{00000000-0005-0000-0000-0000A3080000}"/>
    <cellStyle name="Percent 41" xfId="2787" xr:uid="{00000000-0005-0000-0000-0000A4080000}"/>
    <cellStyle name="Percent 42" xfId="2789" xr:uid="{00000000-0005-0000-0000-0000A5080000}"/>
    <cellStyle name="Percent 43" xfId="2806" xr:uid="{00000000-0005-0000-0000-0000A6080000}"/>
    <cellStyle name="Percent 44" xfId="2809" xr:uid="{00000000-0005-0000-0000-0000A7080000}"/>
    <cellStyle name="Percent 45" xfId="2814" xr:uid="{00000000-0005-0000-0000-0000A8080000}"/>
    <cellStyle name="Percent 46" xfId="2816" xr:uid="{34CEE42D-116A-4F75-8048-AD87BE06375D}"/>
    <cellStyle name="Percent 47" xfId="2918" xr:uid="{5EA424A0-1719-46B0-B329-626FA678A346}"/>
    <cellStyle name="Percent 5" xfId="649" xr:uid="{00000000-0005-0000-0000-0000A9080000}"/>
    <cellStyle name="Percent 5 10" xfId="2766" xr:uid="{00000000-0005-0000-0000-0000AA080000}"/>
    <cellStyle name="Percent 5 11" xfId="2784" xr:uid="{00000000-0005-0000-0000-0000AB080000}"/>
    <cellStyle name="Percent 5 12" xfId="2906" xr:uid="{495555F9-5D17-410E-BAAD-0EADD5CCD9EF}"/>
    <cellStyle name="Percent 5 2" xfId="1221" xr:uid="{00000000-0005-0000-0000-0000AC080000}"/>
    <cellStyle name="Percent 5 2 2" xfId="2892" xr:uid="{9B56BA73-BFAB-4207-9A08-9A38F0108756}"/>
    <cellStyle name="Percent 5 3" xfId="1222" xr:uid="{00000000-0005-0000-0000-0000AD080000}"/>
    <cellStyle name="Percent 5 4" xfId="1220" xr:uid="{00000000-0005-0000-0000-0000AE080000}"/>
    <cellStyle name="Percent 5 5" xfId="2600" xr:uid="{00000000-0005-0000-0000-0000AF080000}"/>
    <cellStyle name="Percent 5 6" xfId="2641" xr:uid="{00000000-0005-0000-0000-0000B0080000}"/>
    <cellStyle name="Percent 5 7" xfId="2658" xr:uid="{00000000-0005-0000-0000-0000B1080000}"/>
    <cellStyle name="Percent 5 8" xfId="2670" xr:uid="{00000000-0005-0000-0000-0000B2080000}"/>
    <cellStyle name="Percent 5 9" xfId="2746" xr:uid="{00000000-0005-0000-0000-0000B3080000}"/>
    <cellStyle name="Percent 6" xfId="632" xr:uid="{00000000-0005-0000-0000-0000B4080000}"/>
    <cellStyle name="Percent 6 10" xfId="2767" xr:uid="{00000000-0005-0000-0000-0000B5080000}"/>
    <cellStyle name="Percent 6 11" xfId="2785" xr:uid="{00000000-0005-0000-0000-0000B6080000}"/>
    <cellStyle name="Percent 6 12" xfId="2910" xr:uid="{07BC2B86-FD18-4D81-B79F-2E97BB183993}"/>
    <cellStyle name="Percent 6 2" xfId="1224" xr:uid="{00000000-0005-0000-0000-0000B7080000}"/>
    <cellStyle name="Percent 6 3" xfId="1225" xr:uid="{00000000-0005-0000-0000-0000B8080000}"/>
    <cellStyle name="Percent 6 4" xfId="1223" xr:uid="{00000000-0005-0000-0000-0000B9080000}"/>
    <cellStyle name="Percent 6 5" xfId="2601" xr:uid="{00000000-0005-0000-0000-0000BA080000}"/>
    <cellStyle name="Percent 6 6" xfId="2642" xr:uid="{00000000-0005-0000-0000-0000BB080000}"/>
    <cellStyle name="Percent 6 7" xfId="2659" xr:uid="{00000000-0005-0000-0000-0000BC080000}"/>
    <cellStyle name="Percent 6 8" xfId="2671" xr:uid="{00000000-0005-0000-0000-0000BD080000}"/>
    <cellStyle name="Percent 6 9" xfId="2747" xr:uid="{00000000-0005-0000-0000-0000BE080000}"/>
    <cellStyle name="Percent 7" xfId="648" xr:uid="{00000000-0005-0000-0000-0000BF080000}"/>
    <cellStyle name="Percent 7 2" xfId="1226" xr:uid="{00000000-0005-0000-0000-0000C0080000}"/>
    <cellStyle name="Percent 7 3" xfId="2492" xr:uid="{00000000-0005-0000-0000-0000C1080000}"/>
    <cellStyle name="Percent 7 4" xfId="2911" xr:uid="{5EF03CDD-F030-4F40-BD1A-5EFB2C1C2ADC}"/>
    <cellStyle name="Percent 8" xfId="633" xr:uid="{00000000-0005-0000-0000-0000C2080000}"/>
    <cellStyle name="Percent 8 2" xfId="1227" xr:uid="{00000000-0005-0000-0000-0000C3080000}"/>
    <cellStyle name="Percent 8 3" xfId="2493" xr:uid="{00000000-0005-0000-0000-0000C4080000}"/>
    <cellStyle name="Percent 9" xfId="647" xr:uid="{00000000-0005-0000-0000-0000C5080000}"/>
    <cellStyle name="Percent 9 2" xfId="1228" xr:uid="{00000000-0005-0000-0000-0000C6080000}"/>
    <cellStyle name="Percent 9 3" xfId="2494" xr:uid="{00000000-0005-0000-0000-0000C7080000}"/>
    <cellStyle name="Percent Hard" xfId="559" xr:uid="{00000000-0005-0000-0000-0000C8080000}"/>
    <cellStyle name="Percent Hard 2" xfId="1229" xr:uid="{00000000-0005-0000-0000-0000C9080000}"/>
    <cellStyle name="Percentage" xfId="1230" xr:uid="{00000000-0005-0000-0000-0000CA080000}"/>
    <cellStyle name="Percentage 2" xfId="1231" xr:uid="{00000000-0005-0000-0000-0000CB080000}"/>
    <cellStyle name="Percentage 3" xfId="1232" xr:uid="{00000000-0005-0000-0000-0000CC080000}"/>
    <cellStyle name="Percentage 4" xfId="1233" xr:uid="{00000000-0005-0000-0000-0000CD080000}"/>
    <cellStyle name="PercentSales" xfId="560" xr:uid="{00000000-0005-0000-0000-0000CE080000}"/>
    <cellStyle name="pf" xfId="1234" xr:uid="{00000000-0005-0000-0000-0000CF080000}"/>
    <cellStyle name="Pound" xfId="1235" xr:uid="{00000000-0005-0000-0000-0000D0080000}"/>
    <cellStyle name="Pound [1]" xfId="1236" xr:uid="{00000000-0005-0000-0000-0000D1080000}"/>
    <cellStyle name="Pound [2]" xfId="1237" xr:uid="{00000000-0005-0000-0000-0000D2080000}"/>
    <cellStyle name="Pourcentage 2" xfId="2944" xr:uid="{94C9A13D-7BF4-4709-B7E9-E68CF0C4665E}"/>
    <cellStyle name="Power Price" xfId="561" xr:uid="{00000000-0005-0000-0000-0000D3080000}"/>
    <cellStyle name="pp" xfId="1238" xr:uid="{00000000-0005-0000-0000-0000D4080000}"/>
    <cellStyle name="ppp" xfId="1239" xr:uid="{00000000-0005-0000-0000-0000D5080000}"/>
    <cellStyle name="Present Value" xfId="562" xr:uid="{00000000-0005-0000-0000-0000D6080000}"/>
    <cellStyle name="Price" xfId="1240" xr:uid="{00000000-0005-0000-0000-0000D7080000}"/>
    <cellStyle name="Price 2" xfId="1241" xr:uid="{00000000-0005-0000-0000-0000D8080000}"/>
    <cellStyle name="Product Title" xfId="1242" xr:uid="{00000000-0005-0000-0000-0000D9080000}"/>
    <cellStyle name="PSChar" xfId="563" xr:uid="{00000000-0005-0000-0000-0000DA080000}"/>
    <cellStyle name="PSChar 10" xfId="2922" xr:uid="{58B3EDB3-8244-45BB-BD33-646D4B686534}"/>
    <cellStyle name="PSChar 2" xfId="2495" xr:uid="{00000000-0005-0000-0000-0000DB080000}"/>
    <cellStyle name="PSChar 2 2" xfId="2496" xr:uid="{00000000-0005-0000-0000-0000DC080000}"/>
    <cellStyle name="PSChar 2 3" xfId="2497" xr:uid="{00000000-0005-0000-0000-0000DD080000}"/>
    <cellStyle name="PSChar 3" xfId="2498" xr:uid="{00000000-0005-0000-0000-0000DE080000}"/>
    <cellStyle name="PSChar 3 2" xfId="2499" xr:uid="{00000000-0005-0000-0000-0000DF080000}"/>
    <cellStyle name="PSChar 4" xfId="2500" xr:uid="{00000000-0005-0000-0000-0000E0080000}"/>
    <cellStyle name="PSChar 5" xfId="2501" xr:uid="{00000000-0005-0000-0000-0000E1080000}"/>
    <cellStyle name="PSChar 6" xfId="2502" xr:uid="{00000000-0005-0000-0000-0000E2080000}"/>
    <cellStyle name="PSChar 7" xfId="2603" xr:uid="{00000000-0005-0000-0000-0000E3080000}"/>
    <cellStyle name="PSChar 8" xfId="2604" xr:uid="{00000000-0005-0000-0000-0000E4080000}"/>
    <cellStyle name="PSChar 9" xfId="2605" xr:uid="{00000000-0005-0000-0000-0000E5080000}"/>
    <cellStyle name="PSDate" xfId="564" xr:uid="{00000000-0005-0000-0000-0000E6080000}"/>
    <cellStyle name="PSDate 10" xfId="2923" xr:uid="{472AFDC4-2809-4270-98EE-7914C92C06A9}"/>
    <cellStyle name="PSDate 2" xfId="2503" xr:uid="{00000000-0005-0000-0000-0000E7080000}"/>
    <cellStyle name="PSDate 2 2" xfId="2504" xr:uid="{00000000-0005-0000-0000-0000E8080000}"/>
    <cellStyle name="PSDate 2 3" xfId="2505" xr:uid="{00000000-0005-0000-0000-0000E9080000}"/>
    <cellStyle name="PSDate 3" xfId="2506" xr:uid="{00000000-0005-0000-0000-0000EA080000}"/>
    <cellStyle name="PSDate 3 2" xfId="2507" xr:uid="{00000000-0005-0000-0000-0000EB080000}"/>
    <cellStyle name="PSDate 4" xfId="2508" xr:uid="{00000000-0005-0000-0000-0000EC080000}"/>
    <cellStyle name="PSDate 5" xfId="2509" xr:uid="{00000000-0005-0000-0000-0000ED080000}"/>
    <cellStyle name="PSDate 6" xfId="2510" xr:uid="{00000000-0005-0000-0000-0000EE080000}"/>
    <cellStyle name="PSDate 7" xfId="2607" xr:uid="{00000000-0005-0000-0000-0000EF080000}"/>
    <cellStyle name="PSDate 8" xfId="2608" xr:uid="{00000000-0005-0000-0000-0000F0080000}"/>
    <cellStyle name="PSDate 9" xfId="2609" xr:uid="{00000000-0005-0000-0000-0000F1080000}"/>
    <cellStyle name="PSDec" xfId="565" xr:uid="{00000000-0005-0000-0000-0000F2080000}"/>
    <cellStyle name="PSDec 10" xfId="2924" xr:uid="{BA4DA736-8C7E-43B7-9851-3C52E35185EE}"/>
    <cellStyle name="PSDec 2" xfId="2511" xr:uid="{00000000-0005-0000-0000-0000F3080000}"/>
    <cellStyle name="PSDec 2 2" xfId="2512" xr:uid="{00000000-0005-0000-0000-0000F4080000}"/>
    <cellStyle name="PSDec 2 3" xfId="2513" xr:uid="{00000000-0005-0000-0000-0000F5080000}"/>
    <cellStyle name="PSDec 3" xfId="2514" xr:uid="{00000000-0005-0000-0000-0000F6080000}"/>
    <cellStyle name="PSDec 3 2" xfId="2515" xr:uid="{00000000-0005-0000-0000-0000F7080000}"/>
    <cellStyle name="PSDec 4" xfId="2516" xr:uid="{00000000-0005-0000-0000-0000F8080000}"/>
    <cellStyle name="PSDec 5" xfId="2517" xr:uid="{00000000-0005-0000-0000-0000F9080000}"/>
    <cellStyle name="PSDec 6" xfId="2518" xr:uid="{00000000-0005-0000-0000-0000FA080000}"/>
    <cellStyle name="PSDec 7" xfId="2610" xr:uid="{00000000-0005-0000-0000-0000FB080000}"/>
    <cellStyle name="PSDec 8" xfId="2611" xr:uid="{00000000-0005-0000-0000-0000FC080000}"/>
    <cellStyle name="PSDec 9" xfId="2612" xr:uid="{00000000-0005-0000-0000-0000FD080000}"/>
    <cellStyle name="PSHeading" xfId="566" xr:uid="{00000000-0005-0000-0000-0000FE080000}"/>
    <cellStyle name="PSHeading 10" xfId="2519" xr:uid="{00000000-0005-0000-0000-0000FF080000}"/>
    <cellStyle name="PSHeading 11" xfId="2520" xr:uid="{00000000-0005-0000-0000-000000090000}"/>
    <cellStyle name="PSHeading 12" xfId="2925" xr:uid="{9B016ED1-1AB7-41D9-8409-239AFF999F8B}"/>
    <cellStyle name="PSHeading 2" xfId="2521" xr:uid="{00000000-0005-0000-0000-000001090000}"/>
    <cellStyle name="PSHeading 2 2" xfId="2522" xr:uid="{00000000-0005-0000-0000-000002090000}"/>
    <cellStyle name="PSHeading 2 3" xfId="2523" xr:uid="{00000000-0005-0000-0000-000003090000}"/>
    <cellStyle name="PSHeading 2_108 Summary" xfId="2524" xr:uid="{00000000-0005-0000-0000-000004090000}"/>
    <cellStyle name="PSHeading 3" xfId="2525" xr:uid="{00000000-0005-0000-0000-000005090000}"/>
    <cellStyle name="PSHeading 3 2" xfId="2526" xr:uid="{00000000-0005-0000-0000-000006090000}"/>
    <cellStyle name="PSHeading 3_108 Summary" xfId="2527" xr:uid="{00000000-0005-0000-0000-000007090000}"/>
    <cellStyle name="PSHeading 4" xfId="2528" xr:uid="{00000000-0005-0000-0000-000008090000}"/>
    <cellStyle name="PSHeading 5" xfId="2529" xr:uid="{00000000-0005-0000-0000-000009090000}"/>
    <cellStyle name="PSHeading 6" xfId="2530" xr:uid="{00000000-0005-0000-0000-00000A090000}"/>
    <cellStyle name="PSHeading 7" xfId="2531" xr:uid="{00000000-0005-0000-0000-00000B090000}"/>
    <cellStyle name="PSHeading 8" xfId="2532" xr:uid="{00000000-0005-0000-0000-00000C090000}"/>
    <cellStyle name="PSHeading 9" xfId="2533" xr:uid="{00000000-0005-0000-0000-00000D090000}"/>
    <cellStyle name="PSHeading_101 check" xfId="2534" xr:uid="{00000000-0005-0000-0000-00000E090000}"/>
    <cellStyle name="PSInt" xfId="567" xr:uid="{00000000-0005-0000-0000-00000F090000}"/>
    <cellStyle name="PSInt 10" xfId="2926" xr:uid="{3069DE00-3896-4450-A6C4-AA711BE83C82}"/>
    <cellStyle name="PSInt 2" xfId="2535" xr:uid="{00000000-0005-0000-0000-000010090000}"/>
    <cellStyle name="PSInt 2 2" xfId="2536" xr:uid="{00000000-0005-0000-0000-000011090000}"/>
    <cellStyle name="PSInt 2 3" xfId="2537" xr:uid="{00000000-0005-0000-0000-000012090000}"/>
    <cellStyle name="PSInt 3" xfId="2538" xr:uid="{00000000-0005-0000-0000-000013090000}"/>
    <cellStyle name="PSInt 3 2" xfId="2539" xr:uid="{00000000-0005-0000-0000-000014090000}"/>
    <cellStyle name="PSInt 4" xfId="2540" xr:uid="{00000000-0005-0000-0000-000015090000}"/>
    <cellStyle name="PSInt 5" xfId="2541" xr:uid="{00000000-0005-0000-0000-000016090000}"/>
    <cellStyle name="PSInt 6" xfId="2542" xr:uid="{00000000-0005-0000-0000-000017090000}"/>
    <cellStyle name="PSInt 7" xfId="2613" xr:uid="{00000000-0005-0000-0000-000018090000}"/>
    <cellStyle name="PSInt 8" xfId="2614" xr:uid="{00000000-0005-0000-0000-000019090000}"/>
    <cellStyle name="PSInt 9" xfId="2615" xr:uid="{00000000-0005-0000-0000-00001A090000}"/>
    <cellStyle name="PSSpacer" xfId="568" xr:uid="{00000000-0005-0000-0000-00001B090000}"/>
    <cellStyle name="PSSpacer 2" xfId="2543" xr:uid="{00000000-0005-0000-0000-00001C090000}"/>
    <cellStyle name="PSSpacer 2 2" xfId="2544" xr:uid="{00000000-0005-0000-0000-00001D090000}"/>
    <cellStyle name="PSSpacer 2 3" xfId="2545" xr:uid="{00000000-0005-0000-0000-00001E090000}"/>
    <cellStyle name="PSSpacer 3" xfId="2546" xr:uid="{00000000-0005-0000-0000-00001F090000}"/>
    <cellStyle name="PSSpacer 3 2" xfId="2547" xr:uid="{00000000-0005-0000-0000-000020090000}"/>
    <cellStyle name="PSSpacer 4" xfId="2548" xr:uid="{00000000-0005-0000-0000-000021090000}"/>
    <cellStyle name="PSSpacer 5" xfId="2549" xr:uid="{00000000-0005-0000-0000-000022090000}"/>
    <cellStyle name="PSSpacer 6" xfId="2550" xr:uid="{00000000-0005-0000-0000-000023090000}"/>
    <cellStyle name="PSSpacer 7" xfId="2927" xr:uid="{A1DCBC8A-4551-4D53-B66D-5B4646B97B0C}"/>
    <cellStyle name="pt" xfId="1243" xr:uid="{00000000-0005-0000-0000-000024090000}"/>
    <cellStyle name="ptit" xfId="1244" xr:uid="{00000000-0005-0000-0000-000025090000}"/>
    <cellStyle name="r" xfId="1245" xr:uid="{00000000-0005-0000-0000-000026090000}"/>
    <cellStyle name="rat" xfId="1246" xr:uid="{00000000-0005-0000-0000-000027090000}"/>
    <cellStyle name="rat 2" xfId="1247" xr:uid="{00000000-0005-0000-0000-000028090000}"/>
    <cellStyle name="rate" xfId="1248" xr:uid="{00000000-0005-0000-0000-000029090000}"/>
    <cellStyle name="rate 2" xfId="1249" xr:uid="{00000000-0005-0000-0000-00002A090000}"/>
    <cellStyle name="rate 3" xfId="1250" xr:uid="{00000000-0005-0000-0000-00002B090000}"/>
    <cellStyle name="rate 4" xfId="1251" xr:uid="{00000000-0005-0000-0000-00002C090000}"/>
    <cellStyle name="Ratio" xfId="1252" xr:uid="{00000000-0005-0000-0000-00002D090000}"/>
    <cellStyle name="Red font" xfId="569" xr:uid="{00000000-0005-0000-0000-00002E090000}"/>
    <cellStyle name="ReportHeader" xfId="1253" xr:uid="{00000000-0005-0000-0000-00002F090000}"/>
    <cellStyle name="RISKbigPercent" xfId="1254" xr:uid="{00000000-0005-0000-0000-000030090000}"/>
    <cellStyle name="RISKblandrEdge" xfId="1255" xr:uid="{00000000-0005-0000-0000-000031090000}"/>
    <cellStyle name="RISKblCorner" xfId="1256" xr:uid="{00000000-0005-0000-0000-000032090000}"/>
    <cellStyle name="RISKbottomEdge" xfId="1257" xr:uid="{00000000-0005-0000-0000-000033090000}"/>
    <cellStyle name="RISKbrCorner" xfId="1258" xr:uid="{00000000-0005-0000-0000-000034090000}"/>
    <cellStyle name="RISKdarkBoxed" xfId="1259" xr:uid="{00000000-0005-0000-0000-000035090000}"/>
    <cellStyle name="RISKdarkShade" xfId="1260" xr:uid="{00000000-0005-0000-0000-000036090000}"/>
    <cellStyle name="RISKdbottomEdge" xfId="1261" xr:uid="{00000000-0005-0000-0000-000037090000}"/>
    <cellStyle name="RISKdrightEdge" xfId="1262" xr:uid="{00000000-0005-0000-0000-000038090000}"/>
    <cellStyle name="RISKdurationTime" xfId="1263" xr:uid="{00000000-0005-0000-0000-000039090000}"/>
    <cellStyle name="RISKinNumber" xfId="1264" xr:uid="{00000000-0005-0000-0000-00003A090000}"/>
    <cellStyle name="RISKlandrEdge" xfId="1265" xr:uid="{00000000-0005-0000-0000-00003B090000}"/>
    <cellStyle name="RISKleftEdge" xfId="1266" xr:uid="{00000000-0005-0000-0000-00003C090000}"/>
    <cellStyle name="RISKlightBoxed" xfId="1267" xr:uid="{00000000-0005-0000-0000-00003D090000}"/>
    <cellStyle name="RISKltandbEdge" xfId="1268" xr:uid="{00000000-0005-0000-0000-00003E090000}"/>
    <cellStyle name="RISKnormBoxed" xfId="1269" xr:uid="{00000000-0005-0000-0000-00003F090000}"/>
    <cellStyle name="RISKnormCenter" xfId="1270" xr:uid="{00000000-0005-0000-0000-000040090000}"/>
    <cellStyle name="RISKnormHeading" xfId="1271" xr:uid="{00000000-0005-0000-0000-000041090000}"/>
    <cellStyle name="RISKnormItal" xfId="1272" xr:uid="{00000000-0005-0000-0000-000042090000}"/>
    <cellStyle name="RISKnormLabel" xfId="1273" xr:uid="{00000000-0005-0000-0000-000043090000}"/>
    <cellStyle name="RISKnormShade" xfId="1274" xr:uid="{00000000-0005-0000-0000-000044090000}"/>
    <cellStyle name="RISKnormTitle" xfId="1275" xr:uid="{00000000-0005-0000-0000-000045090000}"/>
    <cellStyle name="RISKoutNumber" xfId="1276" xr:uid="{00000000-0005-0000-0000-000046090000}"/>
    <cellStyle name="RISKrightEdge" xfId="1277" xr:uid="{00000000-0005-0000-0000-000047090000}"/>
    <cellStyle name="RISKrtandbEdge" xfId="1278" xr:uid="{00000000-0005-0000-0000-000048090000}"/>
    <cellStyle name="RISKssTime" xfId="1279" xr:uid="{00000000-0005-0000-0000-000049090000}"/>
    <cellStyle name="RISKtandbEdge" xfId="1280" xr:uid="{00000000-0005-0000-0000-00004A090000}"/>
    <cellStyle name="RISKtlandrEdge" xfId="1281" xr:uid="{00000000-0005-0000-0000-00004B090000}"/>
    <cellStyle name="RISKtlCorner" xfId="1282" xr:uid="{00000000-0005-0000-0000-00004C090000}"/>
    <cellStyle name="RISKtopEdge" xfId="1283" xr:uid="{00000000-0005-0000-0000-00004D090000}"/>
    <cellStyle name="RISKtrCorner" xfId="1284" xr:uid="{00000000-0005-0000-0000-00004E090000}"/>
    <cellStyle name="Row Heading" xfId="1285" xr:uid="{00000000-0005-0000-0000-00004F090000}"/>
    <cellStyle name="Row Title 1" xfId="1286" xr:uid="{00000000-0005-0000-0000-000050090000}"/>
    <cellStyle name="Row Title 2" xfId="1287" xr:uid="{00000000-0005-0000-0000-000051090000}"/>
    <cellStyle name="Row Title 3" xfId="1288" xr:uid="{00000000-0005-0000-0000-000052090000}"/>
    <cellStyle name="Row Total" xfId="1289" xr:uid="{00000000-0005-0000-0000-000053090000}"/>
    <cellStyle name="s" xfId="1290" xr:uid="{00000000-0005-0000-0000-000054090000}"/>
    <cellStyle name="s_AcquisitionFinanceFrontSheet" xfId="1291" xr:uid="{00000000-0005-0000-0000-000055090000}"/>
    <cellStyle name="s_ad3" xfId="1292" xr:uid="{00000000-0005-0000-0000-000056090000}"/>
    <cellStyle name="s_ad3_1" xfId="1293" xr:uid="{00000000-0005-0000-0000-000057090000}"/>
    <cellStyle name="s_ad3_2" xfId="1294" xr:uid="{00000000-0005-0000-0000-000058090000}"/>
    <cellStyle name="s_ad5" xfId="1295" xr:uid="{00000000-0005-0000-0000-000059090000}"/>
    <cellStyle name="s_ad5_1" xfId="1296" xr:uid="{00000000-0005-0000-0000-00005A090000}"/>
    <cellStyle name="s_asko1" xfId="1297" xr:uid="{00000000-0005-0000-0000-00005B090000}"/>
    <cellStyle name="s_asko1_1" xfId="1298" xr:uid="{00000000-0005-0000-0000-00005C090000}"/>
    <cellStyle name="s_Assumptions" xfId="1299" xr:uid="{00000000-0005-0000-0000-00005D090000}"/>
    <cellStyle name="s_B_S_Ratios _B" xfId="1300" xr:uid="{00000000-0005-0000-0000-00005E090000}"/>
    <cellStyle name="s_B_S_Ratios_T" xfId="1301" xr:uid="{00000000-0005-0000-0000-00005F090000}"/>
    <cellStyle name="s_btr_2" xfId="1302" xr:uid="{00000000-0005-0000-0000-000060090000}"/>
    <cellStyle name="s_btr_2_1" xfId="1303" xr:uid="{00000000-0005-0000-0000-000061090000}"/>
    <cellStyle name="s_btr_2_2" xfId="1304" xr:uid="{00000000-0005-0000-0000-000062090000}"/>
    <cellStyle name="s_btr_3" xfId="1305" xr:uid="{00000000-0005-0000-0000-000063090000}"/>
    <cellStyle name="s_btr_3_1" xfId="1306" xr:uid="{00000000-0005-0000-0000-000064090000}"/>
    <cellStyle name="s_Bullet model 122" xfId="1307" xr:uid="{00000000-0005-0000-0000-000065090000}"/>
    <cellStyle name="s_Buy Back Model_adapted" xfId="1308" xr:uid="{00000000-0005-0000-0000-000066090000}"/>
    <cellStyle name="s_Cases (2)" xfId="1309" xr:uid="{00000000-0005-0000-0000-000067090000}"/>
    <cellStyle name="s_Cases (2)_1" xfId="1310" xr:uid="{00000000-0005-0000-0000-000068090000}"/>
    <cellStyle name="s_dccmod1" xfId="1311" xr:uid="{00000000-0005-0000-0000-000069090000}"/>
    <cellStyle name="s_dccmod1_1" xfId="1312" xr:uid="{00000000-0005-0000-0000-00006A090000}"/>
    <cellStyle name="s_dccmod1_2" xfId="1313" xr:uid="{00000000-0005-0000-0000-00006B090000}"/>
    <cellStyle name="s_dcf" xfId="1314" xr:uid="{00000000-0005-0000-0000-00006C090000}"/>
    <cellStyle name="s_dcf_1" xfId="1315" xr:uid="{00000000-0005-0000-0000-00006D090000}"/>
    <cellStyle name="s_DCFLBO Code" xfId="1316" xr:uid="{00000000-0005-0000-0000-00006E090000}"/>
    <cellStyle name="s_DCFLBO Code_1" xfId="1317" xr:uid="{00000000-0005-0000-0000-00006F090000}"/>
    <cellStyle name="s_Definc_dcf_Industries_270301_ma" xfId="1318" xr:uid="{00000000-0005-0000-0000-000070090000}"/>
    <cellStyle name="s_Dilution" xfId="1319" xr:uid="{00000000-0005-0000-0000-000071090000}"/>
    <cellStyle name="s_Earnings (2)" xfId="1320" xr:uid="{00000000-0005-0000-0000-000072090000}"/>
    <cellStyle name="s_Earnings (2)_1" xfId="1321" xr:uid="{00000000-0005-0000-0000-000073090000}"/>
    <cellStyle name="s_Earnings (2)_2" xfId="1322" xr:uid="{00000000-0005-0000-0000-000074090000}"/>
    <cellStyle name="s_Final Model2" xfId="1323" xr:uid="{00000000-0005-0000-0000-000075090000}"/>
    <cellStyle name="s_Final Model2_1" xfId="1324" xr:uid="{00000000-0005-0000-0000-000076090000}"/>
    <cellStyle name="s_FINALWOOLMODEL" xfId="1325" xr:uid="{00000000-0005-0000-0000-000077090000}"/>
    <cellStyle name="s_FINALWOOLMODEL_1" xfId="1326" xr:uid="{00000000-0005-0000-0000-000078090000}"/>
    <cellStyle name="s_Financials_B" xfId="1327" xr:uid="{00000000-0005-0000-0000-000079090000}"/>
    <cellStyle name="s_Financials_T" xfId="1328" xr:uid="{00000000-0005-0000-0000-00007A090000}"/>
    <cellStyle name="s_Grandvision_LBO2" xfId="1329" xr:uid="{00000000-0005-0000-0000-00007B090000}"/>
    <cellStyle name="s_Grouse+Pelican" xfId="1330" xr:uid="{00000000-0005-0000-0000-00007C090000}"/>
    <cellStyle name="s_Grouse+Pelican 2" xfId="1331" xr:uid="{00000000-0005-0000-0000-00007D090000}"/>
    <cellStyle name="s_LBO" xfId="1332" xr:uid="{00000000-0005-0000-0000-00007E090000}"/>
    <cellStyle name="s_LBO_1" xfId="1333" xr:uid="{00000000-0005-0000-0000-00007F090000}"/>
    <cellStyle name="s_LBO_2" xfId="1334" xr:uid="{00000000-0005-0000-0000-000080090000}"/>
    <cellStyle name="s_lbo1" xfId="1335" xr:uid="{00000000-0005-0000-0000-000081090000}"/>
    <cellStyle name="s_lbo1_1" xfId="1336" xr:uid="{00000000-0005-0000-0000-000082090000}"/>
    <cellStyle name="s_lbo1_2" xfId="1337" xr:uid="{00000000-0005-0000-0000-000083090000}"/>
    <cellStyle name="s_lbo3" xfId="1338" xr:uid="{00000000-0005-0000-0000-000084090000}"/>
    <cellStyle name="s_lbo3_1" xfId="1339" xr:uid="{00000000-0005-0000-0000-000085090000}"/>
    <cellStyle name="s_LBO5" xfId="1340" xr:uid="{00000000-0005-0000-0000-000086090000}"/>
    <cellStyle name="s_LBO5_1" xfId="1341" xr:uid="{00000000-0005-0000-0000-000087090000}"/>
    <cellStyle name="s_Matrix_B" xfId="1342" xr:uid="{00000000-0005-0000-0000-000088090000}"/>
    <cellStyle name="s_Matrix_T" xfId="1343" xr:uid="{00000000-0005-0000-0000-000089090000}"/>
    <cellStyle name="s_Merger" xfId="1344" xr:uid="{00000000-0005-0000-0000-00008A090000}"/>
    <cellStyle name="s_model1" xfId="1345" xr:uid="{00000000-0005-0000-0000-00008B090000}"/>
    <cellStyle name="s_model1_1" xfId="1346" xr:uid="{00000000-0005-0000-0000-00008C090000}"/>
    <cellStyle name="s_model1_2" xfId="1347" xr:uid="{00000000-0005-0000-0000-00008D090000}"/>
    <cellStyle name="s_model19" xfId="1348" xr:uid="{00000000-0005-0000-0000-00008E090000}"/>
    <cellStyle name="s_model19_1" xfId="1349" xr:uid="{00000000-0005-0000-0000-00008F090000}"/>
    <cellStyle name="s_model2" xfId="1350" xr:uid="{00000000-0005-0000-0000-000090090000}"/>
    <cellStyle name="s_model6" xfId="1351" xr:uid="{00000000-0005-0000-0000-000091090000}"/>
    <cellStyle name="s_model6_1" xfId="1352" xr:uid="{00000000-0005-0000-0000-000092090000}"/>
    <cellStyle name="s_model6_2" xfId="1353" xr:uid="{00000000-0005-0000-0000-000093090000}"/>
    <cellStyle name="s_P_L_Ratios" xfId="1354" xr:uid="{00000000-0005-0000-0000-000094090000}"/>
    <cellStyle name="s_P_L_Ratios_B" xfId="1355" xr:uid="{00000000-0005-0000-0000-000095090000}"/>
    <cellStyle name="s_Paint 18 - MC" xfId="1356" xr:uid="{00000000-0005-0000-0000-000096090000}"/>
    <cellStyle name="s_RECESSA" xfId="1357" xr:uid="{00000000-0005-0000-0000-000097090000}"/>
    <cellStyle name="s_RECESSA_1" xfId="1358" xr:uid="{00000000-0005-0000-0000-000098090000}"/>
    <cellStyle name="s_S_By_S" xfId="1359" xr:uid="{00000000-0005-0000-0000-000099090000}"/>
    <cellStyle name="s_saft_1" xfId="1360" xr:uid="{00000000-0005-0000-0000-00009A090000}"/>
    <cellStyle name="s_saft_1_1" xfId="1361" xr:uid="{00000000-0005-0000-0000-00009B090000}"/>
    <cellStyle name="s_saft_1_2" xfId="1362" xr:uid="{00000000-0005-0000-0000-00009C090000}"/>
    <cellStyle name="s_Sheet5" xfId="1363" xr:uid="{00000000-0005-0000-0000-00009D090000}"/>
    <cellStyle name="s_Valuation " xfId="1364" xr:uid="{00000000-0005-0000-0000-00009E090000}"/>
    <cellStyle name="s_WACC benchmarking" xfId="1365" xr:uid="{00000000-0005-0000-0000-00009F090000}"/>
    <cellStyle name="s_WACC benchmarking 2" xfId="1366" xr:uid="{00000000-0005-0000-0000-0000A0090000}"/>
    <cellStyle name="s_West Ham (2)" xfId="1367" xr:uid="{00000000-0005-0000-0000-0000A1090000}"/>
    <cellStyle name="s_West Ham (2)_1" xfId="1368" xr:uid="{00000000-0005-0000-0000-0000A2090000}"/>
    <cellStyle name="s_West Ham (2)_2" xfId="1369" xr:uid="{00000000-0005-0000-0000-0000A3090000}"/>
    <cellStyle name="s_Westham (2)" xfId="1370" xr:uid="{00000000-0005-0000-0000-0000A4090000}"/>
    <cellStyle name="s_Westham (2)_1" xfId="1371" xr:uid="{00000000-0005-0000-0000-0000A5090000}"/>
    <cellStyle name="s_Westham (2)_2" xfId="1372" xr:uid="{00000000-0005-0000-0000-0000A6090000}"/>
    <cellStyle name="s_Wool_01_07_12_1999" xfId="1373" xr:uid="{00000000-0005-0000-0000-0000A7090000}"/>
    <cellStyle name="s_Wool_01_07_12_1999_1" xfId="1374" xr:uid="{00000000-0005-0000-0000-0000A8090000}"/>
    <cellStyle name="s_Wool_01_07_12_1999_2" xfId="1375" xr:uid="{00000000-0005-0000-0000-0000A9090000}"/>
    <cellStyle name="s_Wool_14_12_1999_2" xfId="1376" xr:uid="{00000000-0005-0000-0000-0000AA090000}"/>
    <cellStyle name="s_Wool_14_12_1999_2_1" xfId="1377" xr:uid="{00000000-0005-0000-0000-0000AB090000}"/>
    <cellStyle name="s_Wool_14_12_1999_2_2" xfId="1378" xr:uid="{00000000-0005-0000-0000-0000AC090000}"/>
    <cellStyle name="s_Wool_15_02_2000" xfId="1379" xr:uid="{00000000-0005-0000-0000-0000AD090000}"/>
    <cellStyle name="s_Wool_15_02_2000_1" xfId="1380" xr:uid="{00000000-0005-0000-0000-0000AE090000}"/>
    <cellStyle name="s_Wool_15_02_2000_2" xfId="1381" xr:uid="{00000000-0005-0000-0000-0000AF090000}"/>
    <cellStyle name="s_Wool_28_01_2000_02" xfId="1382" xr:uid="{00000000-0005-0000-0000-0000B0090000}"/>
    <cellStyle name="s_Wool_28_01_2000_02_1" xfId="1383" xr:uid="{00000000-0005-0000-0000-0000B1090000}"/>
    <cellStyle name="s_Wool_28_01_2000_02_2" xfId="1384" xr:uid="{00000000-0005-0000-0000-0000B2090000}"/>
    <cellStyle name="s_WoolEuro_12_04_2000_02" xfId="1385" xr:uid="{00000000-0005-0000-0000-0000B3090000}"/>
    <cellStyle name="s_WoolEuro_12_04_2000_02_1" xfId="1386" xr:uid="{00000000-0005-0000-0000-0000B4090000}"/>
    <cellStyle name="s_WoolEuro_12_04_2000_02_2" xfId="1387" xr:uid="{00000000-0005-0000-0000-0000B5090000}"/>
    <cellStyle name="s_WoolEuro_17_03_2000" xfId="1388" xr:uid="{00000000-0005-0000-0000-0000B6090000}"/>
    <cellStyle name="s_WoolEuro_17_03_2000_1" xfId="1389" xr:uid="{00000000-0005-0000-0000-0000B7090000}"/>
    <cellStyle name="s_WoolEuro_20_03_2000_3" xfId="1390" xr:uid="{00000000-0005-0000-0000-0000B8090000}"/>
    <cellStyle name="s_WoolEuro_20_03_2000_3_1" xfId="1391" xr:uid="{00000000-0005-0000-0000-0000B9090000}"/>
    <cellStyle name="s_WoolEuroEx_14_04_2000_01" xfId="1392" xr:uid="{00000000-0005-0000-0000-0000BA090000}"/>
    <cellStyle name="s_WoolEuroEx_14_04_2000_01_1" xfId="1393" xr:uid="{00000000-0005-0000-0000-0000BB090000}"/>
    <cellStyle name="Salomon Logo" xfId="570" xr:uid="{00000000-0005-0000-0000-0000BC090000}"/>
    <cellStyle name="SAPBEXaggData" xfId="1394" xr:uid="{00000000-0005-0000-0000-0000BD090000}"/>
    <cellStyle name="SAPBEXaggData 2" xfId="1395" xr:uid="{00000000-0005-0000-0000-0000BE090000}"/>
    <cellStyle name="SAPBEXaggData 3" xfId="1396" xr:uid="{00000000-0005-0000-0000-0000BF090000}"/>
    <cellStyle name="SAPBEXaggDataEmph" xfId="1397" xr:uid="{00000000-0005-0000-0000-0000C0090000}"/>
    <cellStyle name="SAPBEXaggItem" xfId="1398" xr:uid="{00000000-0005-0000-0000-0000C1090000}"/>
    <cellStyle name="SAPBEXaggItem 2" xfId="1399" xr:uid="{00000000-0005-0000-0000-0000C2090000}"/>
    <cellStyle name="SAPBEXaggItem 3" xfId="1400" xr:uid="{00000000-0005-0000-0000-0000C3090000}"/>
    <cellStyle name="SAPBEXaggItemX" xfId="1401" xr:uid="{00000000-0005-0000-0000-0000C4090000}"/>
    <cellStyle name="SAPBEXaggItemX 2" xfId="1402" xr:uid="{00000000-0005-0000-0000-0000C5090000}"/>
    <cellStyle name="SAPBEXaggItemX 3" xfId="1403" xr:uid="{00000000-0005-0000-0000-0000C6090000}"/>
    <cellStyle name="SAPBEXchaText" xfId="1404" xr:uid="{00000000-0005-0000-0000-0000C7090000}"/>
    <cellStyle name="SAPBEXchaText 2" xfId="1405" xr:uid="{00000000-0005-0000-0000-0000C8090000}"/>
    <cellStyle name="SAPBEXchaText 3" xfId="1406" xr:uid="{00000000-0005-0000-0000-0000C9090000}"/>
    <cellStyle name="SAPBEXchaText 4" xfId="1407" xr:uid="{00000000-0005-0000-0000-0000CA090000}"/>
    <cellStyle name="SAPBEXexcBad7" xfId="1408" xr:uid="{00000000-0005-0000-0000-0000CB090000}"/>
    <cellStyle name="SAPBEXexcBad7 2" xfId="1409" xr:uid="{00000000-0005-0000-0000-0000CC090000}"/>
    <cellStyle name="SAPBEXexcBad7 3" xfId="1410" xr:uid="{00000000-0005-0000-0000-0000CD090000}"/>
    <cellStyle name="SAPBEXexcBad8" xfId="1411" xr:uid="{00000000-0005-0000-0000-0000CE090000}"/>
    <cellStyle name="SAPBEXexcBad8 2" xfId="1412" xr:uid="{00000000-0005-0000-0000-0000CF090000}"/>
    <cellStyle name="SAPBEXexcBad8 3" xfId="1413" xr:uid="{00000000-0005-0000-0000-0000D0090000}"/>
    <cellStyle name="SAPBEXexcBad9" xfId="1414" xr:uid="{00000000-0005-0000-0000-0000D1090000}"/>
    <cellStyle name="SAPBEXexcBad9 2" xfId="1415" xr:uid="{00000000-0005-0000-0000-0000D2090000}"/>
    <cellStyle name="SAPBEXexcBad9 3" xfId="1416" xr:uid="{00000000-0005-0000-0000-0000D3090000}"/>
    <cellStyle name="SAPBEXexcCritical4" xfId="1417" xr:uid="{00000000-0005-0000-0000-0000D4090000}"/>
    <cellStyle name="SAPBEXexcCritical4 2" xfId="1418" xr:uid="{00000000-0005-0000-0000-0000D5090000}"/>
    <cellStyle name="SAPBEXexcCritical4 3" xfId="1419" xr:uid="{00000000-0005-0000-0000-0000D6090000}"/>
    <cellStyle name="SAPBEXexcCritical5" xfId="1420" xr:uid="{00000000-0005-0000-0000-0000D7090000}"/>
    <cellStyle name="SAPBEXexcCritical5 2" xfId="1421" xr:uid="{00000000-0005-0000-0000-0000D8090000}"/>
    <cellStyle name="SAPBEXexcCritical5 3" xfId="1422" xr:uid="{00000000-0005-0000-0000-0000D9090000}"/>
    <cellStyle name="SAPBEXexcCritical6" xfId="1423" xr:uid="{00000000-0005-0000-0000-0000DA090000}"/>
    <cellStyle name="SAPBEXexcCritical6 2" xfId="1424" xr:uid="{00000000-0005-0000-0000-0000DB090000}"/>
    <cellStyle name="SAPBEXexcCritical6 3" xfId="1425" xr:uid="{00000000-0005-0000-0000-0000DC090000}"/>
    <cellStyle name="SAPBEXexcGood1" xfId="1426" xr:uid="{00000000-0005-0000-0000-0000DD090000}"/>
    <cellStyle name="SAPBEXexcGood1 2" xfId="1427" xr:uid="{00000000-0005-0000-0000-0000DE090000}"/>
    <cellStyle name="SAPBEXexcGood1 3" xfId="1428" xr:uid="{00000000-0005-0000-0000-0000DF090000}"/>
    <cellStyle name="SAPBEXexcGood2" xfId="1429" xr:uid="{00000000-0005-0000-0000-0000E0090000}"/>
    <cellStyle name="SAPBEXexcGood2 2" xfId="1430" xr:uid="{00000000-0005-0000-0000-0000E1090000}"/>
    <cellStyle name="SAPBEXexcGood2 3" xfId="1431" xr:uid="{00000000-0005-0000-0000-0000E2090000}"/>
    <cellStyle name="SAPBEXexcGood3" xfId="1432" xr:uid="{00000000-0005-0000-0000-0000E3090000}"/>
    <cellStyle name="SAPBEXexcGood3 2" xfId="1433" xr:uid="{00000000-0005-0000-0000-0000E4090000}"/>
    <cellStyle name="SAPBEXexcGood3 3" xfId="1434" xr:uid="{00000000-0005-0000-0000-0000E5090000}"/>
    <cellStyle name="SAPBEXfilterDrill" xfId="1435" xr:uid="{00000000-0005-0000-0000-0000E6090000}"/>
    <cellStyle name="SAPBEXfilterItem" xfId="1436" xr:uid="{00000000-0005-0000-0000-0000E7090000}"/>
    <cellStyle name="SAPBEXfilterItem 2" xfId="1437" xr:uid="{00000000-0005-0000-0000-0000E8090000}"/>
    <cellStyle name="SAPBEXfilterItem 3" xfId="1438" xr:uid="{00000000-0005-0000-0000-0000E9090000}"/>
    <cellStyle name="SAPBEXfilterText" xfId="1439" xr:uid="{00000000-0005-0000-0000-0000EA090000}"/>
    <cellStyle name="SAPBEXformats" xfId="1440" xr:uid="{00000000-0005-0000-0000-0000EB090000}"/>
    <cellStyle name="SAPBEXformats 2" xfId="1441" xr:uid="{00000000-0005-0000-0000-0000EC090000}"/>
    <cellStyle name="SAPBEXformats 3" xfId="1442" xr:uid="{00000000-0005-0000-0000-0000ED090000}"/>
    <cellStyle name="SAPBEXformats 4" xfId="1443" xr:uid="{00000000-0005-0000-0000-0000EE090000}"/>
    <cellStyle name="SAPBEXheaderItem" xfId="1444" xr:uid="{00000000-0005-0000-0000-0000EF090000}"/>
    <cellStyle name="SAPBEXheaderText" xfId="1445" xr:uid="{00000000-0005-0000-0000-0000F0090000}"/>
    <cellStyle name="SAPBEXHLevel0" xfId="1446" xr:uid="{00000000-0005-0000-0000-0000F1090000}"/>
    <cellStyle name="SAPBEXHLevel0 2" xfId="1447" xr:uid="{00000000-0005-0000-0000-0000F2090000}"/>
    <cellStyle name="SAPBEXHLevel0 3" xfId="1448" xr:uid="{00000000-0005-0000-0000-0000F3090000}"/>
    <cellStyle name="SAPBEXHLevel0 4" xfId="1449" xr:uid="{00000000-0005-0000-0000-0000F4090000}"/>
    <cellStyle name="SAPBEXHLevel0X" xfId="1450" xr:uid="{00000000-0005-0000-0000-0000F5090000}"/>
    <cellStyle name="SAPBEXHLevel0X 2" xfId="1451" xr:uid="{00000000-0005-0000-0000-0000F6090000}"/>
    <cellStyle name="SAPBEXHLevel0X 3" xfId="1452" xr:uid="{00000000-0005-0000-0000-0000F7090000}"/>
    <cellStyle name="SAPBEXHLevel0X 4" xfId="1453" xr:uid="{00000000-0005-0000-0000-0000F8090000}"/>
    <cellStyle name="SAPBEXHLevel1" xfId="1454" xr:uid="{00000000-0005-0000-0000-0000F9090000}"/>
    <cellStyle name="SAPBEXHLevel1 2" xfId="1455" xr:uid="{00000000-0005-0000-0000-0000FA090000}"/>
    <cellStyle name="SAPBEXHLevel1 3" xfId="1456" xr:uid="{00000000-0005-0000-0000-0000FB090000}"/>
    <cellStyle name="SAPBEXHLevel1 4" xfId="1457" xr:uid="{00000000-0005-0000-0000-0000FC090000}"/>
    <cellStyle name="SAPBEXHLevel1X" xfId="1458" xr:uid="{00000000-0005-0000-0000-0000FD090000}"/>
    <cellStyle name="SAPBEXHLevel1X 2" xfId="1459" xr:uid="{00000000-0005-0000-0000-0000FE090000}"/>
    <cellStyle name="SAPBEXHLevel1X 3" xfId="1460" xr:uid="{00000000-0005-0000-0000-0000FF090000}"/>
    <cellStyle name="SAPBEXHLevel1X 4" xfId="1461" xr:uid="{00000000-0005-0000-0000-0000000A0000}"/>
    <cellStyle name="SAPBEXHLevel2" xfId="1462" xr:uid="{00000000-0005-0000-0000-0000010A0000}"/>
    <cellStyle name="SAPBEXHLevel2 2" xfId="1463" xr:uid="{00000000-0005-0000-0000-0000020A0000}"/>
    <cellStyle name="SAPBEXHLevel2 3" xfId="1464" xr:uid="{00000000-0005-0000-0000-0000030A0000}"/>
    <cellStyle name="SAPBEXHLevel2 4" xfId="1465" xr:uid="{00000000-0005-0000-0000-0000040A0000}"/>
    <cellStyle name="SAPBEXHLevel2X" xfId="1466" xr:uid="{00000000-0005-0000-0000-0000050A0000}"/>
    <cellStyle name="SAPBEXHLevel2X 2" xfId="1467" xr:uid="{00000000-0005-0000-0000-0000060A0000}"/>
    <cellStyle name="SAPBEXHLevel2X 3" xfId="1468" xr:uid="{00000000-0005-0000-0000-0000070A0000}"/>
    <cellStyle name="SAPBEXHLevel2X 4" xfId="1469" xr:uid="{00000000-0005-0000-0000-0000080A0000}"/>
    <cellStyle name="SAPBEXHLevel3" xfId="1470" xr:uid="{00000000-0005-0000-0000-0000090A0000}"/>
    <cellStyle name="SAPBEXHLevel3 2" xfId="1471" xr:uid="{00000000-0005-0000-0000-00000A0A0000}"/>
    <cellStyle name="SAPBEXHLevel3 3" xfId="1472" xr:uid="{00000000-0005-0000-0000-00000B0A0000}"/>
    <cellStyle name="SAPBEXHLevel3 4" xfId="1473" xr:uid="{00000000-0005-0000-0000-00000C0A0000}"/>
    <cellStyle name="SAPBEXHLevel3X" xfId="1474" xr:uid="{00000000-0005-0000-0000-00000D0A0000}"/>
    <cellStyle name="SAPBEXHLevel3X 2" xfId="1475" xr:uid="{00000000-0005-0000-0000-00000E0A0000}"/>
    <cellStyle name="SAPBEXHLevel3X 3" xfId="1476" xr:uid="{00000000-0005-0000-0000-00000F0A0000}"/>
    <cellStyle name="SAPBEXHLevel3X 4" xfId="1477" xr:uid="{00000000-0005-0000-0000-0000100A0000}"/>
    <cellStyle name="SAPBEXresData" xfId="1478" xr:uid="{00000000-0005-0000-0000-0000110A0000}"/>
    <cellStyle name="SAPBEXresData 2" xfId="1479" xr:uid="{00000000-0005-0000-0000-0000120A0000}"/>
    <cellStyle name="SAPBEXresData 3" xfId="1480" xr:uid="{00000000-0005-0000-0000-0000130A0000}"/>
    <cellStyle name="SAPBEXresDataEmph" xfId="1481" xr:uid="{00000000-0005-0000-0000-0000140A0000}"/>
    <cellStyle name="SAPBEXresItem" xfId="1482" xr:uid="{00000000-0005-0000-0000-0000150A0000}"/>
    <cellStyle name="SAPBEXresItem 2" xfId="1483" xr:uid="{00000000-0005-0000-0000-0000160A0000}"/>
    <cellStyle name="SAPBEXresItem 3" xfId="1484" xr:uid="{00000000-0005-0000-0000-0000170A0000}"/>
    <cellStyle name="SAPBEXresItemX" xfId="1485" xr:uid="{00000000-0005-0000-0000-0000180A0000}"/>
    <cellStyle name="SAPBEXresItemX 2" xfId="1486" xr:uid="{00000000-0005-0000-0000-0000190A0000}"/>
    <cellStyle name="SAPBEXresItemX 3" xfId="1487" xr:uid="{00000000-0005-0000-0000-00001A0A0000}"/>
    <cellStyle name="SAPBEXstdData" xfId="1488" xr:uid="{00000000-0005-0000-0000-00001B0A0000}"/>
    <cellStyle name="SAPBEXstdData 2" xfId="1489" xr:uid="{00000000-0005-0000-0000-00001C0A0000}"/>
    <cellStyle name="SAPBEXstdData 3" xfId="1490" xr:uid="{00000000-0005-0000-0000-00001D0A0000}"/>
    <cellStyle name="SAPBEXstdDataEmph" xfId="1491" xr:uid="{00000000-0005-0000-0000-00001E0A0000}"/>
    <cellStyle name="SAPBEXstdItem" xfId="1492" xr:uid="{00000000-0005-0000-0000-00001F0A0000}"/>
    <cellStyle name="SAPBEXstdItem 2" xfId="1493" xr:uid="{00000000-0005-0000-0000-0000200A0000}"/>
    <cellStyle name="SAPBEXstdItem 3" xfId="1494" xr:uid="{00000000-0005-0000-0000-0000210A0000}"/>
    <cellStyle name="SAPBEXstdItem 4" xfId="1495" xr:uid="{00000000-0005-0000-0000-0000220A0000}"/>
    <cellStyle name="SAPBEXstdItemX" xfId="1496" xr:uid="{00000000-0005-0000-0000-0000230A0000}"/>
    <cellStyle name="SAPBEXstdItemX 2" xfId="1497" xr:uid="{00000000-0005-0000-0000-0000240A0000}"/>
    <cellStyle name="SAPBEXstdItemX 3" xfId="1498" xr:uid="{00000000-0005-0000-0000-0000250A0000}"/>
    <cellStyle name="SAPBEXstdItemX 4" xfId="1499" xr:uid="{00000000-0005-0000-0000-0000260A0000}"/>
    <cellStyle name="SAPBEXtitle" xfId="1500" xr:uid="{00000000-0005-0000-0000-0000270A0000}"/>
    <cellStyle name="SAPBEXundefined" xfId="1501" xr:uid="{00000000-0005-0000-0000-0000280A0000}"/>
    <cellStyle name="sd" xfId="1502" xr:uid="{00000000-0005-0000-0000-0000290A0000}"/>
    <cellStyle name="SecSubTitle" xfId="1503" xr:uid="{00000000-0005-0000-0000-00002A0A0000}"/>
    <cellStyle name="Section Heading-Large" xfId="571" xr:uid="{00000000-0005-0000-0000-00002B0A0000}"/>
    <cellStyle name="Section Heading-Small" xfId="572" xr:uid="{00000000-0005-0000-0000-00002C0A0000}"/>
    <cellStyle name="Section Number" xfId="1504" xr:uid="{00000000-0005-0000-0000-00002D0A0000}"/>
    <cellStyle name="Section Title" xfId="1505" xr:uid="{00000000-0005-0000-0000-00002E0A0000}"/>
    <cellStyle name="SecTitle" xfId="1506" xr:uid="{00000000-0005-0000-0000-00002F0A0000}"/>
    <cellStyle name="sf" xfId="1507" xr:uid="{00000000-0005-0000-0000-0000300A0000}"/>
    <cellStyle name="sff" xfId="1508" xr:uid="{00000000-0005-0000-0000-0000310A0000}"/>
    <cellStyle name="Shaded" xfId="573" xr:uid="{00000000-0005-0000-0000-0000320A0000}"/>
    <cellStyle name="Shaded 2" xfId="1509" xr:uid="{00000000-0005-0000-0000-0000330A0000}"/>
    <cellStyle name="Shading" xfId="1510" xr:uid="{00000000-0005-0000-0000-0000340A0000}"/>
    <cellStyle name="Shading 2" xfId="1511" xr:uid="{00000000-0005-0000-0000-0000350A0000}"/>
    <cellStyle name="Single Accounting" xfId="1512" xr:uid="{00000000-0005-0000-0000-0000360A0000}"/>
    <cellStyle name="Small Cost" xfId="1513" xr:uid="{00000000-0005-0000-0000-0000370A0000}"/>
    <cellStyle name="Small Cost 2" xfId="1514" xr:uid="{00000000-0005-0000-0000-0000380A0000}"/>
    <cellStyle name="Small Cost 3" xfId="1515" xr:uid="{00000000-0005-0000-0000-0000390A0000}"/>
    <cellStyle name="Small Cost 4" xfId="1516" xr:uid="{00000000-0005-0000-0000-00003A0A0000}"/>
    <cellStyle name="Small Currency" xfId="1517" xr:uid="{00000000-0005-0000-0000-00003B0A0000}"/>
    <cellStyle name="Small Currency 2" xfId="1518" xr:uid="{00000000-0005-0000-0000-00003C0A0000}"/>
    <cellStyle name="Small Currency 3" xfId="1519" xr:uid="{00000000-0005-0000-0000-00003D0A0000}"/>
    <cellStyle name="Small Currency 4" xfId="1520" xr:uid="{00000000-0005-0000-0000-00003E0A0000}"/>
    <cellStyle name="Small Number" xfId="1521" xr:uid="{00000000-0005-0000-0000-00003F0A0000}"/>
    <cellStyle name="Small Percentage" xfId="1522" xr:uid="{00000000-0005-0000-0000-0000400A0000}"/>
    <cellStyle name="Small Percentage 2" xfId="1523" xr:uid="{00000000-0005-0000-0000-0000410A0000}"/>
    <cellStyle name="Small Percentage 3" xfId="1524" xr:uid="{00000000-0005-0000-0000-0000420A0000}"/>
    <cellStyle name="Small Percentage 4" xfId="1525" xr:uid="{00000000-0005-0000-0000-0000430A0000}"/>
    <cellStyle name="ss" xfId="1526" xr:uid="{00000000-0005-0000-0000-0000440A0000}"/>
    <cellStyle name="ssp " xfId="1527" xr:uid="{00000000-0005-0000-0000-0000450A0000}"/>
    <cellStyle name="st" xfId="1528" xr:uid="{00000000-0005-0000-0000-0000460A0000}"/>
    <cellStyle name="st 2" xfId="1529" xr:uid="{00000000-0005-0000-0000-0000470A0000}"/>
    <cellStyle name="Standaard_Sheet1" xfId="1530" xr:uid="{00000000-0005-0000-0000-0000480A0000}"/>
    <cellStyle name="Standard_311299 freie Spitze" xfId="1531" xr:uid="{00000000-0005-0000-0000-0000490A0000}"/>
    <cellStyle name="Style 1" xfId="574" xr:uid="{00000000-0005-0000-0000-00004A0A0000}"/>
    <cellStyle name="Style 1 2" xfId="1533" xr:uid="{00000000-0005-0000-0000-00004B0A0000}"/>
    <cellStyle name="Style 1 3" xfId="1534" xr:uid="{00000000-0005-0000-0000-00004C0A0000}"/>
    <cellStyle name="Style 1 4" xfId="1535" xr:uid="{00000000-0005-0000-0000-00004D0A0000}"/>
    <cellStyle name="Style 1 5" xfId="1532" xr:uid="{00000000-0005-0000-0000-00004E0A0000}"/>
    <cellStyle name="Style 1 6" xfId="1889" xr:uid="{00000000-0005-0000-0000-00004F0A0000}"/>
    <cellStyle name="Style 2" xfId="575" xr:uid="{00000000-0005-0000-0000-0000500A0000}"/>
    <cellStyle name="Style 2 2" xfId="1890" xr:uid="{00000000-0005-0000-0000-0000510A0000}"/>
    <cellStyle name="Style 3" xfId="576" xr:uid="{00000000-0005-0000-0000-0000520A0000}"/>
    <cellStyle name="Style 3 2" xfId="1891" xr:uid="{00000000-0005-0000-0000-0000530A0000}"/>
    <cellStyle name="Style 4" xfId="577" xr:uid="{00000000-0005-0000-0000-0000540A0000}"/>
    <cellStyle name="Style 4 2" xfId="1892" xr:uid="{00000000-0005-0000-0000-0000550A0000}"/>
    <cellStyle name="STYLE1" xfId="1536" xr:uid="{00000000-0005-0000-0000-0000560A0000}"/>
    <cellStyle name="STYLE1 2" xfId="1537" xr:uid="{00000000-0005-0000-0000-0000570A0000}"/>
    <cellStyle name="STYLE2" xfId="1538" xr:uid="{00000000-0005-0000-0000-0000580A0000}"/>
    <cellStyle name="STYLE2 2" xfId="1539" xr:uid="{00000000-0005-0000-0000-0000590A0000}"/>
    <cellStyle name="STYLE2 2 2" xfId="1540" xr:uid="{00000000-0005-0000-0000-00005A0A0000}"/>
    <cellStyle name="STYLE2 2 3" xfId="1541" xr:uid="{00000000-0005-0000-0000-00005B0A0000}"/>
    <cellStyle name="STYLE2 3" xfId="1542" xr:uid="{00000000-0005-0000-0000-00005C0A0000}"/>
    <cellStyle name="STYLE2 4" xfId="1543" xr:uid="{00000000-0005-0000-0000-00005D0A0000}"/>
    <cellStyle name="STYLE3" xfId="1544" xr:uid="{00000000-0005-0000-0000-00005E0A0000}"/>
    <cellStyle name="STYLE4" xfId="1545" xr:uid="{00000000-0005-0000-0000-00005F0A0000}"/>
    <cellStyle name="STYLE4 2" xfId="1546" xr:uid="{00000000-0005-0000-0000-0000600A0000}"/>
    <cellStyle name="STYLE4 2 2" xfId="1547" xr:uid="{00000000-0005-0000-0000-0000610A0000}"/>
    <cellStyle name="STYLE4 2 3" xfId="1548" xr:uid="{00000000-0005-0000-0000-0000620A0000}"/>
    <cellStyle name="STYLE4 3" xfId="1549" xr:uid="{00000000-0005-0000-0000-0000630A0000}"/>
    <cellStyle name="STYLE4 4" xfId="1550" xr:uid="{00000000-0005-0000-0000-0000640A0000}"/>
    <cellStyle name="STYLE5" xfId="1551" xr:uid="{00000000-0005-0000-0000-0000650A0000}"/>
    <cellStyle name="STYLE6" xfId="1552" xr:uid="{00000000-0005-0000-0000-0000660A0000}"/>
    <cellStyle name="STYLE7" xfId="1553" xr:uid="{00000000-0005-0000-0000-0000670A0000}"/>
    <cellStyle name="STYLE8" xfId="1554" xr:uid="{00000000-0005-0000-0000-0000680A0000}"/>
    <cellStyle name="SubTot" xfId="1555" xr:uid="{00000000-0005-0000-0000-0000690A0000}"/>
    <cellStyle name="SubTot 2" xfId="1556" xr:uid="{00000000-0005-0000-0000-00006A0A0000}"/>
    <cellStyle name="SubTotal" xfId="578" xr:uid="{00000000-0005-0000-0000-00006B0A0000}"/>
    <cellStyle name="summation" xfId="579" xr:uid="{00000000-0005-0000-0000-00006C0A0000}"/>
    <cellStyle name="t" xfId="1557" xr:uid="{00000000-0005-0000-0000-00006D0A0000}"/>
    <cellStyle name="t 2" xfId="1558" xr:uid="{00000000-0005-0000-0000-00006E0A0000}"/>
    <cellStyle name="t#" xfId="1559" xr:uid="{00000000-0005-0000-0000-00006F0A0000}"/>
    <cellStyle name="t_Manager" xfId="1560" xr:uid="{00000000-0005-0000-0000-0000700A0000}"/>
    <cellStyle name="t_Manager 2" xfId="1561" xr:uid="{00000000-0005-0000-0000-0000710A0000}"/>
    <cellStyle name="t_Valuation" xfId="1562" xr:uid="{00000000-0005-0000-0000-0000720A0000}"/>
    <cellStyle name="t_Valuation 2" xfId="1563" xr:uid="{00000000-0005-0000-0000-0000730A0000}"/>
    <cellStyle name="t_WACC benchmarking" xfId="1564" xr:uid="{00000000-0005-0000-0000-0000740A0000}"/>
    <cellStyle name="t_WACC benchmarking 2" xfId="1565" xr:uid="{00000000-0005-0000-0000-0000750A0000}"/>
    <cellStyle name="t1" xfId="1566" xr:uid="{00000000-0005-0000-0000-0000760A0000}"/>
    <cellStyle name="t1 2" xfId="1567" xr:uid="{00000000-0005-0000-0000-0000770A0000}"/>
    <cellStyle name="Table body numbers" xfId="2618" xr:uid="{00000000-0005-0000-0000-0000780A0000}"/>
    <cellStyle name="Table body text" xfId="2619" xr:uid="{00000000-0005-0000-0000-0000790A0000}"/>
    <cellStyle name="Table Col Head" xfId="580" xr:uid="{00000000-0005-0000-0000-00007A0A0000}"/>
    <cellStyle name="Table footer - notes" xfId="2620" xr:uid="{00000000-0005-0000-0000-00007B0A0000}"/>
    <cellStyle name="Table footer - source-notes" xfId="2621" xr:uid="{00000000-0005-0000-0000-00007C0A0000}"/>
    <cellStyle name="Table Head" xfId="581" xr:uid="{00000000-0005-0000-0000-00007D0A0000}"/>
    <cellStyle name="Table Head 2" xfId="1569" xr:uid="{00000000-0005-0000-0000-00007E0A0000}"/>
    <cellStyle name="Table Head 3" xfId="1568" xr:uid="{00000000-0005-0000-0000-00007F0A0000}"/>
    <cellStyle name="Table Head Aligned" xfId="582" xr:uid="{00000000-0005-0000-0000-0000800A0000}"/>
    <cellStyle name="Table Head Blue" xfId="583" xr:uid="{00000000-0005-0000-0000-0000810A0000}"/>
    <cellStyle name="Table Head Green" xfId="584" xr:uid="{00000000-0005-0000-0000-0000820A0000}"/>
    <cellStyle name="Table Head_AccessGroup 012509 v3" xfId="1570" xr:uid="{00000000-0005-0000-0000-0000830A0000}"/>
    <cellStyle name="Table Heading" xfId="585" xr:uid="{00000000-0005-0000-0000-0000840A0000}"/>
    <cellStyle name="Table heading 10" xfId="2752" xr:uid="{00000000-0005-0000-0000-0000850A0000}"/>
    <cellStyle name="Table Heading 2" xfId="1572" xr:uid="{00000000-0005-0000-0000-0000860A0000}"/>
    <cellStyle name="Table heading 3" xfId="2622" xr:uid="{00000000-0005-0000-0000-0000870A0000}"/>
    <cellStyle name="Table heading 4" xfId="2628" xr:uid="{00000000-0005-0000-0000-0000880A0000}"/>
    <cellStyle name="Table heading 5" xfId="2630" xr:uid="{00000000-0005-0000-0000-0000890A0000}"/>
    <cellStyle name="Table heading 6" xfId="2646" xr:uid="{00000000-0005-0000-0000-00008A0A0000}"/>
    <cellStyle name="Table heading 7" xfId="2648" xr:uid="{00000000-0005-0000-0000-00008B0A0000}"/>
    <cellStyle name="Table heading 8" xfId="2660" xr:uid="{00000000-0005-0000-0000-00008C0A0000}"/>
    <cellStyle name="Table heading 9" xfId="2672" xr:uid="{00000000-0005-0000-0000-00008D0A0000}"/>
    <cellStyle name="Table number-column heading (right)" xfId="2623" xr:uid="{00000000-0005-0000-0000-00008E0A0000}"/>
    <cellStyle name="Table Source" xfId="1573" xr:uid="{00000000-0005-0000-0000-00008F0A0000}"/>
    <cellStyle name="Table Sub Head" xfId="586" xr:uid="{00000000-0005-0000-0000-0000900A0000}"/>
    <cellStyle name="Table Sub Head 2" xfId="1574" xr:uid="{00000000-0005-0000-0000-0000910A0000}"/>
    <cellStyle name="Table Text" xfId="587" xr:uid="{00000000-0005-0000-0000-0000920A0000}"/>
    <cellStyle name="Table Text 2" xfId="1575" xr:uid="{00000000-0005-0000-0000-0000930A0000}"/>
    <cellStyle name="Table text-column heading (left)" xfId="2624" xr:uid="{00000000-0005-0000-0000-0000940A0000}"/>
    <cellStyle name="Table Title" xfId="588" xr:uid="{00000000-0005-0000-0000-0000950A0000}"/>
    <cellStyle name="Table Title 2" xfId="1577" xr:uid="{00000000-0005-0000-0000-0000960A0000}"/>
    <cellStyle name="Table Title 3" xfId="1576" xr:uid="{00000000-0005-0000-0000-0000970A0000}"/>
    <cellStyle name="Table title 4" xfId="2905" xr:uid="{BDC170BC-DFA8-41F1-81C3-4BD3E2EAF10F}"/>
    <cellStyle name="Table Units" xfId="589" xr:uid="{00000000-0005-0000-0000-0000980A0000}"/>
    <cellStyle name="Table Units 2" xfId="1579" xr:uid="{00000000-0005-0000-0000-0000990A0000}"/>
    <cellStyle name="Table Units 3" xfId="1578" xr:uid="{00000000-0005-0000-0000-00009A0A0000}"/>
    <cellStyle name="Table_Header" xfId="590" xr:uid="{00000000-0005-0000-0000-00009B0A0000}"/>
    <cellStyle name="Text" xfId="1580" xr:uid="{00000000-0005-0000-0000-00009C0A0000}"/>
    <cellStyle name="Text 1" xfId="591" xr:uid="{00000000-0005-0000-0000-00009D0A0000}"/>
    <cellStyle name="Text 1 2" xfId="1581" xr:uid="{00000000-0005-0000-0000-00009E0A0000}"/>
    <cellStyle name="Text 2" xfId="1582" xr:uid="{00000000-0005-0000-0000-00009F0A0000}"/>
    <cellStyle name="Text Head 1" xfId="592" xr:uid="{00000000-0005-0000-0000-0000A00A0000}"/>
    <cellStyle name="Text Head 1 2" xfId="1583" xr:uid="{00000000-0005-0000-0000-0000A10A0000}"/>
    <cellStyle name="Text Head 2" xfId="1584" xr:uid="{00000000-0005-0000-0000-0000A20A0000}"/>
    <cellStyle name="Text Indent 1" xfId="1585" xr:uid="{00000000-0005-0000-0000-0000A30A0000}"/>
    <cellStyle name="Text Indent 2" xfId="1586" xr:uid="{00000000-0005-0000-0000-0000A40A0000}"/>
    <cellStyle name="TFCF" xfId="593" xr:uid="{00000000-0005-0000-0000-0000A50A0000}"/>
    <cellStyle name="Thousands" xfId="1587" xr:uid="{00000000-0005-0000-0000-0000A60A0000}"/>
    <cellStyle name="Times 10" xfId="1588" xr:uid="{00000000-0005-0000-0000-0000A70A0000}"/>
    <cellStyle name="Times 10 2" xfId="1589" xr:uid="{00000000-0005-0000-0000-0000A80A0000}"/>
    <cellStyle name="Times 12" xfId="1590" xr:uid="{00000000-0005-0000-0000-0000A90A0000}"/>
    <cellStyle name="Title" xfId="594" builtinId="15" customBuiltin="1"/>
    <cellStyle name="Title 2" xfId="595" xr:uid="{00000000-0005-0000-0000-0000AB0A0000}"/>
    <cellStyle name="Title 2 2" xfId="2551" xr:uid="{00000000-0005-0000-0000-0000AC0A0000}"/>
    <cellStyle name="Title 2 2 2" xfId="2731" xr:uid="{00000000-0005-0000-0000-0000AD0A0000}"/>
    <cellStyle name="Title 2 3" xfId="2853" xr:uid="{02AD3A64-5090-4FB9-BECA-85AFC8DAA805}"/>
    <cellStyle name="Title 3" xfId="2552" xr:uid="{00000000-0005-0000-0000-0000AE0A0000}"/>
    <cellStyle name="Title 4" xfId="2553" xr:uid="{00000000-0005-0000-0000-0000AF0A0000}"/>
    <cellStyle name="Title 5" xfId="2554" xr:uid="{00000000-0005-0000-0000-0000B00A0000}"/>
    <cellStyle name="Title 6" xfId="2946" xr:uid="{B37C1C5A-53B5-47F1-A527-EB5739C2A4E0}"/>
    <cellStyle name="Title Heading" xfId="1591" xr:uid="{00000000-0005-0000-0000-0000B10A0000}"/>
    <cellStyle name="Title:Column" xfId="2955" xr:uid="{FBF777B2-C9C5-4687-B3B7-FB784A4EE431}"/>
    <cellStyle name="To" xfId="1592" xr:uid="{00000000-0005-0000-0000-0000B20A0000}"/>
    <cellStyle name="TOC 1" xfId="1593" xr:uid="{00000000-0005-0000-0000-0000B30A0000}"/>
    <cellStyle name="TOC 2" xfId="1594" xr:uid="{00000000-0005-0000-0000-0000B40A0000}"/>
    <cellStyle name="Top_Double_Bottom" xfId="1595" xr:uid="{00000000-0005-0000-0000-0000B50A0000}"/>
    <cellStyle name="Total" xfId="596" builtinId="25" customBuiltin="1"/>
    <cellStyle name="Total 2" xfId="597" xr:uid="{00000000-0005-0000-0000-0000B70A0000}"/>
    <cellStyle name="Total 2 2" xfId="1596" xr:uid="{00000000-0005-0000-0000-0000B80A0000}"/>
    <cellStyle name="Total 2 3" xfId="2555" xr:uid="{00000000-0005-0000-0000-0000B90A0000}"/>
    <cellStyle name="Total 3" xfId="2556" xr:uid="{00000000-0005-0000-0000-0000BA0A0000}"/>
    <cellStyle name="Total 4" xfId="2557" xr:uid="{00000000-0005-0000-0000-0000BB0A0000}"/>
    <cellStyle name="Total 5" xfId="2558" xr:uid="{00000000-0005-0000-0000-0000BC0A0000}"/>
    <cellStyle name="Total 6" xfId="2559" xr:uid="{00000000-0005-0000-0000-0000BD0A0000}"/>
    <cellStyle name="Total 7" xfId="2560" xr:uid="{00000000-0005-0000-0000-0000BE0A0000}"/>
    <cellStyle name="Total 8" xfId="2561" xr:uid="{00000000-0005-0000-0000-0000BF0A0000}"/>
    <cellStyle name="tt" xfId="1597" xr:uid="{00000000-0005-0000-0000-0000C00A0000}"/>
    <cellStyle name="tt 2" xfId="1598" xr:uid="{00000000-0005-0000-0000-0000C10A0000}"/>
    <cellStyle name="u" xfId="1599" xr:uid="{00000000-0005-0000-0000-0000C20A0000}"/>
    <cellStyle name="uk" xfId="598" xr:uid="{00000000-0005-0000-0000-0000C30A0000}"/>
    <cellStyle name="uk 2" xfId="1893" xr:uid="{00000000-0005-0000-0000-0000C40A0000}"/>
    <cellStyle name="Un" xfId="599" xr:uid="{00000000-0005-0000-0000-0000C50A0000}"/>
    <cellStyle name="Underline_Single" xfId="600" xr:uid="{00000000-0005-0000-0000-0000C60A0000}"/>
    <cellStyle name="Unit" xfId="1600" xr:uid="{00000000-0005-0000-0000-0000C70A0000}"/>
    <cellStyle name="Unit 2" xfId="1601" xr:uid="{00000000-0005-0000-0000-0000C80A0000}"/>
    <cellStyle name="Unit 3" xfId="1602" xr:uid="{00000000-0005-0000-0000-0000C90A0000}"/>
    <cellStyle name="Unit 4" xfId="1603" xr:uid="{00000000-0005-0000-0000-0000CA0A0000}"/>
    <cellStyle name="Unprot" xfId="601" xr:uid="{00000000-0005-0000-0000-0000CB0A0000}"/>
    <cellStyle name="Unprot$" xfId="602" xr:uid="{00000000-0005-0000-0000-0000CC0A0000}"/>
    <cellStyle name="Unprot_021112 Trent Wind_uden" xfId="603" xr:uid="{00000000-0005-0000-0000-0000CD0A0000}"/>
    <cellStyle name="Unprotect" xfId="604" xr:uid="{00000000-0005-0000-0000-0000CE0A0000}"/>
    <cellStyle name="unprotected" xfId="2920" xr:uid="{8A47F450-6741-4A16-9A05-2BF07A492219}"/>
    <cellStyle name="Upload Only" xfId="1604" xr:uid="{00000000-0005-0000-0000-0000CF0A0000}"/>
    <cellStyle name="Upload Only 2" xfId="1605" xr:uid="{00000000-0005-0000-0000-0000D00A0000}"/>
    <cellStyle name="Upload Only 3" xfId="1606" xr:uid="{00000000-0005-0000-0000-0000D10A0000}"/>
    <cellStyle name="Upload Only 4" xfId="1607" xr:uid="{00000000-0005-0000-0000-0000D20A0000}"/>
    <cellStyle name="UsedCell" xfId="2830" xr:uid="{CFCCB653-3425-4C09-A84F-B2D726B56557}"/>
    <cellStyle name="Valuta (0)_33RATEI 05" xfId="1608" xr:uid="{00000000-0005-0000-0000-0000D30A0000}"/>
    <cellStyle name="Valuta [0]_Sheet1" xfId="1609" xr:uid="{00000000-0005-0000-0000-0000D40A0000}"/>
    <cellStyle name="Valuta_All 2" xfId="1610" xr:uid="{00000000-0005-0000-0000-0000D50A0000}"/>
    <cellStyle name="Version Number" xfId="1611" xr:uid="{00000000-0005-0000-0000-0000D60A0000}"/>
    <cellStyle name="Version Number 2" xfId="1612" xr:uid="{00000000-0005-0000-0000-0000D70A0000}"/>
    <cellStyle name="vil" xfId="1613" xr:uid="{00000000-0005-0000-0000-0000D80A0000}"/>
    <cellStyle name="w" xfId="1614" xr:uid="{00000000-0005-0000-0000-0000D90A0000}"/>
    <cellStyle name="Währung [0]_Compiling Utility Macros" xfId="605" xr:uid="{00000000-0005-0000-0000-0000DA0A0000}"/>
    <cellStyle name="Währung_Compiling Utility Macros" xfId="606" xr:uid="{00000000-0005-0000-0000-0000DB0A0000}"/>
    <cellStyle name="Warning Text" xfId="607" builtinId="11" customBuiltin="1"/>
    <cellStyle name="Warning Text 2" xfId="608" xr:uid="{00000000-0005-0000-0000-0000DD0A0000}"/>
    <cellStyle name="Warning Text 2 2" xfId="1615" xr:uid="{00000000-0005-0000-0000-0000DE0A0000}"/>
    <cellStyle name="Warning Text 3" xfId="2562" xr:uid="{00000000-0005-0000-0000-0000DF0A0000}"/>
    <cellStyle name="Warning Text 4" xfId="2563" xr:uid="{00000000-0005-0000-0000-0000E00A0000}"/>
    <cellStyle name="Warning Text 5" xfId="2564" xr:uid="{00000000-0005-0000-0000-0000E10A0000}"/>
    <cellStyle name="Warning Text 6" xfId="2565" xr:uid="{00000000-0005-0000-0000-0000E20A0000}"/>
    <cellStyle name="Whole" xfId="1616" xr:uid="{00000000-0005-0000-0000-0000E30A0000}"/>
    <cellStyle name="WideTotal" xfId="1617" xr:uid="{00000000-0005-0000-0000-0000E40A0000}"/>
    <cellStyle name="WideTotalB" xfId="1618" xr:uid="{00000000-0005-0000-0000-0000E50A0000}"/>
    <cellStyle name="WideTotalB 2" xfId="1619" xr:uid="{00000000-0005-0000-0000-0000E60A0000}"/>
    <cellStyle name="WP Header" xfId="1620" xr:uid="{00000000-0005-0000-0000-0000E70A0000}"/>
    <cellStyle name="Y2K Compliant Date Fmt" xfId="1621" xr:uid="{00000000-0005-0000-0000-0000E80A0000}"/>
    <cellStyle name="Year" xfId="609" xr:uid="{00000000-0005-0000-0000-0000E90A0000}"/>
    <cellStyle name="Year 2" xfId="1622" xr:uid="{00000000-0005-0000-0000-0000EA0A0000}"/>
    <cellStyle name="YEAR HEADER" xfId="610" xr:uid="{00000000-0005-0000-0000-0000EB0A0000}"/>
    <cellStyle name="Year_Quarterly Fin" xfId="611" xr:uid="{00000000-0005-0000-0000-0000EC0A0000}"/>
    <cellStyle name="Years" xfId="1623" xr:uid="{00000000-0005-0000-0000-0000ED0A0000}"/>
    <cellStyle name="Yen" xfId="1624" xr:uid="{00000000-0005-0000-0000-0000EE0A0000}"/>
    <cellStyle name="YesNo" xfId="612" xr:uid="{00000000-0005-0000-0000-0000EF0A0000}"/>
    <cellStyle name="YesNo 2" xfId="1894" xr:uid="{00000000-0005-0000-0000-0000F00A0000}"/>
    <cellStyle name="yh" xfId="1625" xr:uid="{00000000-0005-0000-0000-0000F10A0000}"/>
    <cellStyle name="yh 2" xfId="1626" xr:uid="{00000000-0005-0000-0000-0000F20A0000}"/>
    <cellStyle name="Yield" xfId="1627" xr:uid="{00000000-0005-0000-0000-0000F30A0000}"/>
    <cellStyle name="yt" xfId="1628" xr:uid="{00000000-0005-0000-0000-0000F40A0000}"/>
    <cellStyle name="z" xfId="1629" xr:uid="{00000000-0005-0000-0000-0000F50A0000}"/>
    <cellStyle name="z 2" xfId="1630" xr:uid="{00000000-0005-0000-0000-0000F60A0000}"/>
    <cellStyle name="Обычный_Sheet1" xfId="1631" xr:uid="{00000000-0005-0000-0000-0000F70A0000}"/>
    <cellStyle name="콤마 [0]_94하반기" xfId="613" xr:uid="{00000000-0005-0000-0000-0000F80A0000}"/>
    <cellStyle name="콤마_94하반기" xfId="614" xr:uid="{00000000-0005-0000-0000-0000F90A0000}"/>
    <cellStyle name="통화 [0]_94하반기" xfId="615" xr:uid="{00000000-0005-0000-0000-0000FA0A0000}"/>
    <cellStyle name="통화_94하반기" xfId="616" xr:uid="{00000000-0005-0000-0000-0000FB0A0000}"/>
    <cellStyle name="표준_Ⅰ.경영실적" xfId="617" xr:uid="{00000000-0005-0000-0000-0000FC0A0000}"/>
    <cellStyle name="一般_St503_2m(working)" xfId="1632" xr:uid="{00000000-0005-0000-0000-0000FD0A0000}"/>
    <cellStyle name="標準_Sheet1" xfId="1633" xr:uid="{00000000-0005-0000-0000-0000FE0A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4"/>
      </font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 style="thin">
          <color theme="0" tint="-0.24994659260841701"/>
        </horizontal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 style="thin">
          <color theme="0" tint="-0.24994659260841701"/>
        </horizontal>
      </border>
    </dxf>
    <dxf>
      <font>
        <b/>
        <i val="0"/>
        <color theme="0"/>
      </font>
      <fill>
        <patternFill>
          <bgColor theme="4"/>
        </patternFill>
      </fill>
    </dxf>
    <dxf>
      <border diagonalUp="0" diagonalDown="0">
        <left/>
        <right/>
        <top/>
        <bottom style="thin">
          <color theme="4"/>
        </bottom>
        <vertical/>
        <horizontal style="thin">
          <color theme="0" tint="-0.24994659260841701"/>
        </horizontal>
      </border>
    </dxf>
    <dxf>
      <fill>
        <patternFill>
          <bgColor rgb="FFD9D9D9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4"/>
      </font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</font>
      <border diagonalUp="0" diagonalDown="0">
        <left/>
        <right/>
        <top/>
        <bottom style="thin">
          <color theme="4"/>
        </bottom>
        <vertical/>
        <horizontal/>
      </border>
    </dxf>
    <dxf>
      <fill>
        <patternFill>
          <bgColor theme="6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4"/>
      </font>
      <border diagonalUp="0" diagonalDown="0">
        <left/>
        <right/>
        <top/>
        <bottom style="thin">
          <color theme="4"/>
        </bottom>
        <vertical/>
        <horizontal/>
      </border>
    </dxf>
    <dxf>
      <font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/>
        <i val="0"/>
        <color theme="4"/>
      </font>
      <border diagonalUp="0" diagonalDown="0">
        <left/>
        <right/>
        <top/>
        <bottom style="thin">
          <color theme="4"/>
        </bottom>
        <vertical/>
        <horizontal/>
      </border>
    </dxf>
    <dxf>
      <border diagonalUp="0" diagonalDown="0">
        <left/>
        <right/>
        <top/>
        <bottom style="thin">
          <color theme="4"/>
        </bottom>
        <vertical/>
        <horizontal style="thin">
          <color theme="0" tint="-0.24994659260841701"/>
        </horizontal>
      </border>
    </dxf>
    <dxf>
      <border diagonalUp="0" diagonalDown="0">
        <left/>
        <right/>
        <top/>
        <bottom style="thin">
          <color theme="4"/>
        </bottom>
        <vertical/>
        <horizontal/>
      </border>
    </dxf>
    <dxf>
      <font>
        <b/>
        <i val="0"/>
        <color theme="4"/>
      </font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</dxfs>
  <tableStyles count="8" defaultTableStyle="TableStyleMedium2" defaultPivotStyle="PivotStyleLight16">
    <tableStyle name="LazTable 1" pivot="0" count="3" xr9:uid="{E8735875-7443-42FE-B53F-61BC1D7B30A2}">
      <tableStyleElement type="wholeTable" dxfId="21"/>
      <tableStyleElement type="headerRow" dxfId="20"/>
      <tableStyleElement type="lastTotalCell" dxfId="19"/>
    </tableStyle>
    <tableStyle name="LazTable 2" pivot="0" count="2" xr9:uid="{BE388A79-F65A-448C-B984-D6000EB2F278}">
      <tableStyleElement type="wholeTable" dxfId="18"/>
      <tableStyleElement type="headerRow" dxfId="17"/>
    </tableStyle>
    <tableStyle name="LazTable 3" pivot="0" count="3" xr9:uid="{19931438-6CB9-4EFF-A20A-2F2A9E588004}">
      <tableStyleElement type="wholeTable" dxfId="16"/>
      <tableStyleElement type="headerRow" dxfId="15"/>
      <tableStyleElement type="firstRowStripe" dxfId="14"/>
    </tableStyle>
    <tableStyle name="LazTable 4" pivot="0" count="3" xr9:uid="{346391C8-3A3A-45F2-9327-54784803AACA}">
      <tableStyleElement type="wholeTable" dxfId="13"/>
      <tableStyleElement type="headerRow" dxfId="12"/>
      <tableStyleElement type="firstRowStripe" dxfId="11"/>
    </tableStyle>
    <tableStyle name="LazTable 5" pivot="0" count="2" xr9:uid="{F0114DF4-0CAA-4AB7-AB20-D3450AE13193}">
      <tableStyleElement type="wholeTable" dxfId="10"/>
      <tableStyleElement type="headerRow" dxfId="9"/>
    </tableStyle>
    <tableStyle name="LazTable 6" pivot="0" count="2" xr9:uid="{52802CF3-762C-48C1-B34A-B361C6272579}">
      <tableStyleElement type="wholeTable" dxfId="8"/>
      <tableStyleElement type="headerRow" dxfId="7"/>
    </tableStyle>
    <tableStyle name="LazTable 7" pivot="0" count="3" xr9:uid="{1662D07F-0A44-4C2A-AAD7-377F23DA82AB}">
      <tableStyleElement type="wholeTable" dxfId="6"/>
      <tableStyleElement type="headerRow" dxfId="5"/>
      <tableStyleElement type="firstColumn" dxfId="4"/>
    </tableStyle>
    <tableStyle name="Invisible" pivot="0" table="0" count="0" xr9:uid="{C7A3A14A-3CE3-4202-A819-9CB52825026F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59999389629810485"/>
    <outlinePr summaryBelow="0"/>
  </sheetPr>
  <dimension ref="A1:AF70"/>
  <sheetViews>
    <sheetView tabSelected="1" workbookViewId="0">
      <selection activeCell="F25" sqref="F25"/>
    </sheetView>
  </sheetViews>
  <sheetFormatPr defaultColWidth="9.1796875" defaultRowHeight="12.5"/>
  <cols>
    <col min="1" max="1" width="43.54296875" style="7" bestFit="1" customWidth="1"/>
    <col min="2" max="2" width="15.26953125" style="7" bestFit="1" customWidth="1"/>
    <col min="3" max="3" width="12.7265625" style="7" bestFit="1" customWidth="1"/>
    <col min="4" max="4" width="26" style="7" bestFit="1" customWidth="1"/>
    <col min="5" max="5" width="16.08984375" style="7" bestFit="1" customWidth="1"/>
    <col min="6" max="13" width="12.1796875" style="7" bestFit="1" customWidth="1"/>
    <col min="14" max="14" width="13.81640625" style="88" customWidth="1"/>
    <col min="15" max="22" width="12.1796875" style="88" bestFit="1" customWidth="1"/>
    <col min="23" max="26" width="5" style="88" bestFit="1" customWidth="1"/>
    <col min="27" max="31" width="5" style="7" bestFit="1" customWidth="1"/>
    <col min="32" max="32" width="12.26953125" style="7" bestFit="1" customWidth="1"/>
    <col min="33" max="33" width="53.1796875" style="7" bestFit="1" customWidth="1"/>
    <col min="34" max="16384" width="9.1796875" style="7"/>
  </cols>
  <sheetData>
    <row r="1" spans="1:32" ht="14">
      <c r="A1" s="52" t="s">
        <v>325</v>
      </c>
      <c r="F1" s="88"/>
      <c r="G1" s="88"/>
      <c r="H1" s="88"/>
      <c r="I1" s="88"/>
      <c r="J1" s="88"/>
      <c r="K1" s="88"/>
      <c r="L1" s="88"/>
      <c r="M1" s="88"/>
    </row>
    <row r="2" spans="1:32" ht="13">
      <c r="A2" s="7" t="s">
        <v>106</v>
      </c>
      <c r="B2" s="158" t="s">
        <v>210</v>
      </c>
      <c r="D2" s="150"/>
      <c r="E2" s="151" t="s">
        <v>207</v>
      </c>
      <c r="F2" s="88"/>
      <c r="I2" s="88"/>
      <c r="J2" s="88"/>
      <c r="K2" s="88"/>
      <c r="L2" s="88"/>
      <c r="M2" s="88"/>
    </row>
    <row r="3" spans="1:32" ht="13">
      <c r="A3" s="7" t="s">
        <v>184</v>
      </c>
      <c r="B3" s="158" t="s">
        <v>211</v>
      </c>
      <c r="D3" s="152"/>
      <c r="E3" s="153"/>
      <c r="F3" s="109"/>
      <c r="I3" s="109"/>
      <c r="J3" s="109"/>
      <c r="K3" s="109"/>
      <c r="L3" s="109"/>
      <c r="M3" s="109"/>
    </row>
    <row r="4" spans="1:32" ht="13">
      <c r="D4" s="152" t="s">
        <v>121</v>
      </c>
      <c r="E4" s="157">
        <f>B8</f>
        <v>1560</v>
      </c>
      <c r="F4" s="93"/>
      <c r="I4" s="88"/>
      <c r="J4" s="88"/>
      <c r="K4" s="88"/>
      <c r="L4" s="88"/>
      <c r="M4" s="88"/>
    </row>
    <row r="5" spans="1:32">
      <c r="A5" s="7" t="s">
        <v>122</v>
      </c>
      <c r="B5" s="86" t="s">
        <v>324</v>
      </c>
      <c r="D5" s="152"/>
      <c r="E5" s="153"/>
      <c r="F5" s="110"/>
      <c r="I5" s="110"/>
      <c r="J5" s="110"/>
      <c r="K5" s="110"/>
      <c r="L5" s="110"/>
      <c r="M5" s="110"/>
    </row>
    <row r="6" spans="1:32">
      <c r="A6" s="7" t="s">
        <v>123</v>
      </c>
      <c r="B6" s="86" t="s">
        <v>329</v>
      </c>
      <c r="D6" s="152" t="s">
        <v>38</v>
      </c>
      <c r="E6" s="154">
        <f>B10</f>
        <v>617359972.27650011</v>
      </c>
      <c r="F6" s="110"/>
      <c r="I6" s="110"/>
      <c r="J6" s="110"/>
      <c r="K6" s="110"/>
      <c r="L6" s="110"/>
      <c r="M6" s="110"/>
      <c r="AF6" s="45"/>
    </row>
    <row r="7" spans="1:32">
      <c r="A7" s="7" t="s">
        <v>129</v>
      </c>
      <c r="B7" s="86">
        <v>2029</v>
      </c>
      <c r="D7" s="152" t="s">
        <v>101</v>
      </c>
      <c r="E7" s="154">
        <f>B17</f>
        <v>0</v>
      </c>
      <c r="F7" s="88"/>
      <c r="I7" s="88"/>
      <c r="J7" s="88"/>
      <c r="K7" s="88"/>
      <c r="L7" s="88"/>
      <c r="M7" s="88"/>
    </row>
    <row r="8" spans="1:32">
      <c r="A8" s="7" t="s">
        <v>121</v>
      </c>
      <c r="B8" s="87">
        <v>1560</v>
      </c>
      <c r="D8" s="152" t="s">
        <v>108</v>
      </c>
      <c r="E8" s="154">
        <f>B11</f>
        <v>0</v>
      </c>
      <c r="F8" s="111"/>
      <c r="I8" s="111"/>
      <c r="J8" s="111"/>
      <c r="K8" s="111"/>
      <c r="L8" s="111"/>
      <c r="M8" s="111"/>
      <c r="N8" s="238"/>
    </row>
    <row r="9" spans="1:32">
      <c r="D9" s="155" t="s">
        <v>70</v>
      </c>
      <c r="E9" s="156">
        <f>B18</f>
        <v>617359972.27650011</v>
      </c>
      <c r="F9" s="111"/>
      <c r="I9" s="111"/>
      <c r="J9" s="111"/>
      <c r="K9" s="111"/>
      <c r="L9" s="111"/>
      <c r="M9" s="111"/>
    </row>
    <row r="10" spans="1:32" ht="13">
      <c r="A10" s="7" t="s">
        <v>131</v>
      </c>
      <c r="B10" s="243">
        <v>617359972.27650011</v>
      </c>
      <c r="C10" s="240" t="s">
        <v>342</v>
      </c>
      <c r="F10" s="111"/>
      <c r="I10" s="111"/>
      <c r="J10" s="111"/>
      <c r="K10" s="111"/>
      <c r="L10" s="111"/>
      <c r="M10" s="111"/>
    </row>
    <row r="11" spans="1:32" ht="13">
      <c r="A11" s="7" t="s">
        <v>206</v>
      </c>
      <c r="B11" s="87"/>
      <c r="D11" s="84" t="s">
        <v>209</v>
      </c>
      <c r="E11" s="85"/>
      <c r="F11" s="111"/>
      <c r="I11" s="111"/>
      <c r="J11" s="111"/>
      <c r="K11" s="111"/>
      <c r="L11" s="111"/>
      <c r="M11" s="111"/>
    </row>
    <row r="12" spans="1:32">
      <c r="A12" s="82" t="s">
        <v>117</v>
      </c>
      <c r="B12" s="53"/>
      <c r="D12" s="85" t="s">
        <v>165</v>
      </c>
      <c r="E12" s="147">
        <f>GRCF!D25</f>
        <v>1.3398970400000001</v>
      </c>
      <c r="F12" s="241" t="s">
        <v>337</v>
      </c>
      <c r="I12" s="111"/>
      <c r="J12" s="111"/>
      <c r="K12" s="111"/>
      <c r="L12" s="111"/>
      <c r="M12" s="111"/>
    </row>
    <row r="13" spans="1:32">
      <c r="A13" s="108" t="s">
        <v>162</v>
      </c>
      <c r="B13" s="87"/>
      <c r="D13" s="85" t="s">
        <v>298</v>
      </c>
      <c r="E13" s="144">
        <f>Allocators!G10</f>
        <v>1</v>
      </c>
      <c r="F13" s="241" t="s">
        <v>338</v>
      </c>
      <c r="I13" s="111"/>
      <c r="J13" s="111"/>
      <c r="K13" s="111"/>
      <c r="L13" s="111"/>
      <c r="M13" s="111"/>
    </row>
    <row r="14" spans="1:32">
      <c r="A14" s="108" t="s">
        <v>118</v>
      </c>
      <c r="B14" s="87"/>
      <c r="D14" s="85" t="s">
        <v>166</v>
      </c>
      <c r="E14" s="144">
        <f>'CAP Structure'!F18</f>
        <v>6.8338296000000007E-2</v>
      </c>
      <c r="F14" s="241" t="s">
        <v>337</v>
      </c>
      <c r="I14" s="111"/>
      <c r="J14" s="111"/>
      <c r="K14" s="111"/>
      <c r="L14" s="111"/>
      <c r="M14" s="111"/>
      <c r="N14" s="238"/>
    </row>
    <row r="15" spans="1:32">
      <c r="A15" s="108" t="s">
        <v>119</v>
      </c>
      <c r="B15" s="87"/>
      <c r="D15" s="85" t="s">
        <v>167</v>
      </c>
      <c r="E15" s="144">
        <f>'CAP Structure'!E16</f>
        <v>9.7500000000000003E-2</v>
      </c>
      <c r="F15" s="241" t="s">
        <v>337</v>
      </c>
      <c r="I15" s="111"/>
      <c r="J15" s="111"/>
      <c r="K15" s="111"/>
      <c r="L15" s="111"/>
      <c r="M15" s="111"/>
    </row>
    <row r="16" spans="1:32">
      <c r="A16" s="108" t="s">
        <v>120</v>
      </c>
      <c r="B16" s="87"/>
      <c r="D16" s="85" t="s">
        <v>168</v>
      </c>
      <c r="E16" s="144">
        <f>'CAP Structure'!F12+'CAP Structure'!F14</f>
        <v>2.8124421E-2</v>
      </c>
      <c r="F16" s="241" t="s">
        <v>337</v>
      </c>
      <c r="J16" s="111"/>
      <c r="K16" s="111"/>
      <c r="L16" s="111"/>
      <c r="M16" s="111"/>
      <c r="N16" s="238"/>
    </row>
    <row r="17" spans="1:14" ht="12" customHeight="1">
      <c r="A17" s="7" t="s">
        <v>101</v>
      </c>
      <c r="B17" s="53">
        <f>B13+B14+B15+B16</f>
        <v>0</v>
      </c>
      <c r="D17" s="85" t="s">
        <v>169</v>
      </c>
      <c r="E17" s="144">
        <f>'CAP Structure'!D16</f>
        <v>0.41244999999999998</v>
      </c>
      <c r="F17" s="241" t="s">
        <v>337</v>
      </c>
      <c r="J17" s="111"/>
      <c r="K17" s="111"/>
      <c r="L17" s="111"/>
      <c r="M17" s="111"/>
      <c r="N17" s="238"/>
    </row>
    <row r="18" spans="1:14" ht="12" customHeight="1">
      <c r="A18" s="7" t="s">
        <v>70</v>
      </c>
      <c r="B18" s="53">
        <f>B10+B17+B11</f>
        <v>617359972.27650011</v>
      </c>
      <c r="F18" s="111"/>
      <c r="I18" s="111"/>
      <c r="J18" s="111"/>
      <c r="K18" s="111"/>
      <c r="L18" s="111"/>
      <c r="M18" s="111"/>
      <c r="N18" s="238"/>
    </row>
    <row r="19" spans="1:14" ht="12" customHeight="1">
      <c r="F19" s="111"/>
      <c r="J19" s="111"/>
      <c r="K19" s="111"/>
      <c r="L19" s="111"/>
      <c r="M19" s="111"/>
      <c r="N19" s="238"/>
    </row>
    <row r="20" spans="1:14" ht="12" customHeight="1">
      <c r="A20" s="145" t="s">
        <v>204</v>
      </c>
      <c r="I20" s="111"/>
      <c r="J20" s="111"/>
      <c r="K20" s="111"/>
      <c r="L20" s="111"/>
      <c r="M20" s="111"/>
      <c r="N20" s="238"/>
    </row>
    <row r="21" spans="1:14" ht="12" customHeight="1">
      <c r="A21" s="127" t="s">
        <v>183</v>
      </c>
      <c r="B21" s="130">
        <v>12</v>
      </c>
      <c r="C21" s="241" t="s">
        <v>339</v>
      </c>
      <c r="F21" s="131"/>
      <c r="I21" s="111"/>
      <c r="J21" s="111"/>
      <c r="K21" s="111"/>
      <c r="L21" s="111"/>
      <c r="M21" s="111"/>
      <c r="N21" s="238"/>
    </row>
    <row r="22" spans="1:14" ht="12" customHeight="1">
      <c r="A22" s="134" t="s">
        <v>200</v>
      </c>
      <c r="B22" s="131">
        <f>IF(B30&lt;&gt;0,(B30+E9)/B21/E9,1/B21)</f>
        <v>8.3333333333333329E-2</v>
      </c>
      <c r="F22" s="131"/>
      <c r="G22" s="132"/>
      <c r="H22" s="111"/>
      <c r="I22" s="111"/>
      <c r="J22" s="111"/>
      <c r="K22" s="111"/>
      <c r="L22" s="111"/>
      <c r="M22" s="111"/>
      <c r="N22" s="238"/>
    </row>
    <row r="23" spans="1:14" ht="12" customHeight="1">
      <c r="G23" s="132"/>
      <c r="H23" s="111"/>
      <c r="I23" s="111"/>
      <c r="J23" s="111"/>
      <c r="K23" s="111"/>
      <c r="L23" s="111"/>
      <c r="M23" s="111"/>
      <c r="N23" s="238"/>
    </row>
    <row r="24" spans="1:14">
      <c r="A24" s="146" t="s">
        <v>205</v>
      </c>
      <c r="G24" s="111"/>
      <c r="H24" s="112"/>
      <c r="I24" s="112"/>
      <c r="J24" s="112"/>
      <c r="K24" s="111"/>
      <c r="L24" s="111"/>
      <c r="M24" s="111"/>
    </row>
    <row r="25" spans="1:14" s="88" customFormat="1">
      <c r="A25" s="134" t="s">
        <v>208</v>
      </c>
      <c r="B25" s="86">
        <v>2028</v>
      </c>
      <c r="F25" s="7"/>
      <c r="H25" s="7"/>
      <c r="K25" s="83"/>
    </row>
    <row r="26" spans="1:14" s="88" customFormat="1">
      <c r="A26" s="134" t="s">
        <v>203</v>
      </c>
      <c r="B26" s="144">
        <v>2.5000000000000001E-2</v>
      </c>
      <c r="F26" s="111"/>
      <c r="H26" s="7"/>
      <c r="K26" s="83"/>
    </row>
    <row r="27" spans="1:14" s="88" customFormat="1">
      <c r="A27" s="126" t="s">
        <v>181</v>
      </c>
      <c r="B27" s="87"/>
      <c r="F27" s="111"/>
      <c r="H27" s="7"/>
      <c r="K27" s="83"/>
    </row>
    <row r="28" spans="1:14" s="88" customFormat="1">
      <c r="A28" s="108" t="s">
        <v>170</v>
      </c>
      <c r="B28" s="128"/>
      <c r="H28" s="7"/>
      <c r="K28" s="83"/>
    </row>
    <row r="29" spans="1:14" s="88" customFormat="1">
      <c r="A29" s="127" t="s">
        <v>201</v>
      </c>
      <c r="B29" s="129">
        <f>B27-B28</f>
        <v>0</v>
      </c>
      <c r="H29" s="7"/>
      <c r="K29" s="83"/>
    </row>
    <row r="30" spans="1:14" s="88" customFormat="1">
      <c r="A30" s="127" t="s">
        <v>202</v>
      </c>
      <c r="B30" s="129">
        <f>B29*(1+B26)^(B21+B7-B25)</f>
        <v>0</v>
      </c>
      <c r="H30" s="7"/>
      <c r="K30" s="83"/>
    </row>
    <row r="31" spans="1:14" s="88" customFormat="1">
      <c r="H31" s="7"/>
      <c r="K31" s="83"/>
    </row>
    <row r="32" spans="1:14" s="88" customFormat="1">
      <c r="A32" s="145" t="s">
        <v>179</v>
      </c>
      <c r="B32" s="129"/>
      <c r="H32" s="7"/>
      <c r="K32" s="83"/>
    </row>
    <row r="33" spans="1:32" s="88" customFormat="1">
      <c r="A33" s="134" t="s">
        <v>193</v>
      </c>
      <c r="B33" s="87" t="s">
        <v>199</v>
      </c>
      <c r="C33" s="241" t="s">
        <v>340</v>
      </c>
      <c r="E33" s="129"/>
      <c r="H33" s="7"/>
      <c r="K33" s="83"/>
    </row>
    <row r="34" spans="1:32" s="88" customFormat="1">
      <c r="A34" s="134" t="s">
        <v>51</v>
      </c>
      <c r="B34" s="144">
        <f>GRCF!C16</f>
        <v>5.0065000000000005E-2</v>
      </c>
      <c r="E34" s="129"/>
      <c r="H34" s="7"/>
      <c r="K34" s="83"/>
    </row>
    <row r="35" spans="1:32" s="88" customFormat="1">
      <c r="A35" s="134" t="s">
        <v>58</v>
      </c>
      <c r="B35" s="91">
        <v>0.21</v>
      </c>
      <c r="E35" s="129"/>
      <c r="H35" s="7"/>
      <c r="K35" s="83"/>
    </row>
    <row r="36" spans="1:32" s="88" customFormat="1">
      <c r="A36" s="134" t="s">
        <v>313</v>
      </c>
      <c r="B36" s="88" cm="1">
        <f t="array" ref="B36:H36">TRANSPOSE('NEC Forecast Inputs'!B4:B10)</f>
        <v>2503.4639999999999</v>
      </c>
      <c r="C36" s="88">
        <v>2130.683</v>
      </c>
      <c r="D36" s="88">
        <v>1511.9670000000001</v>
      </c>
      <c r="E36" s="88">
        <v>2471.4279999999999</v>
      </c>
      <c r="F36" s="88">
        <v>2390.402</v>
      </c>
      <c r="G36" s="7">
        <v>2062.8719999999998</v>
      </c>
      <c r="H36" s="88">
        <v>2447.2020000000002</v>
      </c>
      <c r="J36" s="83"/>
      <c r="N36" s="242"/>
      <c r="O36" s="242"/>
    </row>
    <row r="37" spans="1:32" s="88" customFormat="1">
      <c r="A37" s="134" t="s">
        <v>315</v>
      </c>
      <c r="B37" s="88" cm="1">
        <f t="array" ref="B37:H37">TRANSPOSE('NEC Forecast Inputs'!C4:C10)</f>
        <v>2594.4740000000002</v>
      </c>
      <c r="C37" s="88">
        <v>2191.904</v>
      </c>
      <c r="D37" s="88">
        <v>2341.8270000000002</v>
      </c>
      <c r="E37" s="88">
        <v>2608.6390000000001</v>
      </c>
      <c r="F37" s="88">
        <v>2170.6559999999999</v>
      </c>
      <c r="G37" s="7">
        <v>2566.2750000000001</v>
      </c>
      <c r="H37" s="88">
        <v>2599.4450000000002</v>
      </c>
      <c r="J37" s="83"/>
      <c r="N37" s="242"/>
      <c r="O37" s="242"/>
    </row>
    <row r="38" spans="1:32" s="88" customFormat="1">
      <c r="A38" s="134" t="s">
        <v>314</v>
      </c>
      <c r="B38" s="111">
        <f>B36*1000</f>
        <v>2503464</v>
      </c>
      <c r="C38" s="111">
        <f t="shared" ref="C38:L38" si="0">C36*1000</f>
        <v>2130683</v>
      </c>
      <c r="D38" s="111">
        <f t="shared" si="0"/>
        <v>1511967</v>
      </c>
      <c r="E38" s="111">
        <f t="shared" si="0"/>
        <v>2471428</v>
      </c>
      <c r="F38" s="111">
        <f t="shared" si="0"/>
        <v>2390402</v>
      </c>
      <c r="G38" s="111">
        <f t="shared" si="0"/>
        <v>2062871.9999999998</v>
      </c>
      <c r="H38" s="111">
        <f t="shared" si="0"/>
        <v>2447202</v>
      </c>
      <c r="I38" s="111">
        <f t="shared" si="0"/>
        <v>0</v>
      </c>
      <c r="J38" s="111">
        <f t="shared" si="0"/>
        <v>0</v>
      </c>
      <c r="K38" s="111">
        <f t="shared" si="0"/>
        <v>0</v>
      </c>
      <c r="L38" s="111">
        <f t="shared" si="0"/>
        <v>0</v>
      </c>
      <c r="M38" s="111"/>
      <c r="N38" s="111"/>
      <c r="O38" s="111"/>
      <c r="P38" s="111"/>
      <c r="Q38" s="111"/>
      <c r="R38" s="111"/>
      <c r="S38" s="111"/>
      <c r="T38" s="111"/>
      <c r="U38" s="111"/>
    </row>
    <row r="39" spans="1:32" s="88" customFormat="1">
      <c r="A39" s="134" t="s">
        <v>316</v>
      </c>
      <c r="B39" s="111">
        <f>B37*1000</f>
        <v>2594474</v>
      </c>
      <c r="C39" s="111">
        <f t="shared" ref="C39:L39" si="1">C37*1000</f>
        <v>2191904</v>
      </c>
      <c r="D39" s="111">
        <f t="shared" si="1"/>
        <v>2341827</v>
      </c>
      <c r="E39" s="111">
        <f t="shared" si="1"/>
        <v>2608639</v>
      </c>
      <c r="F39" s="111">
        <f t="shared" si="1"/>
        <v>2170656</v>
      </c>
      <c r="G39" s="111">
        <f t="shared" si="1"/>
        <v>2566275</v>
      </c>
      <c r="H39" s="111">
        <f t="shared" si="1"/>
        <v>2599445</v>
      </c>
      <c r="I39" s="111">
        <f t="shared" si="1"/>
        <v>0</v>
      </c>
      <c r="J39" s="111">
        <f t="shared" si="1"/>
        <v>0</v>
      </c>
      <c r="K39" s="111">
        <f t="shared" si="1"/>
        <v>0</v>
      </c>
      <c r="L39" s="111">
        <f t="shared" si="1"/>
        <v>0</v>
      </c>
      <c r="M39" s="111"/>
      <c r="N39" s="111"/>
      <c r="O39" s="111"/>
      <c r="P39" s="111"/>
      <c r="Q39" s="111"/>
      <c r="R39" s="111"/>
      <c r="S39" s="111"/>
      <c r="T39" s="111"/>
      <c r="U39" s="111"/>
    </row>
    <row r="40" spans="1:32" s="88" customFormat="1">
      <c r="A40" s="134" t="s">
        <v>317</v>
      </c>
      <c r="B40" s="111" cm="1">
        <f t="array" ref="B40:H40">TRANSPOSE('NEC Forecast Inputs'!H4:H10*1000)</f>
        <v>82267440</v>
      </c>
      <c r="C40" s="111">
        <v>71800700</v>
      </c>
      <c r="D40" s="111">
        <v>52395990</v>
      </c>
      <c r="E40" s="111">
        <v>88096930</v>
      </c>
      <c r="F40" s="111">
        <v>87845825</v>
      </c>
      <c r="G40" s="111">
        <v>78069065</v>
      </c>
      <c r="H40" s="111">
        <v>86583150</v>
      </c>
      <c r="I40" s="111"/>
      <c r="J40" s="111"/>
      <c r="K40" s="111"/>
      <c r="L40" s="111"/>
      <c r="M40" s="111"/>
      <c r="N40" s="242"/>
      <c r="O40" s="242"/>
      <c r="P40" s="111"/>
      <c r="Q40" s="111"/>
      <c r="R40" s="111"/>
      <c r="S40" s="111"/>
      <c r="T40" s="111"/>
      <c r="U40" s="111"/>
    </row>
    <row r="41" spans="1:32" s="88" customFormat="1">
      <c r="A41" s="134" t="s">
        <v>318</v>
      </c>
      <c r="B41" s="111" cm="1">
        <f t="array" ref="B41:H41">TRANSPOSE('NEC Forecast Inputs'!I4:I10)*1000</f>
        <v>80076385</v>
      </c>
      <c r="C41" s="111">
        <v>69506625</v>
      </c>
      <c r="D41" s="111">
        <v>76410075</v>
      </c>
      <c r="E41" s="111">
        <v>87918795</v>
      </c>
      <c r="F41" s="111">
        <v>75536965</v>
      </c>
      <c r="G41" s="111">
        <v>91888280</v>
      </c>
      <c r="H41" s="111">
        <v>91363975</v>
      </c>
      <c r="I41" s="111"/>
      <c r="J41" s="111"/>
      <c r="K41" s="111"/>
      <c r="L41" s="111"/>
      <c r="M41" s="111"/>
      <c r="N41" s="242"/>
      <c r="O41" s="242"/>
      <c r="P41" s="111"/>
      <c r="Q41" s="111"/>
      <c r="R41" s="111"/>
      <c r="S41" s="111"/>
      <c r="T41" s="111"/>
      <c r="U41" s="111"/>
    </row>
    <row r="42" spans="1:32" s="88" customFormat="1">
      <c r="A42" s="134" t="s">
        <v>319</v>
      </c>
      <c r="B42" s="111" cm="1">
        <f t="array" ref="B42:H42">TRANSPOSE('NEC Forecast Inputs'!E4:E10)*1000</f>
        <v>110164200</v>
      </c>
      <c r="C42" s="111">
        <v>88183530</v>
      </c>
      <c r="D42" s="111">
        <v>56461055</v>
      </c>
      <c r="E42" s="111">
        <v>116551440</v>
      </c>
      <c r="F42" s="111">
        <v>109702305</v>
      </c>
      <c r="G42" s="111">
        <v>91206835</v>
      </c>
      <c r="H42" s="111">
        <v>107781495</v>
      </c>
      <c r="I42" s="111"/>
      <c r="J42" s="111"/>
      <c r="K42" s="111"/>
      <c r="L42" s="111"/>
      <c r="M42" s="111"/>
      <c r="N42" s="242"/>
      <c r="O42" s="242"/>
      <c r="P42" s="111"/>
      <c r="Q42" s="111"/>
      <c r="R42" s="111"/>
      <c r="S42" s="111"/>
      <c r="T42" s="111"/>
      <c r="U42" s="111"/>
    </row>
    <row r="43" spans="1:32" s="88" customFormat="1">
      <c r="A43" s="134" t="s">
        <v>320</v>
      </c>
      <c r="B43" s="111" cm="1">
        <f t="array" ref="B43:H43">TRANSPOSE('NEC Forecast Inputs'!F4:F10)*1000</f>
        <v>114350395</v>
      </c>
      <c r="C43" s="111">
        <v>88271125</v>
      </c>
      <c r="D43" s="111">
        <v>84103155</v>
      </c>
      <c r="E43" s="111">
        <v>122481315</v>
      </c>
      <c r="F43" s="111">
        <v>98474475</v>
      </c>
      <c r="G43" s="111">
        <v>113337850</v>
      </c>
      <c r="H43" s="111">
        <v>113212740</v>
      </c>
      <c r="I43" s="111"/>
      <c r="J43" s="111"/>
      <c r="K43" s="111"/>
      <c r="L43" s="111"/>
      <c r="M43" s="111"/>
      <c r="N43" s="242"/>
      <c r="O43" s="242"/>
      <c r="P43" s="111"/>
      <c r="Q43" s="111"/>
      <c r="R43" s="111"/>
      <c r="S43" s="111"/>
      <c r="T43" s="111"/>
      <c r="U43" s="111"/>
    </row>
    <row r="44" spans="1:32" s="88" customFormat="1">
      <c r="A44" s="134"/>
      <c r="B44" s="119"/>
      <c r="C44" s="111"/>
      <c r="D44" s="111"/>
      <c r="E44" s="111"/>
      <c r="F44" s="111"/>
      <c r="G44" s="111"/>
      <c r="H44" s="111"/>
      <c r="I44" s="111"/>
      <c r="J44" s="111"/>
      <c r="K44" s="111">
        <f>SUM(K42:K43)</f>
        <v>0</v>
      </c>
      <c r="L44" s="111">
        <f>SUM(L42:L43)</f>
        <v>0</v>
      </c>
      <c r="M44" s="111"/>
      <c r="N44" s="242"/>
      <c r="O44" s="242"/>
      <c r="P44" s="111"/>
      <c r="Q44" s="111"/>
      <c r="R44" s="111"/>
      <c r="S44" s="111"/>
      <c r="T44" s="111"/>
      <c r="U44" s="111"/>
      <c r="V44" s="111"/>
    </row>
    <row r="45" spans="1:32" s="88" customFormat="1">
      <c r="A45" s="134"/>
      <c r="B45" s="119">
        <f>(B38+B39)/($B$8*8760)</f>
        <v>0.37304896967568202</v>
      </c>
      <c r="C45" s="119">
        <f t="shared" ref="C45:L45" si="2">(C38+C39)/($B$8*8760)</f>
        <v>0.31631154138859618</v>
      </c>
      <c r="D45" s="119">
        <f t="shared" si="2"/>
        <v>0.28200693712680014</v>
      </c>
      <c r="E45" s="119">
        <f t="shared" si="2"/>
        <v>0.3717412334621239</v>
      </c>
      <c r="F45" s="119">
        <f t="shared" si="2"/>
        <v>0.33376200093665848</v>
      </c>
      <c r="G45" s="119">
        <f t="shared" si="2"/>
        <v>0.33874451176677206</v>
      </c>
      <c r="H45" s="119">
        <f t="shared" si="2"/>
        <v>0.3692956767357452</v>
      </c>
      <c r="I45" s="119">
        <f t="shared" si="2"/>
        <v>0</v>
      </c>
      <c r="J45" s="119">
        <f t="shared" si="2"/>
        <v>0</v>
      </c>
      <c r="K45" s="119">
        <f t="shared" si="2"/>
        <v>0</v>
      </c>
      <c r="L45" s="119">
        <f t="shared" si="2"/>
        <v>0</v>
      </c>
      <c r="M45" s="219">
        <f>AVERAGE(B45:L45)</f>
        <v>0.21681007919021622</v>
      </c>
      <c r="N45" s="111"/>
      <c r="O45" s="111"/>
      <c r="P45" s="111"/>
      <c r="Q45" s="111"/>
      <c r="R45" s="111"/>
      <c r="S45" s="111"/>
      <c r="T45" s="111"/>
      <c r="U45" s="111"/>
      <c r="V45" s="111"/>
    </row>
    <row r="46" spans="1:32" ht="13">
      <c r="A46" s="90" t="str">
        <f>IF(B5="","",B5)</f>
        <v>ML</v>
      </c>
      <c r="B46" s="96">
        <v>2029</v>
      </c>
      <c r="C46" s="96">
        <v>2030</v>
      </c>
      <c r="D46" s="96">
        <f>C46+1</f>
        <v>2031</v>
      </c>
      <c r="E46" s="96">
        <f t="shared" ref="E46" si="3">D46+1</f>
        <v>2032</v>
      </c>
      <c r="F46" s="96">
        <f t="shared" ref="F46" si="4">E46+1</f>
        <v>2033</v>
      </c>
      <c r="G46" s="96">
        <f t="shared" ref="G46" si="5">F46+1</f>
        <v>2034</v>
      </c>
      <c r="H46" s="96">
        <f t="shared" ref="H46" si="6">G46+1</f>
        <v>2035</v>
      </c>
      <c r="I46" s="96">
        <f t="shared" ref="I46" si="7">H46+1</f>
        <v>2036</v>
      </c>
      <c r="J46" s="96">
        <f t="shared" ref="J46" si="8">I46+1</f>
        <v>2037</v>
      </c>
      <c r="K46" s="96">
        <f t="shared" ref="K46" si="9">J46+1</f>
        <v>2038</v>
      </c>
      <c r="L46" s="96">
        <f t="shared" ref="L46" si="10">K46+1</f>
        <v>2039</v>
      </c>
      <c r="M46" s="96">
        <f t="shared" ref="M46" si="11">L46+1</f>
        <v>2040</v>
      </c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5"/>
      <c r="AB46" s="235"/>
      <c r="AC46" s="235"/>
      <c r="AD46" s="235"/>
      <c r="AE46" s="235"/>
      <c r="AF46" s="93"/>
    </row>
    <row r="47" spans="1:32" s="204" customFormat="1" ht="13">
      <c r="A47" s="202" t="s">
        <v>173</v>
      </c>
      <c r="B47" s="203">
        <f>B65/2</f>
        <v>18455284.279408384</v>
      </c>
      <c r="C47" s="203">
        <f t="shared" ref="C47:M47" si="12">C65/2</f>
        <v>24552682.877738014</v>
      </c>
      <c r="D47" s="203">
        <f t="shared" si="12"/>
        <v>19067787.485247843</v>
      </c>
      <c r="E47" s="203">
        <f t="shared" si="12"/>
        <v>21685281.18052081</v>
      </c>
      <c r="F47" s="203">
        <f t="shared" si="12"/>
        <v>21896525.279703096</v>
      </c>
      <c r="G47" s="203">
        <f t="shared" si="12"/>
        <v>22360673.253376864</v>
      </c>
      <c r="H47" s="203">
        <f t="shared" si="12"/>
        <v>22435171.006862804</v>
      </c>
      <c r="I47" s="203">
        <f t="shared" si="12"/>
        <v>14768359.546333358</v>
      </c>
      <c r="J47" s="203">
        <f t="shared" si="12"/>
        <v>12732938.375708519</v>
      </c>
      <c r="K47" s="203">
        <f t="shared" si="12"/>
        <v>11816006.627326839</v>
      </c>
      <c r="L47" s="203">
        <f t="shared" si="12"/>
        <v>5308560.7759128734</v>
      </c>
      <c r="M47" s="203">
        <f t="shared" si="12"/>
        <v>0</v>
      </c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93"/>
    </row>
    <row r="48" spans="1:32" ht="13">
      <c r="A48" s="148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93"/>
    </row>
    <row r="49" spans="1:32">
      <c r="A49" s="148" t="s">
        <v>3</v>
      </c>
      <c r="B49" s="107">
        <f>B47+B48</f>
        <v>18455284.279408384</v>
      </c>
      <c r="C49" s="107">
        <f>C47+C48</f>
        <v>24552682.877738014</v>
      </c>
      <c r="D49" s="107">
        <f t="shared" ref="D49:M49" si="13">D47+D48</f>
        <v>19067787.485247843</v>
      </c>
      <c r="E49" s="107">
        <f t="shared" si="13"/>
        <v>21685281.18052081</v>
      </c>
      <c r="F49" s="107">
        <f t="shared" si="13"/>
        <v>21896525.279703096</v>
      </c>
      <c r="G49" s="107">
        <f t="shared" si="13"/>
        <v>22360673.253376864</v>
      </c>
      <c r="H49" s="107">
        <f t="shared" si="13"/>
        <v>22435171.006862804</v>
      </c>
      <c r="I49" s="107">
        <f t="shared" si="13"/>
        <v>14768359.546333358</v>
      </c>
      <c r="J49" s="107">
        <f t="shared" si="13"/>
        <v>12732938.375708519</v>
      </c>
      <c r="K49" s="107">
        <f t="shared" si="13"/>
        <v>11816006.627326839</v>
      </c>
      <c r="L49" s="107">
        <f t="shared" si="13"/>
        <v>5308560.7759128734</v>
      </c>
      <c r="M49" s="107">
        <f t="shared" si="13"/>
        <v>0</v>
      </c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107"/>
      <c r="AB49" s="107"/>
      <c r="AC49" s="107"/>
      <c r="AD49" s="107"/>
      <c r="AE49" s="107"/>
    </row>
    <row r="50" spans="1:32">
      <c r="A50" s="14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</row>
    <row r="51" spans="1:32" s="204" customFormat="1">
      <c r="A51" s="205" t="s">
        <v>172</v>
      </c>
      <c r="B51" s="203">
        <f>B66/2</f>
        <v>33523508.671640433</v>
      </c>
      <c r="C51" s="203">
        <f t="shared" ref="C51:M51" si="14">C66/2</f>
        <v>33671908.446598843</v>
      </c>
      <c r="D51" s="203">
        <f t="shared" si="14"/>
        <v>34011461.724697232</v>
      </c>
      <c r="E51" s="203">
        <f t="shared" si="14"/>
        <v>34533180.03446833</v>
      </c>
      <c r="F51" s="203">
        <f t="shared" si="14"/>
        <v>34804484.681227595</v>
      </c>
      <c r="G51" s="203">
        <f t="shared" si="14"/>
        <v>35686552.979692012</v>
      </c>
      <c r="H51" s="203">
        <f t="shared" si="14"/>
        <v>36075858.119511716</v>
      </c>
      <c r="I51" s="203">
        <f t="shared" si="14"/>
        <v>33978893.748258963</v>
      </c>
      <c r="J51" s="203">
        <f t="shared" si="14"/>
        <v>31874193.717214011</v>
      </c>
      <c r="K51" s="203">
        <f t="shared" si="14"/>
        <v>28362170.070587009</v>
      </c>
      <c r="L51" s="203">
        <f t="shared" si="14"/>
        <v>23864391.353819754</v>
      </c>
      <c r="M51" s="203">
        <f t="shared" si="14"/>
        <v>18921095.838730358</v>
      </c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7"/>
    </row>
    <row r="52" spans="1:32">
      <c r="A52" s="148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</row>
    <row r="53" spans="1:32" ht="13">
      <c r="A53" s="148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93"/>
    </row>
    <row r="54" spans="1:32">
      <c r="A54" s="148" t="s">
        <v>115</v>
      </c>
      <c r="B54" s="107">
        <f t="shared" ref="B54" si="15">SUM(B51:B53)</f>
        <v>33523508.671640433</v>
      </c>
      <c r="C54" s="107">
        <f t="shared" ref="C54:M54" si="16">SUM(C51:C53)</f>
        <v>33671908.446598843</v>
      </c>
      <c r="D54" s="107">
        <f t="shared" si="16"/>
        <v>34011461.724697232</v>
      </c>
      <c r="E54" s="107">
        <f t="shared" si="16"/>
        <v>34533180.03446833</v>
      </c>
      <c r="F54" s="107">
        <f t="shared" si="16"/>
        <v>34804484.681227595</v>
      </c>
      <c r="G54" s="107">
        <f t="shared" si="16"/>
        <v>35686552.979692012</v>
      </c>
      <c r="H54" s="107">
        <f t="shared" si="16"/>
        <v>36075858.119511716</v>
      </c>
      <c r="I54" s="107">
        <f t="shared" si="16"/>
        <v>33978893.748258963</v>
      </c>
      <c r="J54" s="107">
        <f t="shared" si="16"/>
        <v>31874193.717214011</v>
      </c>
      <c r="K54" s="107">
        <f t="shared" si="16"/>
        <v>28362170.070587009</v>
      </c>
      <c r="L54" s="107">
        <f t="shared" si="16"/>
        <v>23864391.353819754</v>
      </c>
      <c r="M54" s="107">
        <f t="shared" si="16"/>
        <v>18921095.838730358</v>
      </c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107"/>
      <c r="AB54" s="107"/>
      <c r="AC54" s="107"/>
      <c r="AD54" s="107"/>
      <c r="AE54" s="107"/>
    </row>
    <row r="55" spans="1:32">
      <c r="A55" s="143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</row>
    <row r="56" spans="1:32" ht="13">
      <c r="A56" s="205" t="s">
        <v>116</v>
      </c>
      <c r="B56" s="203">
        <f>3148408.96</f>
        <v>3148408.96</v>
      </c>
      <c r="C56" s="203">
        <f>B56</f>
        <v>3148408.96</v>
      </c>
      <c r="D56" s="203">
        <f t="shared" ref="D56:M56" si="17">C56</f>
        <v>3148408.96</v>
      </c>
      <c r="E56" s="203">
        <f t="shared" si="17"/>
        <v>3148408.96</v>
      </c>
      <c r="F56" s="203">
        <f t="shared" si="17"/>
        <v>3148408.96</v>
      </c>
      <c r="G56" s="203">
        <f t="shared" si="17"/>
        <v>3148408.96</v>
      </c>
      <c r="H56" s="203">
        <f t="shared" si="17"/>
        <v>3148408.96</v>
      </c>
      <c r="I56" s="203">
        <f t="shared" si="17"/>
        <v>3148408.96</v>
      </c>
      <c r="J56" s="203">
        <f t="shared" si="17"/>
        <v>3148408.96</v>
      </c>
      <c r="K56" s="203">
        <f t="shared" si="17"/>
        <v>3148408.96</v>
      </c>
      <c r="L56" s="203">
        <f t="shared" si="17"/>
        <v>3148408.96</v>
      </c>
      <c r="M56" s="203">
        <f t="shared" si="17"/>
        <v>3148408.96</v>
      </c>
      <c r="N56" s="239"/>
      <c r="O56" s="239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</row>
    <row r="57" spans="1:32">
      <c r="A57" s="148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</row>
    <row r="58" spans="1:32" ht="13">
      <c r="A58" s="205" t="s">
        <v>326</v>
      </c>
      <c r="B58" s="203">
        <f>13065203.07/2</f>
        <v>6532601.5350000001</v>
      </c>
      <c r="C58" s="203">
        <f>B58</f>
        <v>6532601.5350000001</v>
      </c>
      <c r="D58" s="203">
        <f t="shared" ref="D58:M58" si="18">C58</f>
        <v>6532601.5350000001</v>
      </c>
      <c r="E58" s="203">
        <f t="shared" si="18"/>
        <v>6532601.5350000001</v>
      </c>
      <c r="F58" s="203">
        <f t="shared" si="18"/>
        <v>6532601.5350000001</v>
      </c>
      <c r="G58" s="203">
        <f t="shared" si="18"/>
        <v>6532601.5350000001</v>
      </c>
      <c r="H58" s="203">
        <f t="shared" si="18"/>
        <v>6532601.5350000001</v>
      </c>
      <c r="I58" s="203">
        <f t="shared" si="18"/>
        <v>6532601.5350000001</v>
      </c>
      <c r="J58" s="203">
        <f t="shared" si="18"/>
        <v>6532601.5350000001</v>
      </c>
      <c r="K58" s="203">
        <f t="shared" si="18"/>
        <v>6532601.5350000001</v>
      </c>
      <c r="L58" s="203">
        <f t="shared" si="18"/>
        <v>6532601.5350000001</v>
      </c>
      <c r="M58" s="203">
        <f t="shared" si="18"/>
        <v>6532601.5350000001</v>
      </c>
      <c r="N58" s="239"/>
      <c r="O58" s="239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</row>
    <row r="59" spans="1:32">
      <c r="A59" s="148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</row>
    <row r="60" spans="1:32">
      <c r="A60" s="148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</row>
    <row r="61" spans="1:32">
      <c r="A61" s="149" t="s">
        <v>171</v>
      </c>
      <c r="B61" s="107">
        <f t="shared" ref="B61" si="19">SUM(B54:B60)</f>
        <v>43204519.166640431</v>
      </c>
      <c r="C61" s="107">
        <f t="shared" ref="C61:M61" si="20">SUM(C54:C60)</f>
        <v>43352918.941598848</v>
      </c>
      <c r="D61" s="107">
        <f t="shared" si="20"/>
        <v>43692472.219697237</v>
      </c>
      <c r="E61" s="107">
        <f t="shared" si="20"/>
        <v>44214190.529468328</v>
      </c>
      <c r="F61" s="107">
        <f t="shared" si="20"/>
        <v>44485495.176227599</v>
      </c>
      <c r="G61" s="107">
        <f t="shared" si="20"/>
        <v>45367563.474692017</v>
      </c>
      <c r="H61" s="107">
        <f t="shared" si="20"/>
        <v>45756868.614511713</v>
      </c>
      <c r="I61" s="107">
        <f t="shared" si="20"/>
        <v>43659904.243258968</v>
      </c>
      <c r="J61" s="107">
        <f t="shared" si="20"/>
        <v>41555204.212214008</v>
      </c>
      <c r="K61" s="107">
        <f t="shared" si="20"/>
        <v>38043180.565587014</v>
      </c>
      <c r="L61" s="107">
        <f t="shared" si="20"/>
        <v>33545401.848819755</v>
      </c>
      <c r="M61" s="107">
        <f t="shared" si="20"/>
        <v>28602106.333730359</v>
      </c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107"/>
      <c r="AB61" s="107"/>
      <c r="AC61" s="107"/>
      <c r="AD61" s="107"/>
      <c r="AE61" s="107"/>
    </row>
    <row r="64" spans="1:32" ht="13">
      <c r="A64" s="90" t="str">
        <f>IF(B23="","",B23)</f>
        <v/>
      </c>
      <c r="B64" s="96">
        <v>2029</v>
      </c>
      <c r="C64" s="96">
        <v>2030</v>
      </c>
      <c r="D64" s="96">
        <f>C64+1</f>
        <v>2031</v>
      </c>
      <c r="E64" s="96">
        <f t="shared" ref="E64" si="21">D64+1</f>
        <v>2032</v>
      </c>
      <c r="F64" s="96">
        <f t="shared" ref="F64" si="22">E64+1</f>
        <v>2033</v>
      </c>
      <c r="G64" s="96">
        <f t="shared" ref="G64" si="23">F64+1</f>
        <v>2034</v>
      </c>
      <c r="H64" s="96">
        <f t="shared" ref="H64" si="24">G64+1</f>
        <v>2035</v>
      </c>
      <c r="I64" s="96">
        <f t="shared" ref="I64" si="25">H64+1</f>
        <v>2036</v>
      </c>
      <c r="J64" s="96">
        <f t="shared" ref="J64" si="26">I64+1</f>
        <v>2037</v>
      </c>
      <c r="K64" s="96">
        <f t="shared" ref="K64" si="27">J64+1</f>
        <v>2038</v>
      </c>
      <c r="L64" s="96">
        <f t="shared" ref="L64" si="28">K64+1</f>
        <v>2039</v>
      </c>
    </row>
    <row r="65" spans="1:16" ht="13">
      <c r="A65" s="202" t="s">
        <v>173</v>
      </c>
      <c r="B65" s="203">
        <v>36910568.558816768</v>
      </c>
      <c r="C65" s="203">
        <v>49105365.755476028</v>
      </c>
      <c r="D65" s="203">
        <v>38135574.970495686</v>
      </c>
      <c r="E65" s="203">
        <v>43370562.36104162</v>
      </c>
      <c r="F65" s="203">
        <v>43793050.559406191</v>
      </c>
      <c r="G65" s="203">
        <v>44721346.506753728</v>
      </c>
      <c r="H65" s="203">
        <v>44870342.013725609</v>
      </c>
      <c r="I65" s="203">
        <v>29536719.092666715</v>
      </c>
      <c r="J65" s="203">
        <v>25465876.751417037</v>
      </c>
      <c r="K65" s="203">
        <v>23632013.254653677</v>
      </c>
      <c r="L65" s="203">
        <v>10617121.551825747</v>
      </c>
      <c r="N65" s="239"/>
      <c r="P65" s="239"/>
    </row>
    <row r="66" spans="1:16" ht="13">
      <c r="A66" s="205" t="s">
        <v>172</v>
      </c>
      <c r="B66" s="203">
        <v>67047017.343280867</v>
      </c>
      <c r="C66" s="203">
        <v>67343816.893197685</v>
      </c>
      <c r="D66" s="203">
        <v>68022923.449394464</v>
      </c>
      <c r="E66" s="203">
        <v>69066360.068936661</v>
      </c>
      <c r="F66" s="203">
        <v>69608969.362455189</v>
      </c>
      <c r="G66" s="203">
        <v>71373105.959384024</v>
      </c>
      <c r="H66" s="203">
        <v>72151716.239023432</v>
      </c>
      <c r="I66" s="203">
        <v>67957787.496517926</v>
      </c>
      <c r="J66" s="203">
        <v>63748387.434428021</v>
      </c>
      <c r="K66" s="203">
        <v>56724340.141174018</v>
      </c>
      <c r="L66" s="203">
        <v>47728782.707639508</v>
      </c>
      <c r="M66" s="203">
        <v>37842191.677460715</v>
      </c>
      <c r="N66" s="239"/>
      <c r="P66" s="239"/>
    </row>
    <row r="70" spans="1:16">
      <c r="A70"/>
    </row>
  </sheetData>
  <phoneticPr fontId="307" type="noConversion"/>
  <conditionalFormatting sqref="D2:E2 F3 I3:M3">
    <cfRule type="cellIs" dxfId="3" priority="38" operator="equal">
      <formula>"Include"</formula>
    </cfRule>
    <cfRule type="cellIs" dxfId="2" priority="39" operator="equal">
      <formula>"Exclude"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2E795A8-9C13-4A71-9668-28F925565AB0}">
          <x14:formula1>
            <xm:f>DropDowns!$E$2:$E$7</xm:f>
          </x14:formula1>
          <xm:sqref>B2</xm:sqref>
        </x14:dataValidation>
        <x14:dataValidation type="list" allowBlank="1" showInputMessage="1" showErrorMessage="1" xr:uid="{D8022D77-D15C-4320-BEB8-669B2C7AB789}">
          <x14:formula1>
            <xm:f>DropDowns!$G$2:$G$11</xm:f>
          </x14:formula1>
          <xm:sqref>B3</xm:sqref>
        </x14:dataValidation>
        <x14:dataValidation type="list" allowBlank="1" showInputMessage="1" showErrorMessage="1" xr:uid="{1B842802-7FEA-4093-A084-DC1AA29B271A}">
          <x14:formula1>
            <xm:f>DropDowns!$C$2:$C$4</xm:f>
          </x14:formula1>
          <xm:sqref>F6</xm:sqref>
        </x14:dataValidation>
        <x14:dataValidation type="list" allowBlank="1" showInputMessage="1" showErrorMessage="1" xr:uid="{032FF74D-5111-41AE-848C-8A234000BA3D}">
          <x14:formula1>
            <xm:f>MACRS!$B$1:$G$1</xm:f>
          </x14:formula1>
          <xm:sqref>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51242-17C4-46B4-B4D7-A8E065B54E26}">
  <sheetPr>
    <tabColor theme="6" tint="0.59999389629810485"/>
  </sheetPr>
  <dimension ref="A1:AB352"/>
  <sheetViews>
    <sheetView zoomScale="115" zoomScaleNormal="115" workbookViewId="0">
      <selection activeCell="B13" sqref="B13"/>
    </sheetView>
  </sheetViews>
  <sheetFormatPr defaultRowHeight="12.5"/>
  <cols>
    <col min="1" max="1" width="31.54296875" style="194" customWidth="1"/>
    <col min="2" max="2" width="18.1796875" style="194" customWidth="1"/>
    <col min="3" max="3" width="9.6328125" style="194" bestFit="1" customWidth="1"/>
    <col min="4" max="21" width="13.453125" style="194" customWidth="1"/>
    <col min="22" max="27" width="13.453125" style="194" hidden="1" customWidth="1"/>
    <col min="28" max="28" width="13.453125" style="194" customWidth="1"/>
    <col min="29" max="16384" width="8.7265625" style="194"/>
  </cols>
  <sheetData>
    <row r="1" spans="1:13" ht="13">
      <c r="A1" s="229" t="s">
        <v>336</v>
      </c>
    </row>
    <row r="2" spans="1:13">
      <c r="A2" s="220"/>
      <c r="B2" s="258" t="s">
        <v>330</v>
      </c>
      <c r="C2" s="258"/>
      <c r="D2" s="258"/>
      <c r="E2" s="258" t="s">
        <v>331</v>
      </c>
      <c r="F2" s="258"/>
      <c r="G2" s="258"/>
      <c r="H2" s="258" t="s">
        <v>332</v>
      </c>
      <c r="I2" s="258"/>
      <c r="J2" s="258"/>
      <c r="K2" s="258" t="s">
        <v>333</v>
      </c>
      <c r="L2" s="258"/>
      <c r="M2" s="258"/>
    </row>
    <row r="3" spans="1:13">
      <c r="A3" s="221" t="s">
        <v>53</v>
      </c>
      <c r="B3" s="221" t="s">
        <v>327</v>
      </c>
      <c r="C3" s="221" t="s">
        <v>328</v>
      </c>
      <c r="D3" s="221" t="s">
        <v>4</v>
      </c>
      <c r="E3" s="221" t="s">
        <v>327</v>
      </c>
      <c r="F3" s="221" t="s">
        <v>328</v>
      </c>
      <c r="G3" s="221" t="s">
        <v>4</v>
      </c>
      <c r="H3" s="221" t="s">
        <v>327</v>
      </c>
      <c r="I3" s="221" t="s">
        <v>328</v>
      </c>
      <c r="J3" s="221" t="s">
        <v>4</v>
      </c>
      <c r="K3" s="221" t="s">
        <v>327</v>
      </c>
      <c r="L3" s="221" t="s">
        <v>328</v>
      </c>
      <c r="M3" s="221" t="s">
        <v>4</v>
      </c>
    </row>
    <row r="4" spans="1:13" s="196" customFormat="1" ht="14.5">
      <c r="A4" s="1">
        <v>2029</v>
      </c>
      <c r="B4" s="230">
        <v>2503.4639999999999</v>
      </c>
      <c r="C4" s="230">
        <v>2594.4740000000002</v>
      </c>
      <c r="D4" s="231">
        <f t="shared" ref="D4:D10" si="0">SUM(B4:C4)</f>
        <v>5097.9380000000001</v>
      </c>
      <c r="E4" s="230">
        <v>110164.2</v>
      </c>
      <c r="F4" s="230">
        <v>114350.395</v>
      </c>
      <c r="G4" s="231">
        <f t="shared" ref="G4:G10" si="1">SUM(E4:F4)</f>
        <v>224514.595</v>
      </c>
      <c r="H4" s="230">
        <v>82267.44</v>
      </c>
      <c r="I4" s="230">
        <v>80076.384999999995</v>
      </c>
      <c r="J4" s="231">
        <f t="shared" ref="J4:J10" si="2">SUM(H4:I4)</f>
        <v>162343.82500000001</v>
      </c>
      <c r="K4" s="232">
        <f t="shared" ref="K4:K10" si="3">E4-H4</f>
        <v>27896.759999999995</v>
      </c>
      <c r="L4" s="232">
        <f t="shared" ref="L4:L10" si="4">F4-I4</f>
        <v>34274.010000000009</v>
      </c>
      <c r="M4" s="232">
        <f>G4-J4</f>
        <v>62170.76999999999</v>
      </c>
    </row>
    <row r="5" spans="1:13" ht="14.5">
      <c r="A5" s="220">
        <v>2030</v>
      </c>
      <c r="B5" s="137">
        <v>2130.683</v>
      </c>
      <c r="C5" s="137">
        <v>2191.904</v>
      </c>
      <c r="D5" s="162">
        <f t="shared" si="0"/>
        <v>4322.5869999999995</v>
      </c>
      <c r="E5" s="137">
        <v>88183.53</v>
      </c>
      <c r="F5" s="137">
        <v>88271.125</v>
      </c>
      <c r="G5" s="162">
        <f t="shared" si="1"/>
        <v>176454.655</v>
      </c>
      <c r="H5" s="137">
        <v>71800.7</v>
      </c>
      <c r="I5" s="137">
        <v>69506.625</v>
      </c>
      <c r="J5" s="162">
        <f t="shared" si="2"/>
        <v>141307.32500000001</v>
      </c>
      <c r="K5" s="228">
        <f t="shared" si="3"/>
        <v>16382.830000000002</v>
      </c>
      <c r="L5" s="228">
        <f t="shared" si="4"/>
        <v>18764.5</v>
      </c>
      <c r="M5" s="228">
        <f t="shared" ref="M5:M10" si="5">G5-J5</f>
        <v>35147.329999999987</v>
      </c>
    </row>
    <row r="6" spans="1:13" ht="14.5">
      <c r="A6" s="220">
        <v>2031</v>
      </c>
      <c r="B6" s="137">
        <v>1511.9670000000001</v>
      </c>
      <c r="C6" s="137">
        <v>2341.8270000000002</v>
      </c>
      <c r="D6" s="162">
        <f t="shared" si="0"/>
        <v>3853.7940000000003</v>
      </c>
      <c r="E6" s="137">
        <v>56461.055</v>
      </c>
      <c r="F6" s="137">
        <v>84103.154999999999</v>
      </c>
      <c r="G6" s="162">
        <f t="shared" si="1"/>
        <v>140564.21</v>
      </c>
      <c r="H6" s="137">
        <v>52395.99</v>
      </c>
      <c r="I6" s="137">
        <v>76410.074999999997</v>
      </c>
      <c r="J6" s="162">
        <f t="shared" si="2"/>
        <v>128806.065</v>
      </c>
      <c r="K6" s="228">
        <f t="shared" si="3"/>
        <v>4065.0650000000023</v>
      </c>
      <c r="L6" s="228">
        <f t="shared" si="4"/>
        <v>7693.0800000000017</v>
      </c>
      <c r="M6" s="228">
        <f t="shared" si="5"/>
        <v>11758.14499999999</v>
      </c>
    </row>
    <row r="7" spans="1:13" ht="14.5">
      <c r="A7" s="220">
        <v>2032</v>
      </c>
      <c r="B7" s="137">
        <v>2471.4279999999999</v>
      </c>
      <c r="C7" s="137">
        <v>2608.6390000000001</v>
      </c>
      <c r="D7" s="162">
        <f t="shared" si="0"/>
        <v>5080.067</v>
      </c>
      <c r="E7" s="137">
        <v>116551.44</v>
      </c>
      <c r="F7" s="137">
        <v>122481.315</v>
      </c>
      <c r="G7" s="162">
        <f t="shared" si="1"/>
        <v>239032.755</v>
      </c>
      <c r="H7" s="137">
        <v>88096.93</v>
      </c>
      <c r="I7" s="137">
        <v>87918.794999999998</v>
      </c>
      <c r="J7" s="162">
        <f t="shared" si="2"/>
        <v>176015.72499999998</v>
      </c>
      <c r="K7" s="228">
        <f t="shared" si="3"/>
        <v>28454.510000000009</v>
      </c>
      <c r="L7" s="228">
        <f t="shared" si="4"/>
        <v>34562.520000000004</v>
      </c>
      <c r="M7" s="228">
        <f t="shared" si="5"/>
        <v>63017.030000000028</v>
      </c>
    </row>
    <row r="8" spans="1:13" ht="14.5">
      <c r="A8" s="220">
        <v>2033</v>
      </c>
      <c r="B8" s="137">
        <v>2390.402</v>
      </c>
      <c r="C8" s="137">
        <v>2170.6559999999999</v>
      </c>
      <c r="D8" s="162">
        <f t="shared" si="0"/>
        <v>4561.058</v>
      </c>
      <c r="E8" s="137">
        <v>109702.30499999999</v>
      </c>
      <c r="F8" s="137">
        <v>98474.475000000006</v>
      </c>
      <c r="G8" s="162">
        <f t="shared" si="1"/>
        <v>208176.78</v>
      </c>
      <c r="H8" s="137">
        <v>87845.824999999997</v>
      </c>
      <c r="I8" s="137">
        <v>75536.964999999997</v>
      </c>
      <c r="J8" s="162">
        <f t="shared" si="2"/>
        <v>163382.78999999998</v>
      </c>
      <c r="K8" s="228">
        <f t="shared" si="3"/>
        <v>21856.479999999996</v>
      </c>
      <c r="L8" s="228">
        <f t="shared" si="4"/>
        <v>22937.510000000009</v>
      </c>
      <c r="M8" s="228">
        <f t="shared" si="5"/>
        <v>44793.99000000002</v>
      </c>
    </row>
    <row r="9" spans="1:13" ht="14.5">
      <c r="A9" s="220">
        <v>2034</v>
      </c>
      <c r="B9" s="137">
        <v>2062.8719999999998</v>
      </c>
      <c r="C9" s="137">
        <v>2566.2750000000001</v>
      </c>
      <c r="D9" s="162">
        <f t="shared" si="0"/>
        <v>4629.1469999999999</v>
      </c>
      <c r="E9" s="137">
        <v>91206.835000000006</v>
      </c>
      <c r="F9" s="137">
        <v>113337.85</v>
      </c>
      <c r="G9" s="162">
        <f t="shared" si="1"/>
        <v>204544.685</v>
      </c>
      <c r="H9" s="137">
        <v>78069.065000000002</v>
      </c>
      <c r="I9" s="137">
        <v>91888.28</v>
      </c>
      <c r="J9" s="162">
        <f t="shared" si="2"/>
        <v>169957.345</v>
      </c>
      <c r="K9" s="228">
        <f t="shared" si="3"/>
        <v>13137.770000000004</v>
      </c>
      <c r="L9" s="228">
        <f t="shared" si="4"/>
        <v>21449.570000000007</v>
      </c>
      <c r="M9" s="228">
        <f t="shared" si="5"/>
        <v>34587.339999999997</v>
      </c>
    </row>
    <row r="10" spans="1:13" ht="14.5">
      <c r="A10" s="220">
        <v>2035</v>
      </c>
      <c r="B10" s="137">
        <v>2447.2020000000002</v>
      </c>
      <c r="C10" s="137">
        <v>2599.4450000000002</v>
      </c>
      <c r="D10" s="162">
        <f t="shared" si="0"/>
        <v>5046.6470000000008</v>
      </c>
      <c r="E10" s="137">
        <v>107781.495</v>
      </c>
      <c r="F10" s="137">
        <v>113212.74</v>
      </c>
      <c r="G10" s="162">
        <f t="shared" si="1"/>
        <v>220994.23499999999</v>
      </c>
      <c r="H10" s="137">
        <v>86583.15</v>
      </c>
      <c r="I10" s="137">
        <v>91363.975000000006</v>
      </c>
      <c r="J10" s="162">
        <f t="shared" si="2"/>
        <v>177947.125</v>
      </c>
      <c r="K10" s="228">
        <f t="shared" si="3"/>
        <v>21198.345000000001</v>
      </c>
      <c r="L10" s="228">
        <f t="shared" si="4"/>
        <v>21848.764999999999</v>
      </c>
      <c r="M10" s="228">
        <f t="shared" si="5"/>
        <v>43047.109999999986</v>
      </c>
    </row>
    <row r="101" spans="3:28" s="222" customFormat="1">
      <c r="C101" s="194"/>
    </row>
    <row r="102" spans="3:28" s="222" customFormat="1">
      <c r="C102" s="194"/>
    </row>
    <row r="103" spans="3:28" s="222" customFormat="1">
      <c r="C103" s="194"/>
    </row>
    <row r="104" spans="3:28" s="222" customFormat="1">
      <c r="C104" s="194"/>
    </row>
    <row r="105" spans="3:28" s="222" customFormat="1">
      <c r="C105" s="194"/>
    </row>
    <row r="106" spans="3:28">
      <c r="D106" s="223"/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</row>
    <row r="107" spans="3:28"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</row>
    <row r="108" spans="3:28"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</row>
    <row r="109" spans="3:28">
      <c r="D109" s="223"/>
      <c r="E109" s="223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23"/>
      <c r="Z109" s="223"/>
      <c r="AA109" s="223"/>
      <c r="AB109" s="223"/>
    </row>
    <row r="110" spans="3:28"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23"/>
      <c r="Z110" s="223"/>
      <c r="AA110" s="223"/>
      <c r="AB110" s="223"/>
    </row>
    <row r="111" spans="3:28"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23"/>
      <c r="Z111" s="223"/>
      <c r="AA111" s="223"/>
      <c r="AB111" s="223"/>
    </row>
    <row r="112" spans="3:28"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  <c r="AA112" s="223"/>
      <c r="AB112" s="223"/>
    </row>
    <row r="113" spans="4:28">
      <c r="D113" s="223"/>
      <c r="E113" s="223"/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23"/>
      <c r="Z113" s="223"/>
      <c r="AA113" s="223"/>
      <c r="AB113" s="223"/>
    </row>
    <row r="114" spans="4:28">
      <c r="D114" s="223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23"/>
      <c r="Z114" s="223"/>
      <c r="AA114" s="223"/>
      <c r="AB114" s="223"/>
    </row>
    <row r="115" spans="4:28"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23"/>
      <c r="Z115" s="223"/>
      <c r="AA115" s="223"/>
      <c r="AB115" s="223"/>
    </row>
    <row r="116" spans="4:28"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23"/>
      <c r="Z116" s="223"/>
      <c r="AA116" s="223"/>
      <c r="AB116" s="223"/>
    </row>
    <row r="117" spans="4:28">
      <c r="D117" s="223"/>
      <c r="E117" s="223"/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</row>
    <row r="118" spans="4:28">
      <c r="D118" s="223"/>
      <c r="E118" s="223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  <c r="AA118" s="223"/>
      <c r="AB118" s="223"/>
    </row>
    <row r="119" spans="4:28">
      <c r="D119" s="223"/>
      <c r="E119" s="223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</row>
    <row r="120" spans="4:28">
      <c r="D120" s="223"/>
      <c r="E120" s="223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  <c r="AA120" s="223"/>
      <c r="AB120" s="223"/>
    </row>
    <row r="121" spans="4:28">
      <c r="D121" s="223"/>
      <c r="E121" s="223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  <c r="AA121" s="223"/>
      <c r="AB121" s="223"/>
    </row>
    <row r="122" spans="4:28">
      <c r="D122" s="223"/>
      <c r="E122" s="223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  <c r="AA122" s="223"/>
      <c r="AB122" s="223"/>
    </row>
    <row r="123" spans="4:28">
      <c r="D123" s="223"/>
      <c r="E123" s="223"/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23"/>
      <c r="Z123" s="223"/>
      <c r="AA123" s="223"/>
      <c r="AB123" s="223"/>
    </row>
    <row r="124" spans="4:28">
      <c r="D124" s="223"/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23"/>
      <c r="Z124" s="223"/>
      <c r="AA124" s="223"/>
      <c r="AB124" s="223"/>
    </row>
    <row r="125" spans="4:28"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23"/>
      <c r="Z125" s="223"/>
      <c r="AA125" s="223"/>
      <c r="AB125" s="223"/>
    </row>
    <row r="126" spans="4:28">
      <c r="D126" s="223"/>
      <c r="E126" s="223"/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23"/>
      <c r="Z126" s="223"/>
      <c r="AA126" s="223"/>
      <c r="AB126" s="223"/>
    </row>
    <row r="127" spans="4:28"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23"/>
      <c r="Z127" s="223"/>
      <c r="AA127" s="223"/>
      <c r="AB127" s="223"/>
    </row>
    <row r="128" spans="4:28">
      <c r="D128" s="223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23"/>
      <c r="Z128" s="223"/>
      <c r="AA128" s="223"/>
      <c r="AB128" s="223"/>
    </row>
    <row r="129" spans="3:28"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23"/>
      <c r="Z129" s="223"/>
      <c r="AA129" s="223"/>
      <c r="AB129" s="223"/>
    </row>
    <row r="130" spans="3:28"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23"/>
      <c r="Z130" s="223"/>
      <c r="AA130" s="223"/>
      <c r="AB130" s="223"/>
    </row>
    <row r="131" spans="3:28">
      <c r="D131" s="223"/>
      <c r="E131" s="223"/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23"/>
      <c r="Z131" s="223"/>
      <c r="AA131" s="223"/>
      <c r="AB131" s="223"/>
    </row>
    <row r="132" spans="3:28"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23"/>
      <c r="Z132" s="223"/>
      <c r="AA132" s="223"/>
      <c r="AB132" s="223"/>
    </row>
    <row r="133" spans="3:28"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23"/>
      <c r="Z133" s="223"/>
      <c r="AA133" s="223"/>
      <c r="AB133" s="223"/>
    </row>
    <row r="134" spans="3:28">
      <c r="D134" s="223"/>
      <c r="E134" s="223"/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23"/>
      <c r="Z134" s="223"/>
      <c r="AA134" s="223"/>
      <c r="AB134" s="223"/>
    </row>
    <row r="135" spans="3:28"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  <c r="AA135" s="223"/>
      <c r="AB135" s="223"/>
    </row>
    <row r="136" spans="3:28" s="222" customFormat="1">
      <c r="C136" s="194"/>
    </row>
    <row r="137" spans="3:28" s="222" customFormat="1">
      <c r="C137" s="194"/>
    </row>
    <row r="138" spans="3:28" s="222" customFormat="1">
      <c r="C138" s="194"/>
    </row>
    <row r="139" spans="3:28" s="222" customFormat="1">
      <c r="C139" s="194"/>
    </row>
    <row r="140" spans="3:28" s="222" customFormat="1">
      <c r="C140" s="194"/>
    </row>
    <row r="171" spans="3:3" s="224" customFormat="1">
      <c r="C171" s="194"/>
    </row>
    <row r="172" spans="3:3" s="224" customFormat="1">
      <c r="C172" s="194"/>
    </row>
    <row r="173" spans="3:3" s="224" customFormat="1">
      <c r="C173" s="194"/>
    </row>
    <row r="174" spans="3:3" s="224" customFormat="1">
      <c r="C174" s="194"/>
    </row>
    <row r="175" spans="3:3" s="224" customFormat="1">
      <c r="C175" s="225"/>
    </row>
    <row r="246" spans="4:28">
      <c r="D246" s="223"/>
      <c r="E246" s="223"/>
      <c r="F246" s="223"/>
      <c r="G246" s="223"/>
      <c r="H246" s="223"/>
      <c r="I246" s="223"/>
      <c r="J246" s="223"/>
      <c r="K246" s="223"/>
      <c r="L246" s="223"/>
      <c r="M246" s="223"/>
      <c r="N246" s="223"/>
      <c r="O246" s="223"/>
      <c r="P246" s="223"/>
      <c r="Q246" s="223"/>
      <c r="R246" s="223"/>
      <c r="S246" s="223"/>
      <c r="T246" s="223"/>
      <c r="U246" s="223"/>
      <c r="V246" s="223"/>
      <c r="W246" s="223"/>
      <c r="X246" s="223"/>
      <c r="Y246" s="223"/>
      <c r="Z246" s="223"/>
      <c r="AA246" s="223"/>
      <c r="AB246" s="223"/>
    </row>
    <row r="247" spans="4:28">
      <c r="D247" s="223"/>
      <c r="E247" s="223"/>
      <c r="F247" s="223"/>
      <c r="G247" s="223"/>
      <c r="H247" s="223"/>
      <c r="I247" s="223"/>
      <c r="J247" s="223"/>
      <c r="K247" s="223"/>
      <c r="L247" s="223"/>
      <c r="M247" s="223"/>
      <c r="N247" s="223"/>
      <c r="O247" s="223"/>
      <c r="P247" s="223"/>
      <c r="Q247" s="223"/>
      <c r="R247" s="223"/>
      <c r="S247" s="223"/>
      <c r="T247" s="223"/>
      <c r="U247" s="223"/>
      <c r="V247" s="223"/>
      <c r="W247" s="223"/>
      <c r="X247" s="223"/>
      <c r="Y247" s="223"/>
      <c r="Z247" s="223"/>
      <c r="AA247" s="223"/>
      <c r="AB247" s="223"/>
    </row>
    <row r="248" spans="4:28">
      <c r="D248" s="223"/>
      <c r="E248" s="223"/>
      <c r="F248" s="223"/>
      <c r="G248" s="223"/>
      <c r="H248" s="223"/>
      <c r="I248" s="223"/>
      <c r="J248" s="223"/>
      <c r="K248" s="223"/>
      <c r="L248" s="223"/>
      <c r="M248" s="223"/>
      <c r="N248" s="223"/>
      <c r="O248" s="223"/>
      <c r="P248" s="223"/>
      <c r="Q248" s="223"/>
      <c r="R248" s="223"/>
      <c r="S248" s="223"/>
      <c r="T248" s="223"/>
      <c r="U248" s="223"/>
      <c r="V248" s="223"/>
      <c r="W248" s="223"/>
      <c r="X248" s="223"/>
      <c r="Y248" s="223"/>
      <c r="Z248" s="223"/>
      <c r="AA248" s="223"/>
      <c r="AB248" s="223"/>
    </row>
    <row r="249" spans="4:28">
      <c r="D249" s="223"/>
      <c r="E249" s="223"/>
      <c r="F249" s="223"/>
      <c r="G249" s="223"/>
      <c r="H249" s="223"/>
      <c r="I249" s="223"/>
      <c r="J249" s="223"/>
      <c r="K249" s="223"/>
      <c r="L249" s="223"/>
      <c r="M249" s="223"/>
      <c r="N249" s="223"/>
      <c r="O249" s="223"/>
      <c r="P249" s="223"/>
      <c r="Q249" s="223"/>
      <c r="R249" s="223"/>
      <c r="S249" s="223"/>
      <c r="T249" s="223"/>
      <c r="U249" s="223"/>
      <c r="V249" s="223"/>
      <c r="W249" s="223"/>
      <c r="X249" s="223"/>
      <c r="Y249" s="223"/>
      <c r="Z249" s="223"/>
      <c r="AA249" s="223"/>
      <c r="AB249" s="223"/>
    </row>
    <row r="250" spans="4:28">
      <c r="D250" s="223"/>
      <c r="E250" s="223"/>
      <c r="F250" s="223"/>
      <c r="G250" s="223"/>
      <c r="H250" s="223"/>
      <c r="I250" s="223"/>
      <c r="J250" s="223"/>
      <c r="K250" s="223"/>
      <c r="L250" s="223"/>
      <c r="M250" s="223"/>
      <c r="N250" s="223"/>
      <c r="O250" s="223"/>
      <c r="P250" s="223"/>
      <c r="Q250" s="223"/>
      <c r="R250" s="223"/>
      <c r="S250" s="223"/>
      <c r="T250" s="223"/>
      <c r="U250" s="223"/>
      <c r="V250" s="223"/>
      <c r="W250" s="223"/>
      <c r="X250" s="223"/>
      <c r="Y250" s="223"/>
      <c r="Z250" s="223"/>
      <c r="AA250" s="223"/>
      <c r="AB250" s="223"/>
    </row>
    <row r="251" spans="4:28">
      <c r="D251" s="223"/>
      <c r="E251" s="223"/>
      <c r="F251" s="223"/>
      <c r="G251" s="223"/>
      <c r="H251" s="223"/>
      <c r="I251" s="223"/>
      <c r="J251" s="223"/>
      <c r="K251" s="223"/>
      <c r="L251" s="223"/>
      <c r="M251" s="223"/>
      <c r="N251" s="223"/>
      <c r="O251" s="223"/>
      <c r="P251" s="223"/>
      <c r="Q251" s="223"/>
      <c r="R251" s="223"/>
      <c r="S251" s="223"/>
      <c r="T251" s="223"/>
      <c r="U251" s="223"/>
      <c r="V251" s="223"/>
      <c r="W251" s="223"/>
      <c r="X251" s="223"/>
      <c r="Y251" s="223"/>
      <c r="Z251" s="223"/>
      <c r="AA251" s="223"/>
      <c r="AB251" s="223"/>
    </row>
    <row r="252" spans="4:28">
      <c r="D252" s="223"/>
      <c r="E252" s="223"/>
      <c r="F252" s="223"/>
      <c r="G252" s="223"/>
      <c r="H252" s="223"/>
      <c r="I252" s="223"/>
      <c r="J252" s="223"/>
      <c r="K252" s="223"/>
      <c r="L252" s="223"/>
      <c r="M252" s="223"/>
      <c r="N252" s="223"/>
      <c r="O252" s="223"/>
      <c r="P252" s="223"/>
      <c r="Q252" s="223"/>
      <c r="R252" s="223"/>
      <c r="S252" s="223"/>
      <c r="T252" s="223"/>
      <c r="U252" s="223"/>
      <c r="V252" s="223"/>
      <c r="W252" s="223"/>
      <c r="X252" s="223"/>
      <c r="Y252" s="223"/>
      <c r="Z252" s="223"/>
      <c r="AA252" s="223"/>
      <c r="AB252" s="223"/>
    </row>
    <row r="253" spans="4:28">
      <c r="D253" s="223"/>
      <c r="E253" s="223"/>
      <c r="F253" s="223"/>
      <c r="G253" s="223"/>
      <c r="H253" s="223"/>
      <c r="I253" s="223"/>
      <c r="J253" s="223"/>
      <c r="K253" s="223"/>
      <c r="L253" s="223"/>
      <c r="M253" s="223"/>
      <c r="N253" s="223"/>
      <c r="O253" s="223"/>
      <c r="P253" s="223"/>
      <c r="Q253" s="223"/>
      <c r="R253" s="223"/>
      <c r="S253" s="223"/>
      <c r="T253" s="223"/>
      <c r="U253" s="223"/>
      <c r="V253" s="223"/>
      <c r="W253" s="223"/>
      <c r="X253" s="223"/>
      <c r="Y253" s="223"/>
      <c r="Z253" s="223"/>
      <c r="AA253" s="223"/>
      <c r="AB253" s="223"/>
    </row>
    <row r="254" spans="4:28">
      <c r="D254" s="223"/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23"/>
      <c r="Y254" s="223"/>
      <c r="Z254" s="223"/>
      <c r="AA254" s="223"/>
      <c r="AB254" s="223"/>
    </row>
    <row r="255" spans="4:28">
      <c r="D255" s="223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23"/>
      <c r="Z255" s="223"/>
      <c r="AA255" s="223"/>
      <c r="AB255" s="223"/>
    </row>
    <row r="256" spans="4:28">
      <c r="D256" s="223"/>
      <c r="E256" s="223"/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23"/>
      <c r="Z256" s="223"/>
      <c r="AA256" s="223"/>
      <c r="AB256" s="223"/>
    </row>
    <row r="257" spans="4:28">
      <c r="D257" s="223"/>
      <c r="E257" s="223"/>
      <c r="F257" s="223"/>
      <c r="G257" s="223"/>
      <c r="H257" s="223"/>
      <c r="I257" s="223"/>
      <c r="J257" s="223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3"/>
      <c r="W257" s="223"/>
      <c r="X257" s="223"/>
      <c r="Y257" s="223"/>
      <c r="Z257" s="223"/>
      <c r="AA257" s="223"/>
      <c r="AB257" s="223"/>
    </row>
    <row r="258" spans="4:28">
      <c r="D258" s="223"/>
      <c r="E258" s="223"/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23"/>
      <c r="Z258" s="223"/>
      <c r="AA258" s="223"/>
      <c r="AB258" s="223"/>
    </row>
    <row r="259" spans="4:28">
      <c r="D259" s="223"/>
      <c r="E259" s="223"/>
      <c r="F259" s="223"/>
      <c r="G259" s="223"/>
      <c r="H259" s="223"/>
      <c r="I259" s="223"/>
      <c r="J259" s="223"/>
      <c r="K259" s="223"/>
      <c r="L259" s="223"/>
      <c r="M259" s="223"/>
      <c r="N259" s="223"/>
      <c r="O259" s="223"/>
      <c r="P259" s="223"/>
      <c r="Q259" s="223"/>
      <c r="R259" s="223"/>
      <c r="S259" s="223"/>
      <c r="T259" s="223"/>
      <c r="U259" s="223"/>
      <c r="V259" s="223"/>
      <c r="W259" s="223"/>
      <c r="X259" s="223"/>
      <c r="Y259" s="223"/>
      <c r="Z259" s="223"/>
      <c r="AA259" s="223"/>
      <c r="AB259" s="223"/>
    </row>
    <row r="260" spans="4:28">
      <c r="D260" s="223"/>
      <c r="E260" s="223"/>
      <c r="F260" s="223"/>
      <c r="G260" s="223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3"/>
      <c r="W260" s="223"/>
      <c r="X260" s="223"/>
      <c r="Y260" s="223"/>
      <c r="Z260" s="223"/>
      <c r="AA260" s="223"/>
      <c r="AB260" s="223"/>
    </row>
    <row r="261" spans="4:28">
      <c r="D261" s="223"/>
      <c r="E261" s="223"/>
      <c r="F261" s="223"/>
      <c r="G261" s="223"/>
      <c r="H261" s="223"/>
      <c r="I261" s="223"/>
      <c r="J261" s="223"/>
      <c r="K261" s="223"/>
      <c r="L261" s="223"/>
      <c r="M261" s="223"/>
      <c r="N261" s="223"/>
      <c r="O261" s="223"/>
      <c r="P261" s="223"/>
      <c r="Q261" s="223"/>
      <c r="R261" s="223"/>
      <c r="S261" s="223"/>
      <c r="T261" s="223"/>
      <c r="U261" s="223"/>
      <c r="V261" s="223"/>
      <c r="W261" s="223"/>
      <c r="X261" s="223"/>
      <c r="Y261" s="223"/>
      <c r="Z261" s="223"/>
      <c r="AA261" s="223"/>
      <c r="AB261" s="223"/>
    </row>
    <row r="262" spans="4:28">
      <c r="D262" s="223"/>
      <c r="E262" s="223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23"/>
      <c r="Z262" s="223"/>
      <c r="AA262" s="223"/>
      <c r="AB262" s="223"/>
    </row>
    <row r="263" spans="4:28">
      <c r="D263" s="223"/>
      <c r="E263" s="223"/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23"/>
      <c r="Z263" s="223"/>
      <c r="AA263" s="223"/>
      <c r="AB263" s="223"/>
    </row>
    <row r="264" spans="4:28">
      <c r="D264" s="223"/>
      <c r="E264" s="223"/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3"/>
      <c r="W264" s="223"/>
      <c r="X264" s="223"/>
      <c r="Y264" s="223"/>
      <c r="Z264" s="223"/>
      <c r="AA264" s="223"/>
      <c r="AB264" s="223"/>
    </row>
    <row r="265" spans="4:28">
      <c r="D265" s="223"/>
      <c r="E265" s="223"/>
      <c r="F265" s="223"/>
      <c r="G265" s="223"/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  <c r="X265" s="223"/>
      <c r="Y265" s="223"/>
      <c r="Z265" s="223"/>
      <c r="AA265" s="223"/>
      <c r="AB265" s="223"/>
    </row>
    <row r="266" spans="4:28">
      <c r="D266" s="223"/>
      <c r="E266" s="223"/>
      <c r="F266" s="223"/>
      <c r="G266" s="223"/>
      <c r="H266" s="223"/>
      <c r="I266" s="223"/>
      <c r="J266" s="223"/>
      <c r="K266" s="223"/>
      <c r="L266" s="223"/>
      <c r="M266" s="223"/>
      <c r="N266" s="223"/>
      <c r="O266" s="223"/>
      <c r="P266" s="223"/>
      <c r="Q266" s="223"/>
      <c r="R266" s="223"/>
      <c r="S266" s="223"/>
      <c r="T266" s="223"/>
      <c r="U266" s="223"/>
      <c r="V266" s="223"/>
      <c r="W266" s="223"/>
      <c r="X266" s="223"/>
      <c r="Y266" s="223"/>
      <c r="Z266" s="223"/>
      <c r="AA266" s="223"/>
      <c r="AB266" s="223"/>
    </row>
    <row r="267" spans="4:28">
      <c r="D267" s="223"/>
      <c r="E267" s="223"/>
      <c r="F267" s="223"/>
      <c r="G267" s="223"/>
      <c r="H267" s="223"/>
      <c r="I267" s="223"/>
      <c r="J267" s="223"/>
      <c r="K267" s="223"/>
      <c r="L267" s="223"/>
      <c r="M267" s="223"/>
      <c r="N267" s="223"/>
      <c r="O267" s="223"/>
      <c r="P267" s="223"/>
      <c r="Q267" s="223"/>
      <c r="R267" s="223"/>
      <c r="S267" s="223"/>
      <c r="T267" s="223"/>
      <c r="U267" s="223"/>
      <c r="V267" s="223"/>
      <c r="W267" s="223"/>
      <c r="X267" s="223"/>
      <c r="Y267" s="223"/>
      <c r="Z267" s="223"/>
      <c r="AA267" s="223"/>
      <c r="AB267" s="223"/>
    </row>
    <row r="268" spans="4:28">
      <c r="D268" s="223"/>
      <c r="E268" s="223"/>
      <c r="F268" s="223"/>
      <c r="G268" s="223"/>
      <c r="H268" s="223"/>
      <c r="I268" s="223"/>
      <c r="J268" s="223"/>
      <c r="K268" s="223"/>
      <c r="L268" s="223"/>
      <c r="M268" s="223"/>
      <c r="N268" s="223"/>
      <c r="O268" s="223"/>
      <c r="P268" s="223"/>
      <c r="Q268" s="223"/>
      <c r="R268" s="223"/>
      <c r="S268" s="223"/>
      <c r="T268" s="223"/>
      <c r="U268" s="223"/>
      <c r="V268" s="223"/>
      <c r="W268" s="223"/>
      <c r="X268" s="223"/>
      <c r="Y268" s="223"/>
      <c r="Z268" s="223"/>
      <c r="AA268" s="223"/>
      <c r="AB268" s="223"/>
    </row>
    <row r="269" spans="4:28">
      <c r="D269" s="223"/>
      <c r="E269" s="223"/>
      <c r="F269" s="223"/>
      <c r="G269" s="223"/>
      <c r="H269" s="223"/>
      <c r="I269" s="223"/>
      <c r="J269" s="223"/>
      <c r="K269" s="223"/>
      <c r="L269" s="223"/>
      <c r="M269" s="223"/>
      <c r="N269" s="223"/>
      <c r="O269" s="223"/>
      <c r="P269" s="223"/>
      <c r="Q269" s="223"/>
      <c r="R269" s="223"/>
      <c r="S269" s="223"/>
      <c r="T269" s="223"/>
      <c r="U269" s="223"/>
      <c r="V269" s="223"/>
      <c r="W269" s="223"/>
      <c r="X269" s="223"/>
      <c r="Y269" s="223"/>
      <c r="Z269" s="223"/>
      <c r="AA269" s="223"/>
      <c r="AB269" s="223"/>
    </row>
    <row r="270" spans="4:28">
      <c r="D270" s="223"/>
      <c r="E270" s="223"/>
      <c r="F270" s="223"/>
      <c r="G270" s="223"/>
      <c r="H270" s="223"/>
      <c r="I270" s="223"/>
      <c r="J270" s="223"/>
      <c r="K270" s="223"/>
      <c r="L270" s="223"/>
      <c r="M270" s="223"/>
      <c r="N270" s="223"/>
      <c r="O270" s="223"/>
      <c r="P270" s="223"/>
      <c r="Q270" s="223"/>
      <c r="R270" s="223"/>
      <c r="S270" s="223"/>
      <c r="T270" s="223"/>
      <c r="U270" s="223"/>
      <c r="V270" s="223"/>
      <c r="W270" s="223"/>
      <c r="X270" s="223"/>
      <c r="Y270" s="223"/>
      <c r="Z270" s="223"/>
      <c r="AA270" s="223"/>
      <c r="AB270" s="223"/>
    </row>
    <row r="271" spans="4:28">
      <c r="D271" s="223"/>
      <c r="E271" s="223"/>
      <c r="F271" s="223"/>
      <c r="G271" s="223"/>
      <c r="H271" s="223"/>
      <c r="I271" s="223"/>
      <c r="J271" s="223"/>
      <c r="K271" s="223"/>
      <c r="L271" s="223"/>
      <c r="M271" s="223"/>
      <c r="N271" s="223"/>
      <c r="O271" s="223"/>
      <c r="P271" s="223"/>
      <c r="Q271" s="223"/>
      <c r="R271" s="223"/>
      <c r="S271" s="223"/>
      <c r="T271" s="223"/>
      <c r="U271" s="223"/>
      <c r="V271" s="223"/>
      <c r="W271" s="223"/>
      <c r="X271" s="223"/>
      <c r="Y271" s="223"/>
      <c r="Z271" s="223"/>
      <c r="AA271" s="223"/>
      <c r="AB271" s="223"/>
    </row>
    <row r="272" spans="4:28">
      <c r="D272" s="223"/>
      <c r="E272" s="223"/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  <c r="X272" s="223"/>
      <c r="Y272" s="223"/>
      <c r="Z272" s="223"/>
      <c r="AA272" s="223"/>
      <c r="AB272" s="223"/>
    </row>
    <row r="273" spans="3:28">
      <c r="D273" s="223"/>
      <c r="E273" s="223"/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23"/>
      <c r="Z273" s="223"/>
      <c r="AA273" s="223"/>
      <c r="AB273" s="223"/>
    </row>
    <row r="274" spans="3:28">
      <c r="D274" s="223"/>
      <c r="E274" s="223"/>
      <c r="F274" s="223"/>
      <c r="G274" s="223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3"/>
      <c r="W274" s="223"/>
      <c r="X274" s="223"/>
      <c r="Y274" s="223"/>
      <c r="Z274" s="223"/>
      <c r="AA274" s="223"/>
      <c r="AB274" s="223"/>
    </row>
    <row r="275" spans="3:28">
      <c r="D275" s="223"/>
      <c r="E275" s="223"/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223"/>
      <c r="Y275" s="223"/>
      <c r="Z275" s="223"/>
      <c r="AA275" s="223"/>
      <c r="AB275" s="223"/>
    </row>
    <row r="276" spans="3:28" s="226" customFormat="1">
      <c r="C276" s="194"/>
    </row>
    <row r="277" spans="3:28" s="226" customFormat="1">
      <c r="C277" s="194"/>
    </row>
    <row r="278" spans="3:28" s="226" customFormat="1">
      <c r="C278" s="194"/>
    </row>
    <row r="279" spans="3:28" s="226" customFormat="1">
      <c r="C279" s="194"/>
    </row>
    <row r="280" spans="3:28" s="226" customFormat="1">
      <c r="C280" s="225"/>
    </row>
    <row r="281" spans="3:28">
      <c r="D281" s="223"/>
      <c r="E281" s="223"/>
      <c r="F281" s="223"/>
      <c r="G281" s="223"/>
      <c r="H281" s="223"/>
      <c r="I281" s="223"/>
      <c r="J281" s="223"/>
      <c r="K281" s="223"/>
      <c r="L281" s="223"/>
      <c r="M281" s="223"/>
      <c r="N281" s="223"/>
      <c r="O281" s="223"/>
      <c r="P281" s="223"/>
      <c r="Q281" s="223"/>
      <c r="R281" s="223"/>
      <c r="S281" s="223"/>
      <c r="T281" s="223"/>
      <c r="U281" s="223"/>
      <c r="V281" s="223"/>
      <c r="W281" s="223"/>
      <c r="X281" s="223"/>
      <c r="Y281" s="223"/>
      <c r="Z281" s="223"/>
      <c r="AA281" s="223"/>
    </row>
    <row r="282" spans="3:28">
      <c r="D282" s="223"/>
      <c r="E282" s="223"/>
      <c r="F282" s="223"/>
      <c r="G282" s="223"/>
      <c r="H282" s="223"/>
      <c r="I282" s="223"/>
      <c r="J282" s="223"/>
      <c r="K282" s="223"/>
      <c r="L282" s="223"/>
      <c r="M282" s="223"/>
      <c r="N282" s="223"/>
      <c r="O282" s="223"/>
      <c r="P282" s="223"/>
      <c r="Q282" s="223"/>
      <c r="R282" s="223"/>
      <c r="S282" s="223"/>
      <c r="T282" s="223"/>
      <c r="U282" s="223"/>
      <c r="V282" s="223"/>
      <c r="W282" s="223"/>
      <c r="X282" s="223"/>
      <c r="Y282" s="223"/>
      <c r="Z282" s="223"/>
      <c r="AA282" s="223"/>
    </row>
    <row r="283" spans="3:28">
      <c r="D283" s="223"/>
      <c r="E283" s="223"/>
      <c r="F283" s="223"/>
      <c r="G283" s="223"/>
      <c r="H283" s="223"/>
      <c r="I283" s="223"/>
      <c r="J283" s="223"/>
      <c r="K283" s="223"/>
      <c r="L283" s="223"/>
      <c r="M283" s="223"/>
      <c r="N283" s="223"/>
      <c r="O283" s="223"/>
      <c r="P283" s="223"/>
      <c r="Q283" s="223"/>
      <c r="R283" s="223"/>
      <c r="S283" s="223"/>
      <c r="T283" s="223"/>
      <c r="U283" s="223"/>
      <c r="V283" s="223"/>
      <c r="W283" s="223"/>
      <c r="X283" s="223"/>
      <c r="Y283" s="223"/>
      <c r="Z283" s="223"/>
      <c r="AA283" s="223"/>
    </row>
    <row r="284" spans="3:28">
      <c r="D284" s="223"/>
      <c r="E284" s="223"/>
      <c r="F284" s="223"/>
      <c r="G284" s="223"/>
      <c r="H284" s="223"/>
      <c r="I284" s="223"/>
      <c r="J284" s="223"/>
      <c r="K284" s="223"/>
      <c r="L284" s="223"/>
      <c r="M284" s="223"/>
      <c r="N284" s="223"/>
      <c r="O284" s="223"/>
      <c r="P284" s="223"/>
      <c r="Q284" s="223"/>
      <c r="R284" s="223"/>
      <c r="S284" s="223"/>
      <c r="T284" s="223"/>
      <c r="U284" s="223"/>
      <c r="V284" s="223"/>
      <c r="W284" s="223"/>
      <c r="X284" s="223"/>
      <c r="Y284" s="223"/>
      <c r="Z284" s="223"/>
      <c r="AA284" s="223"/>
    </row>
    <row r="285" spans="3:28">
      <c r="D285" s="223"/>
      <c r="E285" s="223"/>
      <c r="F285" s="223"/>
      <c r="G285" s="223"/>
      <c r="H285" s="223"/>
      <c r="I285" s="223"/>
      <c r="J285" s="223"/>
      <c r="K285" s="223"/>
      <c r="L285" s="223"/>
      <c r="M285" s="223"/>
      <c r="N285" s="223"/>
      <c r="O285" s="223"/>
      <c r="P285" s="223"/>
      <c r="Q285" s="223"/>
      <c r="R285" s="223"/>
      <c r="S285" s="223"/>
      <c r="T285" s="223"/>
      <c r="U285" s="223"/>
      <c r="V285" s="223"/>
      <c r="W285" s="223"/>
      <c r="X285" s="223"/>
      <c r="Y285" s="223"/>
      <c r="Z285" s="223"/>
      <c r="AA285" s="223"/>
    </row>
    <row r="286" spans="3:28">
      <c r="D286" s="223"/>
      <c r="E286" s="223"/>
      <c r="F286" s="223"/>
      <c r="G286" s="223"/>
      <c r="H286" s="223"/>
      <c r="I286" s="223"/>
      <c r="J286" s="223"/>
      <c r="K286" s="223"/>
      <c r="L286" s="223"/>
      <c r="M286" s="223"/>
      <c r="N286" s="223"/>
      <c r="O286" s="223"/>
      <c r="P286" s="223"/>
      <c r="Q286" s="223"/>
      <c r="R286" s="223"/>
      <c r="S286" s="223"/>
      <c r="T286" s="223"/>
      <c r="U286" s="223"/>
      <c r="V286" s="223"/>
      <c r="W286" s="223"/>
      <c r="X286" s="223"/>
      <c r="Y286" s="223"/>
      <c r="Z286" s="223"/>
      <c r="AA286" s="223"/>
    </row>
    <row r="287" spans="3:28">
      <c r="D287" s="223"/>
      <c r="E287" s="223"/>
      <c r="F287" s="223"/>
      <c r="G287" s="223"/>
      <c r="H287" s="223"/>
      <c r="I287" s="223"/>
      <c r="J287" s="223"/>
      <c r="K287" s="223"/>
      <c r="L287" s="223"/>
      <c r="M287" s="223"/>
      <c r="N287" s="223"/>
      <c r="O287" s="223"/>
      <c r="P287" s="223"/>
      <c r="Q287" s="223"/>
      <c r="R287" s="223"/>
      <c r="S287" s="223"/>
      <c r="T287" s="223"/>
      <c r="U287" s="223"/>
      <c r="V287" s="223"/>
      <c r="W287" s="223"/>
      <c r="X287" s="223"/>
      <c r="Y287" s="223"/>
      <c r="Z287" s="223"/>
      <c r="AA287" s="223"/>
    </row>
    <row r="288" spans="3:28">
      <c r="D288" s="223"/>
      <c r="E288" s="223"/>
      <c r="F288" s="223"/>
      <c r="G288" s="223"/>
      <c r="H288" s="223"/>
      <c r="I288" s="223"/>
      <c r="J288" s="223"/>
      <c r="K288" s="223"/>
      <c r="L288" s="223"/>
      <c r="M288" s="223"/>
      <c r="N288" s="223"/>
      <c r="O288" s="223"/>
      <c r="P288" s="223"/>
      <c r="Q288" s="223"/>
      <c r="R288" s="223"/>
      <c r="S288" s="223"/>
      <c r="T288" s="223"/>
      <c r="U288" s="223"/>
      <c r="V288" s="223"/>
      <c r="W288" s="223"/>
      <c r="X288" s="223"/>
      <c r="Y288" s="223"/>
      <c r="Z288" s="223"/>
      <c r="AA288" s="223"/>
    </row>
    <row r="289" spans="4:27">
      <c r="D289" s="223"/>
      <c r="E289" s="223"/>
      <c r="F289" s="223"/>
      <c r="G289" s="223"/>
      <c r="H289" s="223"/>
      <c r="I289" s="223"/>
      <c r="J289" s="223"/>
      <c r="K289" s="223"/>
      <c r="L289" s="223"/>
      <c r="M289" s="223"/>
      <c r="N289" s="223"/>
      <c r="O289" s="223"/>
      <c r="P289" s="223"/>
      <c r="Q289" s="223"/>
      <c r="R289" s="223"/>
      <c r="S289" s="223"/>
      <c r="T289" s="223"/>
      <c r="U289" s="223"/>
      <c r="V289" s="223"/>
      <c r="W289" s="223"/>
      <c r="X289" s="223"/>
      <c r="Y289" s="223"/>
      <c r="Z289" s="223"/>
      <c r="AA289" s="223"/>
    </row>
    <row r="290" spans="4:27">
      <c r="D290" s="223"/>
      <c r="E290" s="223"/>
      <c r="F290" s="223"/>
      <c r="G290" s="223"/>
      <c r="H290" s="223"/>
      <c r="I290" s="223"/>
      <c r="J290" s="223"/>
      <c r="K290" s="223"/>
      <c r="L290" s="223"/>
      <c r="M290" s="223"/>
      <c r="N290" s="223"/>
      <c r="O290" s="223"/>
      <c r="P290" s="223"/>
      <c r="Q290" s="223"/>
      <c r="R290" s="223"/>
      <c r="S290" s="223"/>
      <c r="T290" s="223"/>
      <c r="U290" s="223"/>
      <c r="V290" s="223"/>
      <c r="W290" s="223"/>
      <c r="X290" s="223"/>
      <c r="Y290" s="223"/>
      <c r="Z290" s="223"/>
      <c r="AA290" s="223"/>
    </row>
    <row r="291" spans="4:27">
      <c r="D291" s="223"/>
      <c r="E291" s="223"/>
      <c r="F291" s="223"/>
      <c r="G291" s="223"/>
      <c r="H291" s="223"/>
      <c r="I291" s="223"/>
      <c r="J291" s="223"/>
      <c r="K291" s="223"/>
      <c r="L291" s="223"/>
      <c r="M291" s="223"/>
      <c r="N291" s="223"/>
      <c r="O291" s="223"/>
      <c r="P291" s="223"/>
      <c r="Q291" s="223"/>
      <c r="R291" s="223"/>
      <c r="S291" s="223"/>
      <c r="T291" s="223"/>
      <c r="U291" s="223"/>
      <c r="V291" s="223"/>
      <c r="W291" s="223"/>
      <c r="X291" s="223"/>
      <c r="Y291" s="223"/>
      <c r="Z291" s="223"/>
      <c r="AA291" s="223"/>
    </row>
    <row r="292" spans="4:27">
      <c r="D292" s="223"/>
      <c r="E292" s="223"/>
      <c r="F292" s="223"/>
      <c r="G292" s="223"/>
      <c r="H292" s="223"/>
      <c r="I292" s="223"/>
      <c r="J292" s="223"/>
      <c r="K292" s="223"/>
      <c r="L292" s="223"/>
      <c r="M292" s="223"/>
      <c r="N292" s="223"/>
      <c r="O292" s="223"/>
      <c r="P292" s="223"/>
      <c r="Q292" s="223"/>
      <c r="R292" s="223"/>
      <c r="S292" s="223"/>
      <c r="T292" s="223"/>
      <c r="U292" s="223"/>
      <c r="V292" s="223"/>
      <c r="W292" s="223"/>
      <c r="X292" s="223"/>
      <c r="Y292" s="223"/>
      <c r="Z292" s="223"/>
      <c r="AA292" s="223"/>
    </row>
    <row r="293" spans="4:27">
      <c r="D293" s="223"/>
      <c r="E293" s="223"/>
      <c r="F293" s="223"/>
      <c r="G293" s="223"/>
      <c r="H293" s="223"/>
      <c r="I293" s="223"/>
      <c r="J293" s="223"/>
      <c r="K293" s="223"/>
      <c r="L293" s="223"/>
      <c r="M293" s="223"/>
      <c r="N293" s="223"/>
      <c r="O293" s="223"/>
      <c r="P293" s="223"/>
      <c r="Q293" s="223"/>
      <c r="R293" s="223"/>
      <c r="S293" s="223"/>
      <c r="T293" s="223"/>
      <c r="U293" s="223"/>
      <c r="V293" s="223"/>
      <c r="W293" s="223"/>
      <c r="X293" s="223"/>
      <c r="Y293" s="223"/>
      <c r="Z293" s="223"/>
      <c r="AA293" s="223"/>
    </row>
    <row r="294" spans="4:27">
      <c r="D294" s="223"/>
      <c r="E294" s="223"/>
      <c r="F294" s="223"/>
      <c r="G294" s="223"/>
      <c r="H294" s="223"/>
      <c r="I294" s="223"/>
      <c r="J294" s="223"/>
      <c r="K294" s="223"/>
      <c r="L294" s="223"/>
      <c r="M294" s="223"/>
      <c r="N294" s="223"/>
      <c r="O294" s="223"/>
      <c r="P294" s="223"/>
      <c r="Q294" s="223"/>
      <c r="R294" s="223"/>
      <c r="S294" s="223"/>
      <c r="T294" s="223"/>
      <c r="U294" s="223"/>
      <c r="V294" s="223"/>
      <c r="W294" s="223"/>
      <c r="X294" s="223"/>
      <c r="Y294" s="223"/>
      <c r="Z294" s="223"/>
      <c r="AA294" s="223"/>
    </row>
    <row r="295" spans="4:27">
      <c r="D295" s="223"/>
      <c r="E295" s="223"/>
      <c r="F295" s="223"/>
      <c r="G295" s="223"/>
      <c r="H295" s="223"/>
      <c r="I295" s="223"/>
      <c r="J295" s="223"/>
      <c r="K295" s="223"/>
      <c r="L295" s="223"/>
      <c r="M295" s="223"/>
      <c r="N295" s="223"/>
      <c r="O295" s="223"/>
      <c r="P295" s="223"/>
      <c r="Q295" s="223"/>
      <c r="R295" s="223"/>
      <c r="S295" s="223"/>
      <c r="T295" s="223"/>
      <c r="U295" s="223"/>
      <c r="V295" s="223"/>
      <c r="W295" s="223"/>
      <c r="X295" s="223"/>
      <c r="Y295" s="223"/>
      <c r="Z295" s="223"/>
      <c r="AA295" s="223"/>
    </row>
    <row r="296" spans="4:27">
      <c r="D296" s="223"/>
      <c r="E296" s="223"/>
      <c r="F296" s="223"/>
      <c r="G296" s="223"/>
      <c r="H296" s="223"/>
      <c r="I296" s="223"/>
      <c r="J296" s="223"/>
      <c r="K296" s="223"/>
      <c r="L296" s="223"/>
      <c r="M296" s="223"/>
      <c r="N296" s="223"/>
      <c r="O296" s="223"/>
      <c r="P296" s="223"/>
      <c r="Q296" s="223"/>
      <c r="R296" s="223"/>
      <c r="S296" s="223"/>
      <c r="T296" s="223"/>
      <c r="U296" s="223"/>
      <c r="V296" s="223"/>
      <c r="W296" s="223"/>
      <c r="X296" s="223"/>
      <c r="Y296" s="223"/>
      <c r="Z296" s="223"/>
      <c r="AA296" s="223"/>
    </row>
    <row r="297" spans="4:27">
      <c r="D297" s="223"/>
      <c r="E297" s="223"/>
      <c r="F297" s="223"/>
      <c r="G297" s="223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3"/>
      <c r="Y297" s="223"/>
      <c r="Z297" s="223"/>
      <c r="AA297" s="223"/>
    </row>
    <row r="298" spans="4:27">
      <c r="D298" s="223"/>
      <c r="E298" s="223"/>
      <c r="F298" s="223"/>
      <c r="G298" s="223"/>
      <c r="H298" s="223"/>
      <c r="I298" s="223"/>
      <c r="J298" s="223"/>
      <c r="K298" s="223"/>
      <c r="L298" s="223"/>
      <c r="M298" s="223"/>
      <c r="N298" s="223"/>
      <c r="O298" s="223"/>
      <c r="P298" s="223"/>
      <c r="Q298" s="223"/>
      <c r="R298" s="223"/>
      <c r="S298" s="223"/>
      <c r="T298" s="223"/>
      <c r="U298" s="223"/>
      <c r="V298" s="223"/>
      <c r="W298" s="223"/>
      <c r="X298" s="223"/>
      <c r="Y298" s="223"/>
      <c r="Z298" s="223"/>
      <c r="AA298" s="223"/>
    </row>
    <row r="299" spans="4:27">
      <c r="D299" s="223"/>
      <c r="E299" s="223"/>
      <c r="F299" s="223"/>
      <c r="G299" s="223"/>
      <c r="H299" s="223"/>
      <c r="I299" s="223"/>
      <c r="J299" s="223"/>
      <c r="K299" s="223"/>
      <c r="L299" s="223"/>
      <c r="M299" s="223"/>
      <c r="N299" s="223"/>
      <c r="O299" s="223"/>
      <c r="P299" s="223"/>
      <c r="Q299" s="223"/>
      <c r="R299" s="223"/>
      <c r="S299" s="223"/>
      <c r="T299" s="223"/>
      <c r="U299" s="223"/>
      <c r="V299" s="223"/>
      <c r="W299" s="223"/>
      <c r="X299" s="223"/>
      <c r="Y299" s="223"/>
      <c r="Z299" s="223"/>
      <c r="AA299" s="223"/>
    </row>
    <row r="300" spans="4:27">
      <c r="D300" s="223"/>
      <c r="E300" s="223"/>
      <c r="F300" s="223"/>
      <c r="G300" s="223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3"/>
      <c r="W300" s="223"/>
      <c r="X300" s="223"/>
      <c r="Y300" s="223"/>
      <c r="Z300" s="223"/>
      <c r="AA300" s="223"/>
    </row>
    <row r="301" spans="4:27">
      <c r="D301" s="223"/>
      <c r="E301" s="223"/>
      <c r="F301" s="223"/>
      <c r="G301" s="223"/>
      <c r="H301" s="223"/>
      <c r="I301" s="223"/>
      <c r="J301" s="223"/>
      <c r="K301" s="223"/>
      <c r="L301" s="223"/>
      <c r="M301" s="223"/>
      <c r="N301" s="223"/>
      <c r="O301" s="223"/>
      <c r="P301" s="223"/>
      <c r="Q301" s="223"/>
      <c r="R301" s="223"/>
      <c r="S301" s="223"/>
      <c r="T301" s="223"/>
      <c r="U301" s="223"/>
      <c r="V301" s="223"/>
      <c r="W301" s="223"/>
      <c r="X301" s="223"/>
      <c r="Y301" s="223"/>
      <c r="Z301" s="223"/>
      <c r="AA301" s="223"/>
    </row>
    <row r="302" spans="4:27">
      <c r="D302" s="223"/>
      <c r="E302" s="223"/>
      <c r="F302" s="223"/>
      <c r="G302" s="223"/>
      <c r="H302" s="223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23"/>
      <c r="Y302" s="223"/>
      <c r="Z302" s="223"/>
      <c r="AA302" s="223"/>
    </row>
    <row r="303" spans="4:27">
      <c r="D303" s="223"/>
      <c r="E303" s="223"/>
      <c r="F303" s="223"/>
      <c r="G303" s="223"/>
      <c r="H303" s="223"/>
      <c r="I303" s="223"/>
      <c r="J303" s="223"/>
      <c r="K303" s="223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  <c r="X303" s="223"/>
      <c r="Y303" s="223"/>
      <c r="Z303" s="223"/>
      <c r="AA303" s="223"/>
    </row>
    <row r="304" spans="4:27">
      <c r="D304" s="223"/>
      <c r="E304" s="223"/>
      <c r="F304" s="223"/>
      <c r="G304" s="223"/>
      <c r="H304" s="223"/>
      <c r="I304" s="223"/>
      <c r="J304" s="223"/>
      <c r="K304" s="223"/>
      <c r="L304" s="223"/>
      <c r="M304" s="223"/>
      <c r="N304" s="223"/>
      <c r="O304" s="223"/>
      <c r="P304" s="223"/>
      <c r="Q304" s="223"/>
      <c r="R304" s="223"/>
      <c r="S304" s="223"/>
      <c r="T304" s="223"/>
      <c r="U304" s="223"/>
      <c r="V304" s="223"/>
      <c r="W304" s="223"/>
      <c r="X304" s="223"/>
      <c r="Y304" s="223"/>
      <c r="Z304" s="223"/>
      <c r="AA304" s="223"/>
    </row>
    <row r="305" spans="1:28">
      <c r="D305" s="223"/>
      <c r="E305" s="223"/>
      <c r="F305" s="223"/>
      <c r="G305" s="223"/>
      <c r="H305" s="223"/>
      <c r="I305" s="223"/>
      <c r="J305" s="223"/>
      <c r="K305" s="223"/>
      <c r="L305" s="223"/>
      <c r="M305" s="223"/>
      <c r="N305" s="223"/>
      <c r="O305" s="223"/>
      <c r="P305" s="223"/>
      <c r="Q305" s="223"/>
      <c r="R305" s="223"/>
      <c r="S305" s="223"/>
      <c r="T305" s="223"/>
      <c r="U305" s="223"/>
      <c r="V305" s="223"/>
      <c r="W305" s="223"/>
      <c r="X305" s="223"/>
      <c r="Y305" s="223"/>
      <c r="Z305" s="223"/>
      <c r="AA305" s="223"/>
    </row>
    <row r="306" spans="1:28">
      <c r="D306" s="223"/>
      <c r="E306" s="223"/>
      <c r="F306" s="223"/>
      <c r="G306" s="223"/>
      <c r="H306" s="223"/>
      <c r="I306" s="223"/>
      <c r="J306" s="223"/>
      <c r="K306" s="223"/>
      <c r="L306" s="223"/>
      <c r="M306" s="223"/>
      <c r="N306" s="223"/>
      <c r="O306" s="223"/>
      <c r="P306" s="223"/>
      <c r="Q306" s="223"/>
      <c r="R306" s="223"/>
      <c r="S306" s="223"/>
      <c r="T306" s="223"/>
      <c r="U306" s="223"/>
      <c r="V306" s="223"/>
      <c r="W306" s="223"/>
      <c r="X306" s="223"/>
      <c r="Y306" s="223"/>
      <c r="Z306" s="223"/>
      <c r="AA306" s="223"/>
    </row>
    <row r="307" spans="1:28">
      <c r="D307" s="223"/>
      <c r="E307" s="223"/>
      <c r="F307" s="223"/>
      <c r="G307" s="223"/>
      <c r="H307" s="223"/>
      <c r="I307" s="223"/>
      <c r="J307" s="223"/>
      <c r="K307" s="223"/>
      <c r="L307" s="223"/>
      <c r="M307" s="223"/>
      <c r="N307" s="223"/>
      <c r="O307" s="223"/>
      <c r="P307" s="223"/>
      <c r="Q307" s="223"/>
      <c r="R307" s="223"/>
      <c r="S307" s="223"/>
      <c r="T307" s="223"/>
      <c r="U307" s="223"/>
      <c r="V307" s="223"/>
      <c r="W307" s="223"/>
      <c r="X307" s="223"/>
      <c r="Y307" s="223"/>
      <c r="Z307" s="223"/>
      <c r="AA307" s="223"/>
    </row>
    <row r="308" spans="1:28">
      <c r="D308" s="223"/>
      <c r="E308" s="223"/>
      <c r="F308" s="223"/>
      <c r="G308" s="223"/>
      <c r="H308" s="223"/>
      <c r="I308" s="223"/>
      <c r="J308" s="223"/>
      <c r="K308" s="223"/>
      <c r="L308" s="223"/>
      <c r="M308" s="223"/>
      <c r="N308" s="223"/>
      <c r="O308" s="223"/>
      <c r="P308" s="223"/>
      <c r="Q308" s="223"/>
      <c r="R308" s="223"/>
      <c r="S308" s="223"/>
      <c r="T308" s="223"/>
      <c r="U308" s="223"/>
      <c r="V308" s="223"/>
      <c r="W308" s="223"/>
      <c r="X308" s="223"/>
      <c r="Y308" s="223"/>
      <c r="Z308" s="223"/>
      <c r="AA308" s="223"/>
    </row>
    <row r="309" spans="1:28">
      <c r="D309" s="223"/>
      <c r="E309" s="223"/>
      <c r="F309" s="223"/>
      <c r="G309" s="223"/>
      <c r="H309" s="223"/>
      <c r="I309" s="223"/>
      <c r="J309" s="223"/>
      <c r="K309" s="223"/>
      <c r="L309" s="223"/>
      <c r="M309" s="223"/>
      <c r="N309" s="223"/>
      <c r="O309" s="223"/>
      <c r="P309" s="223"/>
      <c r="Q309" s="223"/>
      <c r="R309" s="223"/>
      <c r="S309" s="223"/>
      <c r="T309" s="223"/>
      <c r="U309" s="223"/>
      <c r="V309" s="223"/>
      <c r="W309" s="223"/>
      <c r="X309" s="223"/>
      <c r="Y309" s="223"/>
      <c r="Z309" s="223"/>
      <c r="AA309" s="223"/>
    </row>
    <row r="310" spans="1:28">
      <c r="D310" s="223"/>
      <c r="E310" s="223"/>
      <c r="F310" s="223"/>
      <c r="G310" s="223"/>
      <c r="H310" s="223"/>
      <c r="I310" s="223"/>
      <c r="J310" s="223"/>
      <c r="K310" s="223"/>
      <c r="L310" s="223"/>
      <c r="M310" s="223"/>
      <c r="N310" s="223"/>
      <c r="O310" s="223"/>
      <c r="P310" s="223"/>
      <c r="Q310" s="223"/>
      <c r="R310" s="223"/>
      <c r="S310" s="223"/>
      <c r="T310" s="223"/>
      <c r="U310" s="223"/>
      <c r="V310" s="223"/>
      <c r="W310" s="223"/>
      <c r="X310" s="223"/>
      <c r="Y310" s="223"/>
      <c r="Z310" s="223"/>
      <c r="AA310" s="223"/>
    </row>
    <row r="311" spans="1:28" s="226" customFormat="1">
      <c r="C311" s="194"/>
    </row>
    <row r="312" spans="1:28" s="226" customFormat="1">
      <c r="C312" s="194"/>
    </row>
    <row r="313" spans="1:28" s="226" customFormat="1">
      <c r="C313" s="194"/>
    </row>
    <row r="314" spans="1:28" s="226" customFormat="1">
      <c r="C314" s="194"/>
    </row>
    <row r="315" spans="1:28" s="226" customFormat="1">
      <c r="C315" s="225"/>
    </row>
    <row r="318" spans="1:28">
      <c r="A318" s="226"/>
      <c r="T318" s="223"/>
      <c r="U318" s="223"/>
      <c r="AB318" s="223"/>
    </row>
    <row r="319" spans="1:28">
      <c r="A319" s="226"/>
      <c r="T319" s="223"/>
      <c r="U319" s="223"/>
      <c r="AB319" s="223"/>
    </row>
    <row r="320" spans="1:28">
      <c r="A320" s="226"/>
      <c r="T320" s="223"/>
      <c r="U320" s="223"/>
      <c r="AB320" s="223"/>
    </row>
    <row r="321" spans="1:28">
      <c r="A321" s="226"/>
      <c r="T321" s="223"/>
      <c r="U321" s="223"/>
      <c r="AB321" s="223"/>
    </row>
    <row r="322" spans="1:28">
      <c r="A322" s="226"/>
      <c r="T322" s="223"/>
      <c r="U322" s="223"/>
      <c r="AB322" s="223"/>
    </row>
    <row r="323" spans="1:28">
      <c r="A323" s="226"/>
      <c r="T323" s="223"/>
      <c r="U323" s="223"/>
      <c r="AB323" s="227"/>
    </row>
    <row r="324" spans="1:28">
      <c r="A324" s="226"/>
      <c r="T324" s="223"/>
      <c r="U324" s="223"/>
      <c r="AB324" s="227"/>
    </row>
    <row r="325" spans="1:28">
      <c r="A325" s="226"/>
      <c r="T325" s="223"/>
      <c r="U325" s="223"/>
      <c r="AB325" s="227"/>
    </row>
    <row r="326" spans="1:28">
      <c r="A326" s="226"/>
      <c r="T326" s="223"/>
      <c r="U326" s="223"/>
      <c r="AB326" s="227"/>
    </row>
    <row r="327" spans="1:28">
      <c r="A327" s="226"/>
      <c r="T327" s="223"/>
      <c r="U327" s="223"/>
      <c r="AB327" s="227"/>
    </row>
    <row r="328" spans="1:28">
      <c r="A328" s="226"/>
      <c r="T328" s="223"/>
      <c r="U328" s="223"/>
      <c r="AB328" s="227"/>
    </row>
    <row r="329" spans="1:28">
      <c r="A329" s="226"/>
      <c r="T329" s="223"/>
      <c r="U329" s="223"/>
      <c r="AB329" s="227"/>
    </row>
    <row r="330" spans="1:28">
      <c r="A330" s="226"/>
      <c r="T330" s="223"/>
      <c r="U330" s="223"/>
      <c r="AB330" s="227"/>
    </row>
    <row r="331" spans="1:28">
      <c r="A331" s="226"/>
      <c r="T331" s="223"/>
      <c r="U331" s="223"/>
      <c r="AB331" s="227"/>
    </row>
    <row r="332" spans="1:28">
      <c r="A332" s="226"/>
      <c r="T332" s="223"/>
      <c r="U332" s="223"/>
      <c r="AB332" s="227"/>
    </row>
    <row r="333" spans="1:28">
      <c r="A333" s="226"/>
      <c r="T333" s="223"/>
      <c r="U333" s="223"/>
      <c r="AB333" s="227"/>
    </row>
    <row r="334" spans="1:28">
      <c r="T334" s="223"/>
      <c r="U334" s="223"/>
    </row>
    <row r="335" spans="1:28">
      <c r="T335" s="223"/>
      <c r="U335" s="223"/>
    </row>
    <row r="336" spans="1:28">
      <c r="T336" s="223"/>
      <c r="U336" s="223"/>
    </row>
    <row r="337" spans="3:21">
      <c r="T337" s="223"/>
      <c r="U337" s="223"/>
    </row>
    <row r="338" spans="3:21">
      <c r="T338" s="223"/>
      <c r="U338" s="223"/>
    </row>
    <row r="339" spans="3:21">
      <c r="T339" s="223"/>
      <c r="U339" s="223"/>
    </row>
    <row r="340" spans="3:21">
      <c r="T340" s="223"/>
      <c r="U340" s="223"/>
    </row>
    <row r="341" spans="3:21">
      <c r="T341" s="223"/>
      <c r="U341" s="223"/>
    </row>
    <row r="342" spans="3:21">
      <c r="T342" s="223"/>
      <c r="U342" s="223"/>
    </row>
    <row r="343" spans="3:21">
      <c r="T343" s="223"/>
      <c r="U343" s="223"/>
    </row>
    <row r="344" spans="3:21">
      <c r="T344" s="223"/>
      <c r="U344" s="223"/>
    </row>
    <row r="345" spans="3:21">
      <c r="T345" s="223"/>
      <c r="U345" s="223"/>
    </row>
    <row r="346" spans="3:21">
      <c r="T346" s="223"/>
      <c r="U346" s="223"/>
    </row>
    <row r="347" spans="3:21">
      <c r="T347" s="223"/>
      <c r="U347" s="223"/>
    </row>
    <row r="348" spans="3:21">
      <c r="T348" s="223"/>
      <c r="U348" s="223"/>
    </row>
    <row r="349" spans="3:21">
      <c r="T349" s="223"/>
      <c r="U349" s="223"/>
    </row>
    <row r="350" spans="3:21">
      <c r="T350" s="223"/>
      <c r="U350" s="223"/>
    </row>
    <row r="351" spans="3:21">
      <c r="T351" s="223"/>
      <c r="U351" s="223"/>
    </row>
    <row r="352" spans="3:21">
      <c r="C352" s="225"/>
      <c r="T352" s="223"/>
      <c r="U352" s="223"/>
    </row>
  </sheetData>
  <mergeCells count="4">
    <mergeCell ref="B2:D2"/>
    <mergeCell ref="E2:G2"/>
    <mergeCell ref="H2:J2"/>
    <mergeCell ref="K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theme="6" tint="0.59999389629810485"/>
  </sheetPr>
  <dimension ref="A1:D25"/>
  <sheetViews>
    <sheetView workbookViewId="0">
      <selection activeCell="D36" sqref="D36"/>
    </sheetView>
  </sheetViews>
  <sheetFormatPr defaultColWidth="29.453125" defaultRowHeight="12.5"/>
  <cols>
    <col min="1" max="1" width="29.453125" style="85"/>
    <col min="2" max="2" width="40.1796875" style="85" bestFit="1" customWidth="1"/>
    <col min="3" max="3" width="8.26953125" style="85" bestFit="1" customWidth="1"/>
    <col min="4" max="16384" width="29.453125" style="85"/>
  </cols>
  <sheetData>
    <row r="1" spans="1:4">
      <c r="A1" s="163"/>
      <c r="B1" s="259" t="s">
        <v>212</v>
      </c>
      <c r="C1" s="260"/>
      <c r="D1" s="164"/>
    </row>
    <row r="2" spans="1:4">
      <c r="A2" s="163"/>
      <c r="B2" s="259" t="s">
        <v>237</v>
      </c>
      <c r="C2" s="260"/>
      <c r="D2" s="164"/>
    </row>
    <row r="3" spans="1:4">
      <c r="A3" s="163"/>
      <c r="B3" s="259" t="s">
        <v>238</v>
      </c>
      <c r="C3" s="260"/>
      <c r="D3" s="164"/>
    </row>
    <row r="4" spans="1:4">
      <c r="A4" s="163"/>
      <c r="B4" s="259" t="s">
        <v>214</v>
      </c>
      <c r="C4" s="260"/>
    </row>
    <row r="5" spans="1:4">
      <c r="A5" s="163"/>
    </row>
    <row r="6" spans="1:4" ht="25">
      <c r="A6" s="166" t="s">
        <v>239</v>
      </c>
      <c r="B6" s="163" t="s">
        <v>43</v>
      </c>
      <c r="C6" s="166"/>
      <c r="D6" s="166" t="s">
        <v>240</v>
      </c>
    </row>
    <row r="7" spans="1:4">
      <c r="A7" s="167">
        <v>-1</v>
      </c>
      <c r="B7" s="168">
        <v>-2</v>
      </c>
      <c r="C7" s="168"/>
      <c r="D7" s="168">
        <f>+B7-1</f>
        <v>-3</v>
      </c>
    </row>
    <row r="8" spans="1:4">
      <c r="A8" s="168"/>
    </row>
    <row r="9" spans="1:4">
      <c r="A9" s="168">
        <v>1</v>
      </c>
      <c r="B9" s="85" t="s">
        <v>241</v>
      </c>
      <c r="C9" s="169"/>
      <c r="D9" s="170">
        <v>1</v>
      </c>
    </row>
    <row r="10" spans="1:4">
      <c r="A10" s="168"/>
      <c r="C10" s="169"/>
      <c r="D10" s="170"/>
    </row>
    <row r="11" spans="1:4">
      <c r="A11" s="168">
        <f>+A9+1</f>
        <v>2</v>
      </c>
      <c r="B11" s="85" t="s">
        <v>242</v>
      </c>
      <c r="C11" s="188"/>
      <c r="D11" s="189">
        <v>4.0000000000000001E-3</v>
      </c>
    </row>
    <row r="12" spans="1:4">
      <c r="A12" s="168">
        <f>+A11+1</f>
        <v>3</v>
      </c>
      <c r="B12" s="85" t="s">
        <v>243</v>
      </c>
      <c r="C12" s="188"/>
      <c r="D12" s="189">
        <v>1.493E-3</v>
      </c>
    </row>
    <row r="13" spans="1:4">
      <c r="A13" s="168"/>
      <c r="C13" s="188"/>
      <c r="D13" s="190" t="s">
        <v>244</v>
      </c>
    </row>
    <row r="14" spans="1:4">
      <c r="A14" s="168">
        <f>+A12+1</f>
        <v>4</v>
      </c>
      <c r="B14" s="85" t="s">
        <v>245</v>
      </c>
      <c r="C14" s="188"/>
      <c r="D14" s="189">
        <f>+D9-D11-D12</f>
        <v>0.99450700000000003</v>
      </c>
    </row>
    <row r="15" spans="1:4">
      <c r="A15" s="168"/>
      <c r="C15" s="191"/>
      <c r="D15" s="190"/>
    </row>
    <row r="16" spans="1:4">
      <c r="A16" s="168">
        <f>+A14+1</f>
        <v>5</v>
      </c>
      <c r="B16" s="85" t="s">
        <v>246</v>
      </c>
      <c r="C16" s="189">
        <v>5.0065000000000005E-2</v>
      </c>
      <c r="D16" s="189">
        <f>ROUND(D14*C16,6)</f>
        <v>4.9790000000000001E-2</v>
      </c>
    </row>
    <row r="17" spans="1:4">
      <c r="A17" s="168"/>
      <c r="C17" s="191"/>
      <c r="D17" s="190" t="s">
        <v>244</v>
      </c>
    </row>
    <row r="18" spans="1:4">
      <c r="A18" s="168"/>
      <c r="C18" s="191"/>
      <c r="D18" s="190"/>
    </row>
    <row r="19" spans="1:4">
      <c r="A19" s="168">
        <f>+A16+1</f>
        <v>6</v>
      </c>
      <c r="B19" s="85" t="s">
        <v>247</v>
      </c>
      <c r="C19" s="188"/>
      <c r="D19" s="189">
        <f>+D14-D16</f>
        <v>0.94471700000000003</v>
      </c>
    </row>
    <row r="20" spans="1:4">
      <c r="A20" s="168"/>
      <c r="C20" s="191"/>
      <c r="D20" s="190"/>
    </row>
    <row r="21" spans="1:4">
      <c r="A21" s="168">
        <f>+A19+1</f>
        <v>7</v>
      </c>
      <c r="B21" s="85" t="s">
        <v>248</v>
      </c>
      <c r="C21" s="192">
        <v>0.21</v>
      </c>
      <c r="D21" s="189">
        <f>ROUND(D19*C21,6)</f>
        <v>0.19839100000000001</v>
      </c>
    </row>
    <row r="22" spans="1:4">
      <c r="A22" s="168"/>
      <c r="C22" s="188"/>
      <c r="D22" s="192"/>
    </row>
    <row r="23" spans="1:4">
      <c r="A23" s="168">
        <f>+A21+1</f>
        <v>8</v>
      </c>
      <c r="B23" s="85" t="s">
        <v>249</v>
      </c>
      <c r="C23" s="188"/>
      <c r="D23" s="189">
        <f>+D19-D21</f>
        <v>0.74632600000000004</v>
      </c>
    </row>
    <row r="24" spans="1:4">
      <c r="A24" s="168"/>
      <c r="C24" s="188"/>
      <c r="D24" s="190" t="s">
        <v>244</v>
      </c>
    </row>
    <row r="25" spans="1:4" ht="13">
      <c r="A25" s="168">
        <f>+A23+1</f>
        <v>9</v>
      </c>
      <c r="B25" s="85" t="s">
        <v>250</v>
      </c>
      <c r="C25" s="188"/>
      <c r="D25" s="193">
        <f>ROUND(1/D23,8)</f>
        <v>1.3398970400000001</v>
      </c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tabColor theme="6" tint="0.59999389629810485"/>
  </sheetPr>
  <dimension ref="A1:Q62"/>
  <sheetViews>
    <sheetView zoomScaleNormal="100" workbookViewId="0">
      <selection activeCell="N23" sqref="N23:N24"/>
    </sheetView>
  </sheetViews>
  <sheetFormatPr defaultRowHeight="12.5"/>
  <cols>
    <col min="1" max="1" width="5.1796875" bestFit="1" customWidth="1"/>
    <col min="2" max="2" width="2.1796875" customWidth="1"/>
    <col min="3" max="3" width="25.1796875" customWidth="1"/>
    <col min="4" max="4" width="2.1796875" customWidth="1"/>
    <col min="5" max="5" width="10.453125" bestFit="1" customWidth="1"/>
    <col min="6" max="6" width="2.1796875" customWidth="1"/>
    <col min="7" max="7" width="10" customWidth="1"/>
    <col min="8" max="8" width="2.1796875" customWidth="1"/>
    <col min="9" max="9" width="19.81640625" bestFit="1" customWidth="1"/>
    <col min="10" max="10" width="2.1796875" customWidth="1"/>
    <col min="11" max="11" width="14" bestFit="1" customWidth="1"/>
    <col min="13" max="13" width="15" bestFit="1" customWidth="1"/>
    <col min="16" max="16" width="12.54296875" customWidth="1"/>
  </cols>
  <sheetData>
    <row r="1" spans="1:17" s="85" customFormat="1">
      <c r="D1" s="163" t="s">
        <v>212</v>
      </c>
      <c r="I1" s="164"/>
      <c r="Q1" s="53"/>
    </row>
    <row r="2" spans="1:17" s="85" customFormat="1">
      <c r="D2" s="163" t="s">
        <v>251</v>
      </c>
      <c r="I2" s="164"/>
      <c r="Q2" s="53"/>
    </row>
    <row r="3" spans="1:17" s="85" customFormat="1">
      <c r="D3" s="165" t="s">
        <v>214</v>
      </c>
      <c r="Q3" s="53"/>
    </row>
    <row r="5" spans="1:17" ht="13">
      <c r="A5" s="261"/>
      <c r="B5" s="262"/>
      <c r="C5" s="262"/>
      <c r="D5" s="262"/>
      <c r="E5" s="262"/>
      <c r="F5" s="262"/>
      <c r="G5" s="262"/>
      <c r="H5" s="262"/>
      <c r="I5" s="262"/>
      <c r="J5" s="171"/>
      <c r="K5" s="171"/>
      <c r="L5" s="171"/>
      <c r="M5" s="171"/>
    </row>
    <row r="7" spans="1:17" ht="26">
      <c r="A7" s="172" t="s">
        <v>252</v>
      </c>
      <c r="B7" s="171"/>
      <c r="C7" s="173" t="s">
        <v>253</v>
      </c>
      <c r="D7" s="171"/>
      <c r="E7" s="173" t="s">
        <v>254</v>
      </c>
      <c r="F7" s="171"/>
      <c r="G7" s="173" t="s">
        <v>255</v>
      </c>
      <c r="H7" s="171"/>
      <c r="I7" s="173" t="s">
        <v>256</v>
      </c>
      <c r="J7" s="171"/>
      <c r="K7" s="171"/>
      <c r="L7" s="171"/>
      <c r="M7" s="171"/>
    </row>
    <row r="8" spans="1:17" ht="13">
      <c r="A8" s="174">
        <v>-1</v>
      </c>
      <c r="B8" s="174"/>
      <c r="C8" s="175">
        <v>-2</v>
      </c>
      <c r="D8" s="174"/>
      <c r="E8" s="175">
        <v>-3</v>
      </c>
      <c r="F8" s="174"/>
      <c r="G8" s="175">
        <v>-4</v>
      </c>
      <c r="H8" s="174"/>
      <c r="I8" s="175">
        <v>-5</v>
      </c>
      <c r="J8" s="174"/>
      <c r="K8" s="174"/>
      <c r="L8" s="174"/>
      <c r="M8" s="174"/>
    </row>
    <row r="9" spans="1:17">
      <c r="A9" s="171"/>
      <c r="B9" s="171"/>
      <c r="C9" s="176"/>
      <c r="D9" s="171"/>
      <c r="E9" s="171"/>
      <c r="F9" s="171"/>
      <c r="G9" s="171"/>
      <c r="H9" s="171"/>
      <c r="I9" s="171"/>
      <c r="J9" s="171"/>
      <c r="K9" s="171"/>
      <c r="L9" s="171"/>
      <c r="M9" s="171"/>
    </row>
    <row r="10" spans="1:17">
      <c r="A10" s="177">
        <v>1</v>
      </c>
      <c r="B10" s="171"/>
      <c r="C10" s="176" t="s">
        <v>257</v>
      </c>
      <c r="D10" s="171"/>
      <c r="E10" s="171" t="s">
        <v>258</v>
      </c>
      <c r="F10" s="171"/>
      <c r="G10" s="178">
        <v>1</v>
      </c>
      <c r="H10" s="171"/>
      <c r="I10" s="179" t="s">
        <v>259</v>
      </c>
      <c r="J10" s="171"/>
      <c r="K10" s="171"/>
      <c r="L10" s="180"/>
      <c r="M10" s="181"/>
    </row>
    <row r="11" spans="1:17">
      <c r="A11" s="177"/>
      <c r="B11" s="171"/>
      <c r="C11" s="176"/>
      <c r="D11" s="171"/>
      <c r="E11" s="171"/>
      <c r="F11" s="171"/>
      <c r="G11" s="178"/>
      <c r="H11" s="171"/>
      <c r="I11" s="179"/>
      <c r="J11" s="171"/>
      <c r="K11" s="171"/>
      <c r="L11" s="180"/>
      <c r="M11" s="181"/>
    </row>
    <row r="12" spans="1:17">
      <c r="A12" s="177">
        <v>2</v>
      </c>
      <c r="B12" s="171"/>
      <c r="C12" s="176" t="s">
        <v>260</v>
      </c>
      <c r="D12" s="171"/>
      <c r="E12" s="171" t="s">
        <v>261</v>
      </c>
      <c r="F12" s="171"/>
      <c r="G12" s="178">
        <v>1</v>
      </c>
      <c r="H12" s="171"/>
      <c r="I12" s="179" t="s">
        <v>259</v>
      </c>
      <c r="J12" s="171"/>
      <c r="K12" s="171"/>
      <c r="L12" s="180"/>
      <c r="M12" s="181"/>
    </row>
    <row r="13" spans="1:17">
      <c r="A13" s="177"/>
      <c r="B13" s="171"/>
      <c r="C13" s="176"/>
      <c r="D13" s="171"/>
      <c r="E13" s="171"/>
      <c r="F13" s="171"/>
      <c r="G13" s="178"/>
      <c r="H13" s="171"/>
      <c r="I13" s="179"/>
      <c r="J13" s="171"/>
      <c r="K13" s="171"/>
      <c r="L13" s="180"/>
      <c r="M13" s="181"/>
    </row>
    <row r="14" spans="1:17">
      <c r="A14" s="177">
        <v>3</v>
      </c>
      <c r="B14" s="171"/>
      <c r="C14" s="176" t="s">
        <v>236</v>
      </c>
      <c r="D14" s="171"/>
      <c r="E14" s="171" t="s">
        <v>262</v>
      </c>
      <c r="F14" s="171"/>
      <c r="G14" s="178">
        <v>1</v>
      </c>
      <c r="H14" s="171"/>
      <c r="I14" s="179" t="s">
        <v>263</v>
      </c>
      <c r="J14" s="171"/>
      <c r="K14" s="171"/>
      <c r="L14" s="180"/>
      <c r="M14" s="181"/>
    </row>
    <row r="15" spans="1:17">
      <c r="A15" s="177"/>
      <c r="B15" s="171"/>
      <c r="C15" s="176"/>
      <c r="D15" s="171"/>
      <c r="E15" s="171"/>
      <c r="F15" s="171"/>
      <c r="G15" s="178"/>
      <c r="H15" s="171"/>
      <c r="I15" s="179"/>
      <c r="J15" s="171"/>
      <c r="K15" s="171"/>
      <c r="L15" s="180"/>
      <c r="M15" s="181"/>
    </row>
    <row r="16" spans="1:17">
      <c r="A16" s="177">
        <v>4</v>
      </c>
      <c r="B16" s="171"/>
      <c r="C16" s="176" t="s">
        <v>264</v>
      </c>
      <c r="D16" s="171"/>
      <c r="E16" s="171" t="s">
        <v>265</v>
      </c>
      <c r="F16" s="171"/>
      <c r="G16" s="178">
        <v>1</v>
      </c>
      <c r="H16" s="171"/>
      <c r="I16" s="179" t="s">
        <v>266</v>
      </c>
      <c r="J16" s="171"/>
      <c r="K16" s="171"/>
      <c r="L16" s="180"/>
      <c r="M16" s="181"/>
    </row>
    <row r="17" spans="1:16">
      <c r="A17" s="177"/>
      <c r="B17" s="171"/>
      <c r="C17" s="176"/>
      <c r="D17" s="171"/>
      <c r="E17" s="171"/>
      <c r="F17" s="171"/>
      <c r="G17" s="178"/>
      <c r="H17" s="171"/>
      <c r="I17" s="171"/>
      <c r="L17" s="182"/>
      <c r="M17" s="181"/>
    </row>
    <row r="18" spans="1:16">
      <c r="A18" s="177">
        <v>5</v>
      </c>
      <c r="B18" s="171"/>
      <c r="C18" s="176" t="s">
        <v>267</v>
      </c>
      <c r="D18" s="171"/>
      <c r="E18" s="171" t="s">
        <v>268</v>
      </c>
      <c r="F18" s="171"/>
      <c r="G18" s="178">
        <v>1</v>
      </c>
      <c r="H18" s="171"/>
      <c r="I18" s="179" t="s">
        <v>269</v>
      </c>
      <c r="L18" s="182"/>
      <c r="M18" s="181"/>
    </row>
    <row r="19" spans="1:16">
      <c r="A19" s="177"/>
      <c r="B19" s="171"/>
      <c r="C19" s="176"/>
      <c r="D19" s="171"/>
      <c r="E19" s="171"/>
      <c r="F19" s="171"/>
      <c r="G19" s="178"/>
      <c r="H19" s="171"/>
      <c r="I19" s="171"/>
      <c r="L19" s="182"/>
      <c r="M19" s="181"/>
    </row>
    <row r="20" spans="1:16">
      <c r="A20" s="177">
        <v>6</v>
      </c>
      <c r="B20" s="171"/>
      <c r="C20" s="176" t="s">
        <v>270</v>
      </c>
      <c r="D20" s="171"/>
      <c r="E20" s="171" t="s">
        <v>271</v>
      </c>
      <c r="F20" s="171"/>
      <c r="G20" s="178">
        <v>1</v>
      </c>
      <c r="H20" s="171"/>
      <c r="I20" s="179" t="s">
        <v>272</v>
      </c>
      <c r="L20" s="182"/>
      <c r="M20" s="181"/>
    </row>
    <row r="21" spans="1:16">
      <c r="A21" s="177"/>
      <c r="B21" s="171"/>
      <c r="C21" s="176"/>
      <c r="D21" s="171"/>
      <c r="E21" s="171"/>
      <c r="F21" s="171"/>
      <c r="G21" s="178"/>
      <c r="H21" s="171"/>
      <c r="I21" s="171"/>
      <c r="L21" s="182"/>
      <c r="M21" s="181"/>
    </row>
    <row r="22" spans="1:16">
      <c r="A22" s="177">
        <v>7</v>
      </c>
      <c r="B22" s="171"/>
      <c r="C22" s="176" t="s">
        <v>273</v>
      </c>
      <c r="D22" s="171"/>
      <c r="E22" s="171" t="s">
        <v>274</v>
      </c>
      <c r="F22" s="171"/>
      <c r="G22" s="178">
        <v>1</v>
      </c>
      <c r="H22" s="171"/>
      <c r="I22" s="179" t="s">
        <v>275</v>
      </c>
      <c r="K22" s="136"/>
      <c r="L22" s="182"/>
      <c r="M22" s="181"/>
    </row>
    <row r="23" spans="1:16">
      <c r="A23" s="177"/>
      <c r="B23" s="171"/>
      <c r="C23" s="176"/>
      <c r="D23" s="171"/>
      <c r="E23" s="171"/>
      <c r="F23" s="171"/>
      <c r="G23" s="178"/>
      <c r="H23" s="171"/>
      <c r="I23" s="171"/>
      <c r="L23" s="182"/>
      <c r="M23" s="181"/>
    </row>
    <row r="24" spans="1:16">
      <c r="A24" s="177">
        <v>8</v>
      </c>
      <c r="B24" s="171"/>
      <c r="C24" s="176" t="s">
        <v>276</v>
      </c>
      <c r="D24" s="171"/>
      <c r="E24" s="171" t="s">
        <v>277</v>
      </c>
      <c r="F24" s="171"/>
      <c r="G24" s="178">
        <v>1</v>
      </c>
      <c r="H24" s="171"/>
      <c r="I24" s="179" t="s">
        <v>278</v>
      </c>
      <c r="K24" s="183"/>
      <c r="L24" s="182"/>
      <c r="M24" s="181"/>
    </row>
    <row r="25" spans="1:16">
      <c r="A25" s="177"/>
      <c r="B25" s="171"/>
      <c r="C25" s="176"/>
      <c r="D25" s="171"/>
      <c r="E25" s="171"/>
      <c r="F25" s="171"/>
      <c r="G25" s="178"/>
      <c r="H25" s="171"/>
      <c r="I25" s="171"/>
      <c r="L25" s="182"/>
      <c r="M25" s="181"/>
    </row>
    <row r="26" spans="1:16">
      <c r="A26" s="177">
        <v>9</v>
      </c>
      <c r="B26" s="171"/>
      <c r="C26" s="176" t="s">
        <v>279</v>
      </c>
      <c r="D26" s="171"/>
      <c r="E26" s="171" t="s">
        <v>280</v>
      </c>
      <c r="F26" s="171"/>
      <c r="G26" s="178">
        <v>1</v>
      </c>
      <c r="H26" s="171"/>
      <c r="I26" s="179" t="s">
        <v>281</v>
      </c>
      <c r="K26" s="136"/>
      <c r="L26" s="182"/>
      <c r="M26" s="181"/>
      <c r="P26" s="136"/>
    </row>
    <row r="27" spans="1:16">
      <c r="A27" s="177"/>
      <c r="B27" s="171"/>
      <c r="C27" s="176"/>
      <c r="D27" s="171"/>
      <c r="E27" s="171"/>
      <c r="F27" s="171"/>
      <c r="G27" s="178"/>
      <c r="H27" s="171"/>
      <c r="I27" s="171"/>
      <c r="K27" s="136"/>
      <c r="L27" s="182"/>
      <c r="M27" s="181"/>
      <c r="P27" s="162"/>
    </row>
    <row r="28" spans="1:16">
      <c r="A28" s="177">
        <v>10</v>
      </c>
      <c r="B28" s="171"/>
      <c r="C28" s="176" t="s">
        <v>282</v>
      </c>
      <c r="D28" s="171"/>
      <c r="E28" s="171" t="s">
        <v>109</v>
      </c>
      <c r="F28" s="171"/>
      <c r="G28" s="178">
        <v>1</v>
      </c>
      <c r="H28" s="171"/>
      <c r="I28" s="179" t="s">
        <v>283</v>
      </c>
      <c r="K28" s="136"/>
      <c r="L28" s="182"/>
      <c r="M28" s="181"/>
    </row>
    <row r="29" spans="1:16">
      <c r="A29" s="177"/>
      <c r="B29" s="171"/>
      <c r="C29" s="176"/>
      <c r="D29" s="171"/>
      <c r="E29" s="171"/>
      <c r="F29" s="171"/>
      <c r="G29" s="178"/>
      <c r="H29" s="171"/>
      <c r="I29" s="171"/>
      <c r="K29" s="184"/>
      <c r="L29" s="185"/>
      <c r="M29" s="181"/>
    </row>
    <row r="30" spans="1:16">
      <c r="A30" s="177">
        <v>11</v>
      </c>
      <c r="B30" s="171"/>
      <c r="C30" s="176" t="s">
        <v>284</v>
      </c>
      <c r="D30" s="171"/>
      <c r="E30" s="171" t="s">
        <v>285</v>
      </c>
      <c r="F30" s="171"/>
      <c r="G30" s="178">
        <v>1</v>
      </c>
      <c r="H30" s="171"/>
      <c r="I30" s="179" t="s">
        <v>286</v>
      </c>
      <c r="K30" s="184"/>
      <c r="L30" s="185"/>
      <c r="M30" s="181"/>
    </row>
    <row r="31" spans="1:16">
      <c r="A31" s="177"/>
      <c r="B31" s="171"/>
      <c r="C31" s="176"/>
      <c r="D31" s="171"/>
      <c r="E31" s="171"/>
      <c r="F31" s="171"/>
      <c r="G31" s="178"/>
      <c r="H31" s="171"/>
      <c r="I31" s="171"/>
      <c r="K31" s="186"/>
      <c r="L31" s="185"/>
      <c r="M31" s="181"/>
    </row>
    <row r="32" spans="1:16">
      <c r="A32" s="177">
        <v>12</v>
      </c>
      <c r="B32" s="171"/>
      <c r="C32" s="176" t="s">
        <v>287</v>
      </c>
      <c r="D32" s="171"/>
      <c r="E32" s="171" t="s">
        <v>288</v>
      </c>
      <c r="F32" s="171"/>
      <c r="G32" s="178">
        <v>1</v>
      </c>
      <c r="H32" s="171"/>
      <c r="I32" s="179" t="s">
        <v>289</v>
      </c>
      <c r="K32" s="184"/>
      <c r="L32" s="185"/>
      <c r="M32" s="181"/>
    </row>
    <row r="33" spans="1:16">
      <c r="A33" s="177"/>
      <c r="B33" s="171"/>
      <c r="C33" s="176"/>
      <c r="D33" s="171"/>
      <c r="E33" s="171"/>
      <c r="F33" s="171"/>
      <c r="G33" s="187"/>
      <c r="H33" s="171"/>
      <c r="I33" s="171"/>
      <c r="K33" s="184"/>
      <c r="L33" s="185"/>
      <c r="M33" s="181"/>
    </row>
    <row r="34" spans="1:16" ht="12.75" customHeight="1">
      <c r="A34" s="177">
        <v>13</v>
      </c>
      <c r="B34" s="171"/>
      <c r="C34" s="176" t="s">
        <v>290</v>
      </c>
      <c r="D34" s="171"/>
      <c r="E34" s="176" t="s">
        <v>290</v>
      </c>
      <c r="F34" s="171"/>
      <c r="G34" s="187">
        <v>1</v>
      </c>
      <c r="H34" s="171"/>
      <c r="I34" s="179" t="s">
        <v>291</v>
      </c>
      <c r="K34" s="184"/>
      <c r="L34" s="185"/>
      <c r="M34" s="181"/>
    </row>
    <row r="35" spans="1:16">
      <c r="A35" s="177"/>
      <c r="B35" s="171"/>
      <c r="C35" s="176"/>
      <c r="D35" s="171"/>
      <c r="E35" s="171"/>
      <c r="F35" s="171"/>
      <c r="G35" s="178"/>
      <c r="H35" s="171"/>
      <c r="I35" s="179"/>
      <c r="K35" s="184"/>
      <c r="L35" s="185"/>
      <c r="M35" s="181"/>
      <c r="P35" s="162"/>
    </row>
    <row r="36" spans="1:16">
      <c r="A36" s="177">
        <f>A34+1</f>
        <v>14</v>
      </c>
      <c r="B36" s="171"/>
      <c r="C36" s="176" t="s">
        <v>292</v>
      </c>
      <c r="D36" s="171"/>
      <c r="E36" s="171" t="s">
        <v>293</v>
      </c>
      <c r="F36" s="171"/>
      <c r="G36" s="178">
        <v>0.99998775747559143</v>
      </c>
      <c r="H36" s="171"/>
      <c r="I36" s="179" t="s">
        <v>291</v>
      </c>
      <c r="K36" s="184"/>
      <c r="L36" s="185"/>
      <c r="M36" s="181"/>
    </row>
    <row r="37" spans="1:16">
      <c r="A37" s="177"/>
      <c r="B37" s="171"/>
      <c r="C37" s="176"/>
      <c r="D37" s="171"/>
      <c r="E37" s="171"/>
      <c r="F37" s="171"/>
      <c r="G37" s="178"/>
      <c r="H37" s="171"/>
      <c r="I37" s="179"/>
      <c r="K37" s="184"/>
      <c r="L37" s="185"/>
      <c r="M37" s="181"/>
    </row>
    <row r="38" spans="1:16">
      <c r="A38" s="177">
        <v>15</v>
      </c>
      <c r="B38" s="171"/>
      <c r="C38" s="176" t="s">
        <v>294</v>
      </c>
      <c r="D38" s="171"/>
      <c r="E38" s="171" t="s">
        <v>294</v>
      </c>
      <c r="F38" s="171"/>
      <c r="G38" s="178">
        <v>1</v>
      </c>
      <c r="H38" s="171"/>
      <c r="I38" s="179" t="s">
        <v>295</v>
      </c>
      <c r="K38" s="184"/>
      <c r="L38" s="185"/>
      <c r="M38" s="181"/>
    </row>
    <row r="39" spans="1:16">
      <c r="A39" s="177"/>
      <c r="B39" s="171"/>
      <c r="C39" s="176"/>
      <c r="D39" s="171"/>
      <c r="E39" s="171"/>
      <c r="F39" s="171"/>
      <c r="G39" s="178"/>
      <c r="H39" s="171"/>
      <c r="I39" s="179"/>
      <c r="L39" s="184"/>
    </row>
    <row r="40" spans="1:16">
      <c r="A40" s="177">
        <v>15</v>
      </c>
      <c r="B40" s="171"/>
      <c r="C40" s="176" t="s">
        <v>296</v>
      </c>
      <c r="D40" s="171"/>
      <c r="E40" s="179" t="str">
        <f>C40</f>
        <v>PDAF/EAF</v>
      </c>
      <c r="F40" s="171"/>
      <c r="G40" s="178">
        <v>1</v>
      </c>
      <c r="H40" s="171"/>
      <c r="I40" s="179" t="s">
        <v>297</v>
      </c>
      <c r="L40" s="184"/>
    </row>
    <row r="41" spans="1:16">
      <c r="A41" s="177"/>
      <c r="B41" s="171"/>
      <c r="C41" s="176"/>
      <c r="D41" s="171"/>
      <c r="E41" s="171"/>
      <c r="F41" s="171"/>
      <c r="G41" s="178"/>
      <c r="H41" s="171"/>
      <c r="I41" s="179"/>
      <c r="L41" s="184"/>
    </row>
    <row r="42" spans="1:16">
      <c r="A42" s="177"/>
      <c r="B42" s="171"/>
      <c r="C42" s="176"/>
      <c r="D42" s="171"/>
      <c r="E42" s="171"/>
      <c r="F42" s="171"/>
      <c r="G42" s="178"/>
      <c r="H42" s="171"/>
      <c r="I42" s="179"/>
      <c r="K42" s="162"/>
      <c r="M42" s="162"/>
    </row>
    <row r="43" spans="1:16">
      <c r="A43" s="177"/>
      <c r="B43" s="171"/>
      <c r="C43" s="176"/>
      <c r="D43" s="171"/>
      <c r="E43" s="171"/>
      <c r="F43" s="171"/>
      <c r="G43" s="178"/>
      <c r="H43" s="171"/>
      <c r="I43" s="179"/>
    </row>
    <row r="44" spans="1:16">
      <c r="A44" s="177"/>
      <c r="B44" s="171"/>
      <c r="C44" s="176"/>
      <c r="D44" s="171"/>
      <c r="E44" s="171"/>
      <c r="F44" s="171"/>
      <c r="G44" s="178"/>
      <c r="H44" s="171"/>
      <c r="I44" s="179"/>
      <c r="K44" s="162"/>
      <c r="M44" s="162"/>
    </row>
    <row r="45" spans="1:16">
      <c r="A45" s="177"/>
      <c r="B45" s="171"/>
      <c r="C45" s="176"/>
      <c r="D45" s="171"/>
      <c r="E45" s="171"/>
      <c r="F45" s="171"/>
      <c r="G45" s="178"/>
      <c r="H45" s="171"/>
      <c r="I45" s="179"/>
      <c r="M45" s="162"/>
    </row>
    <row r="46" spans="1:16">
      <c r="A46" s="177"/>
      <c r="B46" s="171"/>
      <c r="C46" s="176"/>
      <c r="D46" s="171"/>
      <c r="E46" s="171"/>
      <c r="F46" s="171"/>
      <c r="G46" s="178"/>
      <c r="H46" s="171"/>
      <c r="I46" s="179"/>
      <c r="M46" s="162"/>
    </row>
    <row r="47" spans="1:16">
      <c r="A47" s="177"/>
      <c r="B47" s="171"/>
      <c r="C47" s="176"/>
      <c r="D47" s="171"/>
      <c r="E47" s="171"/>
      <c r="F47" s="171"/>
      <c r="G47" s="178"/>
      <c r="H47" s="171"/>
      <c r="I47" s="179"/>
      <c r="K47" s="136"/>
      <c r="M47" s="162"/>
    </row>
    <row r="48" spans="1:16">
      <c r="A48" s="177"/>
      <c r="B48" s="171"/>
      <c r="C48" s="176"/>
      <c r="D48" s="171"/>
      <c r="E48" s="171"/>
      <c r="F48" s="171"/>
      <c r="G48" s="178"/>
      <c r="H48" s="171"/>
      <c r="I48" s="179"/>
      <c r="K48" s="136"/>
      <c r="M48" s="162"/>
    </row>
    <row r="49" spans="1:13">
      <c r="A49" s="177"/>
      <c r="B49" s="171"/>
      <c r="C49" s="176"/>
      <c r="D49" s="171"/>
      <c r="E49" s="171"/>
      <c r="F49" s="171"/>
      <c r="G49" s="178"/>
      <c r="H49" s="171"/>
      <c r="I49" s="179"/>
      <c r="K49" s="136"/>
      <c r="M49" s="162"/>
    </row>
    <row r="50" spans="1:13">
      <c r="A50" s="177"/>
      <c r="B50" s="171"/>
      <c r="C50" s="176"/>
      <c r="D50" s="171"/>
      <c r="E50" s="171"/>
      <c r="F50" s="171"/>
      <c r="G50" s="178"/>
      <c r="H50" s="171"/>
      <c r="I50" s="179"/>
      <c r="K50" s="136"/>
      <c r="M50" s="162"/>
    </row>
    <row r="51" spans="1:13">
      <c r="G51" s="178"/>
      <c r="H51" s="171"/>
      <c r="I51" s="179"/>
      <c r="K51" s="136"/>
      <c r="M51" s="162"/>
    </row>
    <row r="52" spans="1:13">
      <c r="G52" s="178"/>
      <c r="H52" s="171"/>
      <c r="I52" s="179"/>
      <c r="K52" s="184"/>
      <c r="M52" s="184"/>
    </row>
    <row r="53" spans="1:13">
      <c r="G53" s="178"/>
      <c r="H53" s="171"/>
      <c r="I53" s="179"/>
      <c r="K53" s="184"/>
      <c r="M53" s="184"/>
    </row>
    <row r="54" spans="1:13">
      <c r="G54" s="178"/>
      <c r="H54" s="171"/>
      <c r="I54" s="179"/>
      <c r="K54" s="184"/>
      <c r="M54" s="184"/>
    </row>
    <row r="55" spans="1:13">
      <c r="K55" s="162"/>
      <c r="M55" s="162"/>
    </row>
    <row r="57" spans="1:13">
      <c r="G57" s="178"/>
      <c r="K57" s="136"/>
      <c r="M57" s="136"/>
    </row>
    <row r="59" spans="1:13">
      <c r="M59" s="136"/>
    </row>
    <row r="60" spans="1:13">
      <c r="M60" s="136"/>
    </row>
    <row r="62" spans="1:13">
      <c r="K62" s="162"/>
      <c r="M62" s="162"/>
    </row>
  </sheetData>
  <mergeCells count="1">
    <mergeCell ref="A5:I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theme="6" tint="0.59999389629810485"/>
  </sheetPr>
  <dimension ref="A2:L43"/>
  <sheetViews>
    <sheetView workbookViewId="0">
      <selection activeCell="D36" sqref="D36"/>
    </sheetView>
  </sheetViews>
  <sheetFormatPr defaultRowHeight="12.5"/>
  <cols>
    <col min="1" max="1" width="4.453125" bestFit="1" customWidth="1"/>
    <col min="2" max="2" width="14.7265625" bestFit="1" customWidth="1"/>
    <col min="3" max="3" width="15" bestFit="1" customWidth="1"/>
    <col min="4" max="4" width="11.81640625" bestFit="1" customWidth="1"/>
    <col min="5" max="5" width="10.453125" bestFit="1" customWidth="1"/>
    <col min="6" max="6" width="11.81640625" bestFit="1" customWidth="1"/>
    <col min="7" max="7" width="12" bestFit="1" customWidth="1"/>
    <col min="8" max="8" width="16" bestFit="1" customWidth="1"/>
  </cols>
  <sheetData>
    <row r="2" spans="1:12">
      <c r="A2" s="263" t="s">
        <v>212</v>
      </c>
      <c r="B2" s="263"/>
      <c r="C2" s="263"/>
      <c r="D2" s="263"/>
      <c r="E2" s="197"/>
      <c r="F2" s="197"/>
      <c r="G2" s="197"/>
      <c r="H2" s="197"/>
      <c r="I2" s="197"/>
      <c r="J2" s="197"/>
      <c r="K2" s="197"/>
      <c r="L2" s="197"/>
    </row>
    <row r="3" spans="1:12">
      <c r="A3" s="263" t="s">
        <v>213</v>
      </c>
      <c r="B3" s="263"/>
      <c r="C3" s="263"/>
      <c r="D3" s="263"/>
      <c r="E3" s="258"/>
      <c r="F3" s="258"/>
      <c r="G3" s="258"/>
      <c r="H3" s="258"/>
      <c r="I3" s="258"/>
      <c r="J3" s="258"/>
      <c r="K3" s="258"/>
      <c r="L3" s="258"/>
    </row>
    <row r="4" spans="1:12">
      <c r="A4" s="263" t="s">
        <v>214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</row>
    <row r="5" spans="1:12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</row>
    <row r="6" spans="1:12">
      <c r="A6" s="197"/>
      <c r="B6" s="197"/>
      <c r="C6" s="197" t="s">
        <v>215</v>
      </c>
      <c r="D6" s="197"/>
      <c r="E6" s="197" t="s">
        <v>216</v>
      </c>
      <c r="F6" s="197" t="s">
        <v>176</v>
      </c>
      <c r="G6" s="197"/>
      <c r="H6" s="197" t="s">
        <v>217</v>
      </c>
      <c r="I6" s="197"/>
      <c r="J6" s="197"/>
      <c r="K6" s="197"/>
      <c r="L6" s="197"/>
    </row>
    <row r="7" spans="1:12">
      <c r="A7" s="197"/>
      <c r="B7" s="197"/>
      <c r="C7" s="197" t="s">
        <v>218</v>
      </c>
      <c r="D7" s="197" t="s">
        <v>219</v>
      </c>
      <c r="E7" s="197" t="s">
        <v>220</v>
      </c>
      <c r="F7" s="197" t="s">
        <v>178</v>
      </c>
      <c r="G7" s="197"/>
      <c r="H7" s="197" t="s">
        <v>178</v>
      </c>
      <c r="I7" s="197"/>
      <c r="J7" s="197"/>
      <c r="K7" s="197"/>
      <c r="L7" s="197"/>
    </row>
    <row r="8" spans="1:12">
      <c r="A8" s="197" t="s">
        <v>41</v>
      </c>
      <c r="B8" s="197"/>
      <c r="C8" s="197" t="s">
        <v>221</v>
      </c>
      <c r="D8" s="197" t="s">
        <v>222</v>
      </c>
      <c r="E8" s="197" t="s">
        <v>219</v>
      </c>
      <c r="F8" s="197" t="s">
        <v>220</v>
      </c>
      <c r="G8" s="197"/>
      <c r="H8" s="197" t="s">
        <v>220</v>
      </c>
      <c r="I8" s="197"/>
      <c r="J8" s="197"/>
      <c r="K8" s="197"/>
      <c r="L8" s="197"/>
    </row>
    <row r="9" spans="1:12">
      <c r="A9" s="197" t="s">
        <v>223</v>
      </c>
      <c r="B9" s="197" t="s">
        <v>43</v>
      </c>
      <c r="C9" s="197" t="s">
        <v>177</v>
      </c>
      <c r="D9" s="197" t="s">
        <v>4</v>
      </c>
      <c r="E9" s="197" t="s">
        <v>180</v>
      </c>
      <c r="F9" s="197" t="s">
        <v>224</v>
      </c>
      <c r="G9" s="197" t="s">
        <v>225</v>
      </c>
      <c r="H9" s="197" t="s">
        <v>224</v>
      </c>
      <c r="I9" s="197"/>
      <c r="J9" s="197"/>
      <c r="K9" s="197"/>
      <c r="L9" s="197"/>
    </row>
    <row r="10" spans="1:12">
      <c r="A10" s="159" t="s">
        <v>174</v>
      </c>
      <c r="B10" s="159" t="s">
        <v>234</v>
      </c>
      <c r="C10" s="159" t="s">
        <v>235</v>
      </c>
      <c r="D10" s="197" t="s">
        <v>226</v>
      </c>
      <c r="E10" s="197" t="s">
        <v>227</v>
      </c>
      <c r="F10" s="197" t="s">
        <v>228</v>
      </c>
      <c r="G10" s="197" t="s">
        <v>175</v>
      </c>
      <c r="H10" s="197" t="s">
        <v>229</v>
      </c>
      <c r="I10" s="197"/>
      <c r="J10" s="197"/>
      <c r="K10" s="197"/>
      <c r="L10" s="197"/>
    </row>
    <row r="11" spans="1:12">
      <c r="A11" s="197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</row>
    <row r="12" spans="1:12">
      <c r="A12" s="197">
        <v>1</v>
      </c>
      <c r="B12" s="197" t="s">
        <v>230</v>
      </c>
      <c r="C12" s="161">
        <v>953708559.56887507</v>
      </c>
      <c r="D12" s="160">
        <f>ROUND(C12/$C$18,5)</f>
        <v>0.52617000000000003</v>
      </c>
      <c r="E12" s="160">
        <v>4.9099999999999998E-2</v>
      </c>
      <c r="F12" s="160">
        <f>D12*E12</f>
        <v>2.5834947E-2</v>
      </c>
      <c r="G12" s="197">
        <v>1.0055233397049996</v>
      </c>
      <c r="H12" s="160">
        <f>F12*G12</f>
        <v>2.597764218854166E-2</v>
      </c>
      <c r="I12" s="197"/>
      <c r="J12" s="197"/>
      <c r="K12" s="197"/>
      <c r="L12" s="197"/>
    </row>
    <row r="13" spans="1:12">
      <c r="A13" s="197"/>
      <c r="B13" s="197"/>
      <c r="C13" s="161"/>
      <c r="D13" s="160"/>
      <c r="E13" s="160"/>
      <c r="F13" s="160"/>
      <c r="G13" s="197"/>
      <c r="H13" s="160"/>
      <c r="I13" s="197"/>
      <c r="J13" s="197"/>
      <c r="K13" s="197"/>
      <c r="L13" s="197"/>
    </row>
    <row r="14" spans="1:12">
      <c r="A14" s="197">
        <v>2</v>
      </c>
      <c r="B14" s="197" t="s">
        <v>231</v>
      </c>
      <c r="C14" s="161">
        <v>111251045.99650832</v>
      </c>
      <c r="D14" s="160">
        <f>ROUND(C14/$C$18,5)</f>
        <v>6.1379999999999997E-2</v>
      </c>
      <c r="E14" s="160">
        <v>3.73E-2</v>
      </c>
      <c r="F14" s="160">
        <f>D14*E14</f>
        <v>2.2894739999999997E-3</v>
      </c>
      <c r="G14" s="197">
        <v>1.0055233397049996</v>
      </c>
      <c r="H14" s="160">
        <f>F14*G14</f>
        <v>2.302119542647764E-3</v>
      </c>
      <c r="I14" s="197"/>
      <c r="J14" s="197"/>
      <c r="K14" s="197"/>
      <c r="L14" s="197"/>
    </row>
    <row r="15" spans="1:12">
      <c r="A15" s="197"/>
      <c r="B15" s="197"/>
      <c r="C15" s="161"/>
      <c r="D15" s="160"/>
      <c r="E15" s="160"/>
      <c r="F15" s="160"/>
      <c r="G15" s="197"/>
      <c r="H15" s="160"/>
      <c r="I15" s="197"/>
      <c r="J15" s="197"/>
      <c r="K15" s="197"/>
      <c r="L15" s="197"/>
    </row>
    <row r="16" spans="1:12">
      <c r="A16" s="197">
        <v>4</v>
      </c>
      <c r="B16" s="197" t="s">
        <v>232</v>
      </c>
      <c r="C16" s="161">
        <v>747579968.70261669</v>
      </c>
      <c r="D16" s="160">
        <f>ROUND(C16/$C$18,5)</f>
        <v>0.41244999999999998</v>
      </c>
      <c r="E16" s="160">
        <v>9.7500000000000003E-2</v>
      </c>
      <c r="F16" s="160">
        <f>D16*E16</f>
        <v>4.0213875000000003E-2</v>
      </c>
      <c r="G16" s="197">
        <v>1.3398970423112688</v>
      </c>
      <c r="H16" s="160">
        <f>F16*G16</f>
        <v>5.3882452172375077E-2</v>
      </c>
      <c r="I16" s="197"/>
      <c r="J16" s="197"/>
      <c r="K16" s="197"/>
      <c r="L16" s="197"/>
    </row>
    <row r="17" spans="1:12">
      <c r="A17" s="197"/>
      <c r="B17" s="197"/>
      <c r="C17" s="161" t="s">
        <v>233</v>
      </c>
      <c r="D17" s="160" t="s">
        <v>233</v>
      </c>
      <c r="E17" s="160"/>
      <c r="F17" s="160" t="s">
        <v>233</v>
      </c>
      <c r="G17" s="197"/>
      <c r="H17" s="160"/>
      <c r="I17" s="197"/>
      <c r="J17" s="197"/>
      <c r="K17" s="197"/>
      <c r="L17" s="197"/>
    </row>
    <row r="18" spans="1:12">
      <c r="A18" s="197">
        <v>5</v>
      </c>
      <c r="B18" s="197" t="s">
        <v>4</v>
      </c>
      <c r="C18" s="161">
        <v>1812539574.2680001</v>
      </c>
      <c r="D18" s="160">
        <f>SUM(D12:D17)</f>
        <v>1</v>
      </c>
      <c r="E18" s="197"/>
      <c r="F18" s="160">
        <f>SUM(F12:F17)</f>
        <v>6.8338296000000007E-2</v>
      </c>
      <c r="G18" s="197"/>
      <c r="H18" s="160">
        <f>SUM(H12:H17)</f>
        <v>8.2162213903564499E-2</v>
      </c>
      <c r="I18" s="197"/>
      <c r="J18" s="197"/>
      <c r="K18" s="197"/>
      <c r="L18" s="197"/>
    </row>
    <row r="19" spans="1:12">
      <c r="A19" s="197"/>
      <c r="B19" s="197"/>
      <c r="C19" s="161"/>
      <c r="D19" s="197"/>
      <c r="E19" s="197"/>
      <c r="F19" s="160"/>
      <c r="G19" s="197"/>
      <c r="H19" s="197"/>
      <c r="I19" s="197"/>
      <c r="J19" s="197"/>
      <c r="K19" s="197"/>
      <c r="L19" s="197"/>
    </row>
    <row r="20" spans="1:12">
      <c r="A20" s="197"/>
      <c r="B20" s="197"/>
      <c r="C20" s="161"/>
      <c r="D20" s="197"/>
      <c r="E20" s="197"/>
      <c r="F20" s="197"/>
      <c r="G20" s="197"/>
      <c r="H20" s="197"/>
      <c r="I20" s="197"/>
      <c r="J20" s="197"/>
      <c r="K20" s="197"/>
      <c r="L20" s="197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</sheetData>
  <mergeCells count="7">
    <mergeCell ref="A2:D2"/>
    <mergeCell ref="A3:D3"/>
    <mergeCell ref="E3:H3"/>
    <mergeCell ref="I3:L3"/>
    <mergeCell ref="A4:D4"/>
    <mergeCell ref="E4:H4"/>
    <mergeCell ref="I4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56F09-B838-4D10-B778-9AB7168B8F4F}">
  <sheetPr codeName="Sheet6"/>
  <dimension ref="A1:AK70"/>
  <sheetViews>
    <sheetView showGridLines="0" zoomScale="85" zoomScaleNormal="85" zoomScaleSheetLayoutView="85" workbookViewId="0">
      <pane xSplit="1" ySplit="3" topLeftCell="B4" activePane="bottomRight" state="frozen"/>
      <selection activeCell="Y34" sqref="Y34"/>
      <selection pane="topRight" activeCell="Y34" sqref="Y34"/>
      <selection pane="bottomLeft" activeCell="Y34" sqref="Y34"/>
      <selection pane="bottomRight" activeCell="A2" sqref="A2"/>
    </sheetView>
  </sheetViews>
  <sheetFormatPr defaultColWidth="9.1796875" defaultRowHeight="12.5"/>
  <cols>
    <col min="1" max="1" width="63" style="54" customWidth="1"/>
    <col min="2" max="2" width="14.54296875" style="54" customWidth="1"/>
    <col min="3" max="3" width="17.1796875" style="60" bestFit="1" customWidth="1"/>
    <col min="4" max="12" width="19" style="54" bestFit="1" customWidth="1"/>
    <col min="13" max="21" width="19" style="60" bestFit="1" customWidth="1"/>
    <col min="22" max="22" width="19" style="60" customWidth="1"/>
    <col min="23" max="24" width="19" style="60" bestFit="1" customWidth="1"/>
    <col min="25" max="37" width="13.1796875" style="54" bestFit="1" customWidth="1"/>
    <col min="38" max="16384" width="9.1796875" style="54"/>
  </cols>
  <sheetData>
    <row r="1" spans="1:37" ht="25">
      <c r="A1" s="264" t="s">
        <v>341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</row>
    <row r="2" spans="1:37" ht="13">
      <c r="B2" s="15"/>
      <c r="C2" s="15" t="s">
        <v>16</v>
      </c>
      <c r="D2" s="15" t="s">
        <v>17</v>
      </c>
      <c r="E2" s="15" t="s">
        <v>18</v>
      </c>
      <c r="F2" s="15" t="s">
        <v>19</v>
      </c>
      <c r="G2" s="15" t="s">
        <v>20</v>
      </c>
      <c r="H2" s="15" t="s">
        <v>21</v>
      </c>
      <c r="I2" s="15" t="s">
        <v>22</v>
      </c>
      <c r="J2" s="15" t="s">
        <v>23</v>
      </c>
      <c r="K2" s="15" t="s">
        <v>24</v>
      </c>
      <c r="L2" s="15" t="s">
        <v>25</v>
      </c>
      <c r="M2" s="15" t="s">
        <v>26</v>
      </c>
      <c r="N2" s="15" t="s">
        <v>27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s="55" customFormat="1" ht="31">
      <c r="A3" s="16" t="s">
        <v>135</v>
      </c>
      <c r="B3" s="16" t="s">
        <v>37</v>
      </c>
      <c r="C3" s="17">
        <f>Input!B46</f>
        <v>2029</v>
      </c>
      <c r="D3" s="17">
        <f t="shared" ref="D3:N3" si="0">+C3+1</f>
        <v>2030</v>
      </c>
      <c r="E3" s="17">
        <f t="shared" si="0"/>
        <v>2031</v>
      </c>
      <c r="F3" s="17">
        <f t="shared" si="0"/>
        <v>2032</v>
      </c>
      <c r="G3" s="17">
        <f t="shared" si="0"/>
        <v>2033</v>
      </c>
      <c r="H3" s="17">
        <f t="shared" si="0"/>
        <v>2034</v>
      </c>
      <c r="I3" s="17">
        <f t="shared" si="0"/>
        <v>2035</v>
      </c>
      <c r="J3" s="17">
        <f t="shared" si="0"/>
        <v>2036</v>
      </c>
      <c r="K3" s="17">
        <f t="shared" si="0"/>
        <v>2037</v>
      </c>
      <c r="L3" s="17">
        <f t="shared" si="0"/>
        <v>2038</v>
      </c>
      <c r="M3" s="17">
        <f t="shared" si="0"/>
        <v>2039</v>
      </c>
      <c r="N3" s="17">
        <f t="shared" si="0"/>
        <v>2040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13">
      <c r="A4" s="56" t="s">
        <v>3</v>
      </c>
      <c r="B4" s="56"/>
      <c r="C4" s="95">
        <f>Input!B49/1000</f>
        <v>18455.284279408384</v>
      </c>
      <c r="D4" s="95">
        <f>Input!C49/1000</f>
        <v>24552.682877738014</v>
      </c>
      <c r="E4" s="95">
        <f>Input!D49/1000</f>
        <v>19067.787485247842</v>
      </c>
      <c r="F4" s="95">
        <f>Input!E49/1000</f>
        <v>21685.281180520811</v>
      </c>
      <c r="G4" s="95">
        <f>Input!F49/1000</f>
        <v>21896.525279703095</v>
      </c>
      <c r="H4" s="95">
        <f>Input!G49/1000</f>
        <v>22360.673253376863</v>
      </c>
      <c r="I4" s="95">
        <f>Input!H49/1000</f>
        <v>22435.171006862805</v>
      </c>
      <c r="J4" s="95">
        <f>Input!I49/1000</f>
        <v>14768.359546333359</v>
      </c>
      <c r="K4" s="95">
        <f>Input!J49/1000</f>
        <v>12732.938375708518</v>
      </c>
      <c r="L4" s="95">
        <f>Input!K49/1000</f>
        <v>11816.006627326838</v>
      </c>
      <c r="M4" s="95">
        <f>Input!L49/1000</f>
        <v>5308.5607759128734</v>
      </c>
      <c r="N4" s="95">
        <f>Input!M49/1000</f>
        <v>0</v>
      </c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</row>
    <row r="5" spans="1:37" ht="13">
      <c r="A5" s="58" t="s">
        <v>134</v>
      </c>
      <c r="B5" s="35">
        <f>Input!E9/1000</f>
        <v>617359.97227650008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</row>
    <row r="6" spans="1:37" ht="13">
      <c r="A6" s="19" t="s">
        <v>14</v>
      </c>
      <c r="B6" s="94">
        <f>B5</f>
        <v>617359.97227650008</v>
      </c>
      <c r="C6" s="94">
        <f t="shared" ref="C6:N6" si="1">B6+C4</f>
        <v>635815.25655590848</v>
      </c>
      <c r="D6" s="94">
        <f t="shared" si="1"/>
        <v>660367.9394336465</v>
      </c>
      <c r="E6" s="94">
        <f t="shared" si="1"/>
        <v>679435.72691889433</v>
      </c>
      <c r="F6" s="94">
        <f t="shared" si="1"/>
        <v>701121.00809941511</v>
      </c>
      <c r="G6" s="94">
        <f t="shared" si="1"/>
        <v>723017.53337911819</v>
      </c>
      <c r="H6" s="94">
        <f t="shared" si="1"/>
        <v>745378.20663249504</v>
      </c>
      <c r="I6" s="94">
        <f t="shared" si="1"/>
        <v>767813.37763935782</v>
      </c>
      <c r="J6" s="94">
        <f t="shared" si="1"/>
        <v>782581.73718569113</v>
      </c>
      <c r="K6" s="94">
        <f t="shared" si="1"/>
        <v>795314.67556139966</v>
      </c>
      <c r="L6" s="94">
        <f t="shared" si="1"/>
        <v>807130.6821887265</v>
      </c>
      <c r="M6" s="94">
        <f t="shared" si="1"/>
        <v>812439.24296463933</v>
      </c>
      <c r="N6" s="94">
        <f t="shared" si="1"/>
        <v>812439.24296463933</v>
      </c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</row>
    <row r="7" spans="1:37" ht="13">
      <c r="A7" s="1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</row>
    <row r="8" spans="1:37" ht="13">
      <c r="A8" s="19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</row>
    <row r="9" spans="1:37" s="61" customFormat="1" ht="13">
      <c r="A9" s="20" t="s">
        <v>163</v>
      </c>
      <c r="B9" s="20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</row>
    <row r="10" spans="1:37" s="65" customFormat="1">
      <c r="A10" s="62" t="s">
        <v>14</v>
      </c>
      <c r="B10" s="63"/>
      <c r="C10" s="64">
        <f>C6</f>
        <v>635815.25655590848</v>
      </c>
      <c r="D10" s="64">
        <f t="shared" ref="D10:I10" si="2">D6</f>
        <v>660367.9394336465</v>
      </c>
      <c r="E10" s="64">
        <f t="shared" si="2"/>
        <v>679435.72691889433</v>
      </c>
      <c r="F10" s="64">
        <f t="shared" si="2"/>
        <v>701121.00809941511</v>
      </c>
      <c r="G10" s="64">
        <f t="shared" si="2"/>
        <v>723017.53337911819</v>
      </c>
      <c r="H10" s="64">
        <f t="shared" si="2"/>
        <v>745378.20663249504</v>
      </c>
      <c r="I10" s="64">
        <f t="shared" si="2"/>
        <v>767813.37763935782</v>
      </c>
      <c r="J10" s="64">
        <f t="shared" ref="J10:N10" si="3">J6</f>
        <v>782581.73718569113</v>
      </c>
      <c r="K10" s="64">
        <f t="shared" si="3"/>
        <v>795314.67556139966</v>
      </c>
      <c r="L10" s="64">
        <f t="shared" si="3"/>
        <v>807130.6821887265</v>
      </c>
      <c r="M10" s="64">
        <f t="shared" si="3"/>
        <v>812439.24296463933</v>
      </c>
      <c r="N10" s="64">
        <f t="shared" si="3"/>
        <v>812439.24296463933</v>
      </c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</row>
    <row r="11" spans="1:37" s="65" customFormat="1" ht="12" customHeight="1">
      <c r="A11" s="62" t="s">
        <v>187</v>
      </c>
      <c r="B11" s="63"/>
      <c r="C11" s="64">
        <f>C20</f>
        <v>52984.604712992368</v>
      </c>
      <c r="D11" s="64">
        <f t="shared" ref="D11:I11" si="4">D20</f>
        <v>108015.26633246291</v>
      </c>
      <c r="E11" s="64">
        <f t="shared" si="4"/>
        <v>164634.91024237077</v>
      </c>
      <c r="F11" s="64">
        <f t="shared" si="4"/>
        <v>223061.66091732203</v>
      </c>
      <c r="G11" s="64">
        <f t="shared" si="4"/>
        <v>283313.12203224853</v>
      </c>
      <c r="H11" s="64">
        <f t="shared" si="4"/>
        <v>345427.97258495644</v>
      </c>
      <c r="I11" s="64">
        <f t="shared" si="4"/>
        <v>409412.42072156956</v>
      </c>
      <c r="J11" s="64">
        <f t="shared" ref="J11:N11" si="5">J20</f>
        <v>474627.56548704382</v>
      </c>
      <c r="K11" s="64">
        <f t="shared" si="5"/>
        <v>540903.78845049383</v>
      </c>
      <c r="L11" s="64">
        <f t="shared" si="5"/>
        <v>632619.07588103751</v>
      </c>
      <c r="M11" s="64">
        <f t="shared" si="5"/>
        <v>724334.3633115812</v>
      </c>
      <c r="N11" s="64">
        <f t="shared" si="5"/>
        <v>816049.65074212488</v>
      </c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</row>
    <row r="12" spans="1:37" s="65" customFormat="1">
      <c r="A12" s="62" t="s">
        <v>15</v>
      </c>
      <c r="B12" s="66"/>
      <c r="C12" s="64">
        <f t="shared" ref="C12:I12" si="6">C64+C68</f>
        <v>-5813.3379702132042</v>
      </c>
      <c r="D12" s="64">
        <f t="shared" si="6"/>
        <v>-7451.2072096441307</v>
      </c>
      <c r="E12" s="64">
        <f t="shared" si="6"/>
        <v>-9780.9602194782947</v>
      </c>
      <c r="F12" s="64">
        <f t="shared" si="6"/>
        <v>-12837.760980415209</v>
      </c>
      <c r="G12" s="64">
        <f t="shared" si="6"/>
        <v>-16578.325533499541</v>
      </c>
      <c r="H12" s="64">
        <f t="shared" si="6"/>
        <v>-20979.860306265451</v>
      </c>
      <c r="I12" s="64">
        <f t="shared" si="6"/>
        <v>-26019.240529267372</v>
      </c>
      <c r="J12" s="64">
        <f t="shared" ref="J12:N12" si="7">J64+J68</f>
        <v>-31714.908071843591</v>
      </c>
      <c r="K12" s="64">
        <f t="shared" si="7"/>
        <v>-37816.718683987841</v>
      </c>
      <c r="L12" s="64">
        <f t="shared" si="7"/>
        <v>-49090.348451904865</v>
      </c>
      <c r="M12" s="64">
        <f t="shared" si="7"/>
        <v>-60438.073086944438</v>
      </c>
      <c r="N12" s="64">
        <f t="shared" si="7"/>
        <v>-71842.501748803334</v>
      </c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</row>
    <row r="13" spans="1:37" s="65" customFormat="1" ht="12" customHeight="1">
      <c r="A13" s="62" t="s">
        <v>157</v>
      </c>
      <c r="B13" s="66"/>
      <c r="C13" s="64">
        <f>C66</f>
        <v>-1458.9708292257797</v>
      </c>
      <c r="D13" s="64">
        <f t="shared" ref="D13:I13" si="8">D66</f>
        <v>-1870.0261393866469</v>
      </c>
      <c r="E13" s="64">
        <f t="shared" si="8"/>
        <v>-2454.7232098245363</v>
      </c>
      <c r="F13" s="64">
        <f t="shared" si="8"/>
        <v>-3221.8871290415987</v>
      </c>
      <c r="G13" s="64">
        <f t="shared" si="8"/>
        <v>-4160.6549412260774</v>
      </c>
      <c r="H13" s="64">
        <f t="shared" si="8"/>
        <v>-5265.3061536951282</v>
      </c>
      <c r="I13" s="64">
        <f t="shared" si="8"/>
        <v>-6530.0371534080969</v>
      </c>
      <c r="J13" s="64">
        <f t="shared" ref="J13:N13" si="9">J66</f>
        <v>-7959.4762880610624</v>
      </c>
      <c r="K13" s="64">
        <f t="shared" si="9"/>
        <v>-9490.8449671561575</v>
      </c>
      <c r="L13" s="64">
        <f t="shared" si="9"/>
        <v>-12320.182785662366</v>
      </c>
      <c r="M13" s="64">
        <f t="shared" si="9"/>
        <v>-15168.116159816818</v>
      </c>
      <c r="N13" s="64">
        <f t="shared" si="9"/>
        <v>-18030.280518210089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</row>
    <row r="14" spans="1:37" s="61" customFormat="1">
      <c r="A14" s="55" t="s">
        <v>10</v>
      </c>
      <c r="B14" s="43"/>
      <c r="C14" s="43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</row>
    <row r="15" spans="1:37" s="61" customFormat="1">
      <c r="A15" s="55"/>
      <c r="B15" s="43"/>
      <c r="C15" s="43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</row>
    <row r="16" spans="1:37" s="25" customFormat="1" ht="18">
      <c r="A16" s="138" t="s">
        <v>39</v>
      </c>
      <c r="B16" s="139"/>
      <c r="C16" s="139">
        <f>C10-C11-C12-C13+C14</f>
        <v>590102.96064235503</v>
      </c>
      <c r="D16" s="139">
        <f t="shared" ref="D16:I16" si="10">D10-D11-D12-D13+D14</f>
        <v>561673.90645021445</v>
      </c>
      <c r="E16" s="139">
        <f t="shared" si="10"/>
        <v>527036.50010582642</v>
      </c>
      <c r="F16" s="139">
        <f t="shared" si="10"/>
        <v>494118.99529154989</v>
      </c>
      <c r="G16" s="139">
        <f t="shared" si="10"/>
        <v>460443.39182159526</v>
      </c>
      <c r="H16" s="139">
        <f>H10-H11-H12-H13+H14</f>
        <v>426195.40050749923</v>
      </c>
      <c r="I16" s="139">
        <f t="shared" si="10"/>
        <v>390950.23460046371</v>
      </c>
      <c r="J16" s="139">
        <f t="shared" ref="J16:N16" si="11">J10-J11-J12-J13+J14</f>
        <v>347628.556058552</v>
      </c>
      <c r="K16" s="139">
        <f t="shared" si="11"/>
        <v>301718.45076204988</v>
      </c>
      <c r="L16" s="139">
        <f t="shared" si="11"/>
        <v>235922.13754525621</v>
      </c>
      <c r="M16" s="139">
        <f>M10-M11-M12-M13+M14</f>
        <v>163711.06889981939</v>
      </c>
      <c r="N16" s="139">
        <f t="shared" si="11"/>
        <v>86262.374489527865</v>
      </c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</row>
    <row r="17" spans="1:37" s="61" customFormat="1" ht="19.5" customHeight="1">
      <c r="A17" s="55"/>
      <c r="B17" s="43"/>
      <c r="C17" s="43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</row>
    <row r="18" spans="1:37" s="61" customFormat="1" ht="13">
      <c r="A18" s="21" t="s">
        <v>110</v>
      </c>
      <c r="C18" s="70"/>
      <c r="D18" s="7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</row>
    <row r="19" spans="1:37" s="61" customFormat="1" ht="16.5" customHeight="1">
      <c r="A19" s="65" t="s">
        <v>185</v>
      </c>
      <c r="B19" s="135">
        <f>Input!B22</f>
        <v>8.3333333333333329E-2</v>
      </c>
      <c r="C19" s="71">
        <f>IF(C3-$C$3&lt;Input!$B$21,C6*$B$19,0)</f>
        <v>52984.604712992368</v>
      </c>
      <c r="D19" s="71">
        <f>IF(D3-$C$3&lt;Input!$B$21,D6*$B$19,0)</f>
        <v>55030.661619470542</v>
      </c>
      <c r="E19" s="71">
        <f>IF(E3-$C$3&lt;Input!$B$21,E6*$B$19,0)</f>
        <v>56619.643909907856</v>
      </c>
      <c r="F19" s="71">
        <f>IF(F3-$C$3&lt;Input!$B$21,F6*$B$19,0)</f>
        <v>58426.750674951254</v>
      </c>
      <c r="G19" s="71">
        <f>IF(G3-$C$3&lt;Input!$B$21,G6*$B$19,0)</f>
        <v>60251.461114926511</v>
      </c>
      <c r="H19" s="71">
        <f>IF(H3-$C$3&lt;Input!$B$21,H6*$B$19,0)</f>
        <v>62114.850552707918</v>
      </c>
      <c r="I19" s="71">
        <f>IF(I3-$C$3&lt;Input!$B$21,I6*$B$19,0)</f>
        <v>63984.448136613151</v>
      </c>
      <c r="J19" s="71">
        <f>IF(J3-$C$3&lt;Input!$B$21,J6*$B$19,0)</f>
        <v>65215.144765474259</v>
      </c>
      <c r="K19" s="71">
        <f>IF(K3-$C$3&lt;Input!$B$21,K6*$B$19,0)</f>
        <v>66276.222963449967</v>
      </c>
      <c r="L19" s="234">
        <v>91715.287430543714</v>
      </c>
      <c r="M19" s="71">
        <f>L19</f>
        <v>91715.287430543714</v>
      </c>
      <c r="N19" s="71">
        <f>M19</f>
        <v>91715.287430543714</v>
      </c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</row>
    <row r="20" spans="1:37" s="61" customFormat="1">
      <c r="A20" s="65" t="s">
        <v>186</v>
      </c>
      <c r="B20" s="135"/>
      <c r="C20" s="71">
        <f>C19</f>
        <v>52984.604712992368</v>
      </c>
      <c r="D20" s="69">
        <f t="shared" ref="D20:N20" si="12">C20+D19</f>
        <v>108015.26633246291</v>
      </c>
      <c r="E20" s="69">
        <f t="shared" si="12"/>
        <v>164634.91024237077</v>
      </c>
      <c r="F20" s="69">
        <f t="shared" si="12"/>
        <v>223061.66091732203</v>
      </c>
      <c r="G20" s="69">
        <f t="shared" si="12"/>
        <v>283313.12203224853</v>
      </c>
      <c r="H20" s="69">
        <f t="shared" si="12"/>
        <v>345427.97258495644</v>
      </c>
      <c r="I20" s="69">
        <f t="shared" si="12"/>
        <v>409412.42072156956</v>
      </c>
      <c r="J20" s="69">
        <f t="shared" si="12"/>
        <v>474627.56548704382</v>
      </c>
      <c r="K20" s="69">
        <f t="shared" si="12"/>
        <v>540903.78845049383</v>
      </c>
      <c r="L20" s="69">
        <f t="shared" si="12"/>
        <v>632619.07588103751</v>
      </c>
      <c r="M20" s="69">
        <f t="shared" si="12"/>
        <v>724334.3633115812</v>
      </c>
      <c r="N20" s="69">
        <f t="shared" si="12"/>
        <v>816049.65074212488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</row>
    <row r="21" spans="1:37"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AK21" s="60"/>
    </row>
    <row r="22" spans="1:37" s="44" customFormat="1" ht="13">
      <c r="A22" s="65"/>
      <c r="B22" s="23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</row>
    <row r="23" spans="1:37" s="44" customFormat="1" ht="13">
      <c r="A23" s="22" t="s">
        <v>2</v>
      </c>
      <c r="B23" s="24"/>
      <c r="C23" s="72"/>
      <c r="D23" s="68"/>
    </row>
    <row r="24" spans="1:37" s="44" customFormat="1">
      <c r="A24" s="65" t="s">
        <v>132</v>
      </c>
      <c r="B24" s="43"/>
      <c r="C24" s="43">
        <f t="shared" ref="C24:I24" si="13">C4</f>
        <v>18455.284279408384</v>
      </c>
      <c r="D24" s="43">
        <f>D4</f>
        <v>24552.682877738014</v>
      </c>
      <c r="E24" s="43">
        <f t="shared" si="13"/>
        <v>19067.787485247842</v>
      </c>
      <c r="F24" s="43">
        <f t="shared" si="13"/>
        <v>21685.281180520811</v>
      </c>
      <c r="G24" s="43">
        <f t="shared" si="13"/>
        <v>21896.525279703095</v>
      </c>
      <c r="H24" s="43">
        <f t="shared" si="13"/>
        <v>22360.673253376863</v>
      </c>
      <c r="I24" s="43">
        <f t="shared" si="13"/>
        <v>22435.171006862805</v>
      </c>
      <c r="J24" s="43">
        <f t="shared" ref="J24:N24" si="14">J4</f>
        <v>14768.359546333359</v>
      </c>
      <c r="K24" s="43">
        <f t="shared" si="14"/>
        <v>12732.938375708518</v>
      </c>
      <c r="L24" s="43">
        <f t="shared" si="14"/>
        <v>11816.006627326838</v>
      </c>
      <c r="M24" s="43">
        <f t="shared" si="14"/>
        <v>5308.5607759128734</v>
      </c>
      <c r="N24" s="43">
        <f t="shared" si="14"/>
        <v>0</v>
      </c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</row>
    <row r="25" spans="1:37" s="44" customFormat="1">
      <c r="A25" s="65" t="s">
        <v>133</v>
      </c>
      <c r="B25" s="43"/>
      <c r="C25" s="43">
        <f>B6</f>
        <v>617359.97227650008</v>
      </c>
      <c r="D25" s="43">
        <f>IF(D26=1,$B$5,0)</f>
        <v>0</v>
      </c>
      <c r="E25" s="43">
        <f>IF(E26=1,$B$5,0)</f>
        <v>0</v>
      </c>
      <c r="F25" s="43">
        <f>IF(F26=1,$B$5,0)</f>
        <v>0</v>
      </c>
      <c r="G25" s="43">
        <f>IF(G26=1,$B$5,0)</f>
        <v>0</v>
      </c>
      <c r="H25" s="43">
        <f t="shared" ref="H25:N25" si="15">IF(H26=1,$B$5,0)</f>
        <v>0</v>
      </c>
      <c r="I25" s="43">
        <f t="shared" si="15"/>
        <v>0</v>
      </c>
      <c r="J25" s="43">
        <f t="shared" si="15"/>
        <v>0</v>
      </c>
      <c r="K25" s="43">
        <f t="shared" si="15"/>
        <v>0</v>
      </c>
      <c r="L25" s="43">
        <f t="shared" si="15"/>
        <v>0</v>
      </c>
      <c r="M25" s="43">
        <f t="shared" si="15"/>
        <v>0</v>
      </c>
      <c r="N25" s="43">
        <f t="shared" si="15"/>
        <v>0</v>
      </c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</row>
    <row r="26" spans="1:37" s="44" customFormat="1">
      <c r="A26" s="73" t="s">
        <v>11</v>
      </c>
      <c r="B26" s="73"/>
      <c r="C26" s="73">
        <v>1</v>
      </c>
      <c r="D26" s="73">
        <v>2</v>
      </c>
      <c r="E26" s="73">
        <v>3</v>
      </c>
      <c r="F26" s="73">
        <v>4</v>
      </c>
      <c r="G26" s="73">
        <v>5</v>
      </c>
      <c r="H26" s="73">
        <v>6</v>
      </c>
      <c r="I26" s="73">
        <v>7</v>
      </c>
      <c r="J26" s="73">
        <v>8</v>
      </c>
      <c r="K26" s="73">
        <v>9</v>
      </c>
      <c r="L26" s="73">
        <v>10</v>
      </c>
      <c r="M26" s="73">
        <v>11</v>
      </c>
      <c r="N26" s="73">
        <v>12</v>
      </c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</row>
    <row r="27" spans="1:37" s="44" customFormat="1">
      <c r="A27" s="73" t="s">
        <v>1</v>
      </c>
      <c r="B27" s="122" t="str">
        <f>Input!B33</f>
        <v>20  YR MACRS</v>
      </c>
      <c r="C27" s="123" cm="1">
        <f t="array" ref="C27">_xlfn.XLOOKUP($B$27,MACRS!$B$1:$G$1,_xlfn.XLOOKUP('Rate Base - coal'!C26,MACRS!$A$2:$A$22,MACRS!$B$2:$G$22))</f>
        <v>3.7499999999999999E-2</v>
      </c>
      <c r="D27" s="123" cm="1">
        <f t="array" ref="D27">_xlfn.XLOOKUP($B$27,MACRS!$B$1:$G$1,_xlfn.XLOOKUP('Rate Base - coal'!D26,MACRS!$A$2:$A$22,MACRS!$B$2:$G$22))</f>
        <v>7.2190000000000004E-2</v>
      </c>
      <c r="E27" s="123" cm="1">
        <f t="array" ref="E27">_xlfn.XLOOKUP($B$27,MACRS!$B$1:$G$1,_xlfn.XLOOKUP('Rate Base - coal'!E26,MACRS!$A$2:$A$22,MACRS!$B$2:$G$22))</f>
        <v>6.6769999999999996E-2</v>
      </c>
      <c r="F27" s="123" cm="1">
        <f t="array" ref="F27">_xlfn.XLOOKUP($B$27,MACRS!$B$1:$G$1,_xlfn.XLOOKUP('Rate Base - coal'!F26,MACRS!$A$2:$A$22,MACRS!$B$2:$G$22))</f>
        <v>6.1769999999999999E-2</v>
      </c>
      <c r="G27" s="123" cm="1">
        <f t="array" ref="G27">_xlfn.XLOOKUP($B$27,MACRS!$B$1:$G$1,_xlfn.XLOOKUP('Rate Base - coal'!G26,MACRS!$A$2:$A$22,MACRS!$B$2:$G$22))</f>
        <v>5.713E-2</v>
      </c>
      <c r="H27" s="123" cm="1">
        <f t="array" ref="H27">_xlfn.XLOOKUP($B$27,MACRS!$B$1:$G$1,_xlfn.XLOOKUP('Rate Base - coal'!H26,MACRS!$A$2:$A$22,MACRS!$B$2:$G$22))</f>
        <v>5.2850000000000001E-2</v>
      </c>
      <c r="I27" s="123" cm="1">
        <f t="array" ref="I27">_xlfn.XLOOKUP($B$27,MACRS!$B$1:$G$1,_xlfn.XLOOKUP('Rate Base - coal'!I26,MACRS!$A$2:$A$22,MACRS!$B$2:$G$22))</f>
        <v>4.888E-2</v>
      </c>
      <c r="J27" s="123" cm="1">
        <f t="array" ref="J27">_xlfn.XLOOKUP($B$27,MACRS!$B$1:$G$1,_xlfn.XLOOKUP('Rate Base - coal'!J26,MACRS!$A$2:$A$22,MACRS!$B$2:$G$22))</f>
        <v>4.5220000000000003E-2</v>
      </c>
      <c r="K27" s="123" cm="1">
        <f t="array" ref="K27">_xlfn.XLOOKUP($B$27,MACRS!$B$1:$G$1,_xlfn.XLOOKUP('Rate Base - coal'!K26,MACRS!$A$2:$A$22,MACRS!$B$2:$G$22))</f>
        <v>4.462E-2</v>
      </c>
      <c r="L27" s="123" cm="1">
        <f t="array" ref="L27">_xlfn.XLOOKUP($B$27,MACRS!$B$1:$G$1,_xlfn.XLOOKUP('Rate Base - coal'!L26,MACRS!$A$2:$A$22,MACRS!$B$2:$G$22))</f>
        <v>4.4609999999999997E-2</v>
      </c>
      <c r="M27" s="123" cm="1">
        <f t="array" ref="M27">_xlfn.XLOOKUP($B$27,MACRS!$B$1:$G$1,_xlfn.XLOOKUP('Rate Base - coal'!M26,MACRS!$A$2:$A$22,MACRS!$B$2:$G$22))</f>
        <v>4.462E-2</v>
      </c>
      <c r="N27" s="233" cm="1">
        <f t="array" ref="N27">_xlfn.XLOOKUP($B$27,MACRS!$B$1:$G$1,_xlfn.XLOOKUP('Rate Base - coal'!N26,MACRS!$A$2:$A$22,MACRS!$B$2:$G$22))</f>
        <v>4.4609999999999997E-2</v>
      </c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</row>
    <row r="28" spans="1:37" s="44" customFormat="1">
      <c r="A28" s="73" t="s">
        <v>71</v>
      </c>
      <c r="B28" s="73"/>
      <c r="C28" s="69">
        <f>($C$25+$C$24)*C$27</f>
        <v>23843.072120846566</v>
      </c>
      <c r="D28" s="69">
        <f t="shared" ref="D28:N28" si="16">($C$25+$C$24)*D$27</f>
        <v>45899.503370771039</v>
      </c>
      <c r="E28" s="69">
        <f t="shared" si="16"/>
        <v>42453.384680238007</v>
      </c>
      <c r="F28" s="69">
        <f t="shared" si="16"/>
        <v>39274.308397458466</v>
      </c>
      <c r="G28" s="69">
        <f t="shared" si="16"/>
        <v>36324.125607039052</v>
      </c>
      <c r="H28" s="69">
        <f t="shared" si="16"/>
        <v>33602.836308979764</v>
      </c>
      <c r="I28" s="69">
        <f t="shared" si="16"/>
        <v>31078.649740452805</v>
      </c>
      <c r="J28" s="69">
        <f t="shared" si="16"/>
        <v>28751.565901458183</v>
      </c>
      <c r="K28" s="69">
        <f t="shared" si="16"/>
        <v>28370.076747524636</v>
      </c>
      <c r="L28" s="69">
        <f t="shared" si="16"/>
        <v>28363.718594959075</v>
      </c>
      <c r="M28" s="69">
        <f t="shared" si="16"/>
        <v>28370.076747524636</v>
      </c>
      <c r="N28" s="69">
        <f t="shared" si="16"/>
        <v>28363.718594959075</v>
      </c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</row>
    <row r="29" spans="1:37" s="44" customFormat="1">
      <c r="A29" s="73" t="s">
        <v>72</v>
      </c>
      <c r="B29" s="73"/>
      <c r="C29" s="65"/>
      <c r="D29" s="69">
        <f t="shared" ref="D29:N29" si="17">($D$24*C$27)</f>
        <v>920.72560791517549</v>
      </c>
      <c r="E29" s="69">
        <f t="shared" si="17"/>
        <v>1772.4581769439073</v>
      </c>
      <c r="F29" s="69">
        <f t="shared" si="17"/>
        <v>1639.3826357465671</v>
      </c>
      <c r="G29" s="69">
        <f t="shared" si="17"/>
        <v>1516.619221357877</v>
      </c>
      <c r="H29" s="69">
        <f t="shared" si="17"/>
        <v>1402.6947728051728</v>
      </c>
      <c r="I29" s="69">
        <f t="shared" si="17"/>
        <v>1297.6092900884541</v>
      </c>
      <c r="J29" s="69">
        <f t="shared" si="17"/>
        <v>1200.1351390638342</v>
      </c>
      <c r="K29" s="69">
        <f t="shared" si="17"/>
        <v>1110.272319731313</v>
      </c>
      <c r="L29" s="69">
        <f t="shared" si="17"/>
        <v>1095.5407100046702</v>
      </c>
      <c r="M29" s="69">
        <f t="shared" si="17"/>
        <v>1095.2951831758928</v>
      </c>
      <c r="N29" s="69">
        <f t="shared" si="17"/>
        <v>1095.5407100046702</v>
      </c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</row>
    <row r="30" spans="1:37" s="44" customFormat="1">
      <c r="A30" s="73" t="s">
        <v>73</v>
      </c>
      <c r="B30" s="73"/>
      <c r="C30" s="65"/>
      <c r="D30" s="74"/>
      <c r="E30" s="69">
        <f t="shared" ref="E30:N30" si="18">$E$24*C27</f>
        <v>715.04203069679409</v>
      </c>
      <c r="F30" s="69">
        <f t="shared" si="18"/>
        <v>1376.5035785600417</v>
      </c>
      <c r="G30" s="69">
        <f t="shared" si="18"/>
        <v>1273.1561703899984</v>
      </c>
      <c r="H30" s="69">
        <f t="shared" si="18"/>
        <v>1177.8172329637591</v>
      </c>
      <c r="I30" s="69">
        <f t="shared" si="18"/>
        <v>1089.3426990322091</v>
      </c>
      <c r="J30" s="69">
        <f t="shared" si="18"/>
        <v>1007.7325685953484</v>
      </c>
      <c r="K30" s="69">
        <f t="shared" si="18"/>
        <v>932.03345227891452</v>
      </c>
      <c r="L30" s="69">
        <f t="shared" si="18"/>
        <v>862.24535008290741</v>
      </c>
      <c r="M30" s="69">
        <f t="shared" si="18"/>
        <v>850.80467759175872</v>
      </c>
      <c r="N30" s="69">
        <f t="shared" si="18"/>
        <v>850.61399971690616</v>
      </c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</row>
    <row r="31" spans="1:37" s="44" customFormat="1">
      <c r="A31" s="73" t="s">
        <v>74</v>
      </c>
      <c r="B31" s="73"/>
      <c r="C31" s="75"/>
      <c r="D31" s="76"/>
      <c r="E31" s="74"/>
      <c r="F31" s="69">
        <f t="shared" ref="F31:N31" si="19">$F$24*C27</f>
        <v>813.19804426953044</v>
      </c>
      <c r="G31" s="69">
        <f t="shared" si="19"/>
        <v>1565.4604484217975</v>
      </c>
      <c r="H31" s="69">
        <f t="shared" si="19"/>
        <v>1447.9262244233744</v>
      </c>
      <c r="I31" s="69">
        <f t="shared" si="19"/>
        <v>1339.4998185207705</v>
      </c>
      <c r="J31" s="69">
        <f t="shared" si="19"/>
        <v>1238.880113843154</v>
      </c>
      <c r="K31" s="69">
        <f t="shared" si="19"/>
        <v>1146.0671103905249</v>
      </c>
      <c r="L31" s="69">
        <f t="shared" si="19"/>
        <v>1059.9765441038573</v>
      </c>
      <c r="M31" s="69">
        <f t="shared" si="19"/>
        <v>980.60841498315119</v>
      </c>
      <c r="N31" s="69">
        <f t="shared" si="19"/>
        <v>967.59724627483854</v>
      </c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</row>
    <row r="32" spans="1:37" s="44" customFormat="1">
      <c r="A32" s="73" t="s">
        <v>75</v>
      </c>
      <c r="B32" s="73"/>
      <c r="C32" s="75"/>
      <c r="D32" s="74"/>
      <c r="E32" s="74"/>
      <c r="F32" s="74"/>
      <c r="G32" s="69">
        <f t="shared" ref="G32:N32" si="20">$G$24*C27</f>
        <v>821.11969798886605</v>
      </c>
      <c r="H32" s="69">
        <f t="shared" si="20"/>
        <v>1580.7101599417665</v>
      </c>
      <c r="I32" s="69">
        <f t="shared" si="20"/>
        <v>1462.0309929257755</v>
      </c>
      <c r="J32" s="69">
        <f t="shared" si="20"/>
        <v>1352.5483665272602</v>
      </c>
      <c r="K32" s="69">
        <f t="shared" si="20"/>
        <v>1250.9484892294379</v>
      </c>
      <c r="L32" s="69">
        <f t="shared" si="20"/>
        <v>1157.2313610323085</v>
      </c>
      <c r="M32" s="69">
        <f t="shared" si="20"/>
        <v>1070.3021556718872</v>
      </c>
      <c r="N32" s="69">
        <f t="shared" si="20"/>
        <v>990.16087314817401</v>
      </c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</row>
    <row r="33" spans="1:37" s="44" customFormat="1">
      <c r="A33" s="73" t="s">
        <v>76</v>
      </c>
      <c r="B33" s="73"/>
      <c r="C33" s="75"/>
      <c r="D33" s="74"/>
      <c r="E33" s="74"/>
      <c r="F33" s="74"/>
      <c r="G33" s="74"/>
      <c r="H33" s="69">
        <f t="shared" ref="H33:N33" si="21">$H$24*C$27</f>
        <v>838.52524700163235</v>
      </c>
      <c r="I33" s="69">
        <f t="shared" si="21"/>
        <v>1614.2170021612758</v>
      </c>
      <c r="J33" s="69">
        <f t="shared" si="21"/>
        <v>1493.0221531279731</v>
      </c>
      <c r="K33" s="69">
        <f t="shared" si="21"/>
        <v>1381.2187868610888</v>
      </c>
      <c r="L33" s="69">
        <f t="shared" si="21"/>
        <v>1277.4652629654202</v>
      </c>
      <c r="M33" s="69">
        <f t="shared" si="21"/>
        <v>1181.7615814409671</v>
      </c>
      <c r="N33" s="69">
        <f t="shared" si="21"/>
        <v>1092.989708625061</v>
      </c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</row>
    <row r="34" spans="1:37" s="44" customFormat="1">
      <c r="A34" s="73" t="s">
        <v>77</v>
      </c>
      <c r="B34" s="73"/>
      <c r="C34" s="75"/>
      <c r="D34" s="74"/>
      <c r="E34" s="74"/>
      <c r="F34" s="74"/>
      <c r="G34" s="74"/>
      <c r="H34" s="74"/>
      <c r="I34" s="69">
        <f>$I$24*C$27</f>
        <v>841.31891275735518</v>
      </c>
      <c r="J34" s="69">
        <f t="shared" ref="J34:N34" si="22">$I$24*D$27</f>
        <v>1619.594994985426</v>
      </c>
      <c r="K34" s="69">
        <f t="shared" si="22"/>
        <v>1497.9963681282295</v>
      </c>
      <c r="L34" s="69">
        <f t="shared" si="22"/>
        <v>1385.8205130939155</v>
      </c>
      <c r="M34" s="69">
        <f t="shared" si="22"/>
        <v>1281.7213196220721</v>
      </c>
      <c r="N34" s="69">
        <f t="shared" si="22"/>
        <v>1185.6987877126992</v>
      </c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</row>
    <row r="35" spans="1:37" s="44" customFormat="1">
      <c r="A35" s="73" t="s">
        <v>78</v>
      </c>
      <c r="B35" s="73"/>
      <c r="C35" s="75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69"/>
    </row>
    <row r="36" spans="1:37" s="44" customFormat="1">
      <c r="A36" s="73" t="s">
        <v>79</v>
      </c>
      <c r="B36" s="73"/>
      <c r="C36" s="65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69"/>
    </row>
    <row r="37" spans="1:37" s="44" customFormat="1">
      <c r="A37" s="73" t="s">
        <v>80</v>
      </c>
      <c r="B37" s="73"/>
      <c r="C37" s="65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69"/>
    </row>
    <row r="38" spans="1:37" s="44" customFormat="1">
      <c r="A38" s="73" t="s">
        <v>81</v>
      </c>
      <c r="B38" s="73"/>
      <c r="C38" s="65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69"/>
    </row>
    <row r="39" spans="1:37" s="44" customFormat="1">
      <c r="A39" s="73" t="s">
        <v>82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69"/>
    </row>
    <row r="40" spans="1:37" s="44" customFormat="1">
      <c r="A40" s="73" t="s">
        <v>83</v>
      </c>
      <c r="B40" s="73"/>
      <c r="C40" s="65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69"/>
    </row>
    <row r="41" spans="1:37" s="44" customFormat="1">
      <c r="A41" s="73" t="s">
        <v>84</v>
      </c>
      <c r="B41" s="73"/>
      <c r="C41" s="65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69"/>
    </row>
    <row r="42" spans="1:37" s="44" customFormat="1">
      <c r="A42" s="73" t="s">
        <v>85</v>
      </c>
      <c r="B42" s="73"/>
      <c r="C42" s="65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69"/>
    </row>
    <row r="43" spans="1:37" s="44" customFormat="1">
      <c r="A43" s="73" t="s">
        <v>86</v>
      </c>
      <c r="B43" s="73"/>
      <c r="C43" s="65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69"/>
    </row>
    <row r="44" spans="1:37" s="44" customFormat="1">
      <c r="A44" s="73" t="s">
        <v>87</v>
      </c>
      <c r="B44" s="73"/>
      <c r="C44" s="65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69"/>
    </row>
    <row r="45" spans="1:37" s="44" customFormat="1">
      <c r="A45" s="73" t="s">
        <v>88</v>
      </c>
      <c r="B45" s="73"/>
      <c r="C45" s="65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69"/>
    </row>
    <row r="46" spans="1:37" s="44" customFormat="1">
      <c r="A46" s="73" t="s">
        <v>89</v>
      </c>
      <c r="B46" s="73"/>
      <c r="C46" s="65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69"/>
    </row>
    <row r="47" spans="1:37" s="44" customFormat="1">
      <c r="A47" s="73" t="s">
        <v>90</v>
      </c>
      <c r="B47" s="73"/>
      <c r="C47" s="65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69"/>
    </row>
    <row r="48" spans="1:37" s="44" customFormat="1">
      <c r="A48" s="73" t="s">
        <v>91</v>
      </c>
      <c r="B48" s="73"/>
      <c r="C48" s="65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69"/>
    </row>
    <row r="49" spans="1:37" s="44" customFormat="1">
      <c r="A49" s="73" t="s">
        <v>92</v>
      </c>
      <c r="B49" s="73"/>
      <c r="C49" s="65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69"/>
    </row>
    <row r="50" spans="1:37" s="44" customFormat="1">
      <c r="A50" s="73" t="s">
        <v>93</v>
      </c>
      <c r="B50" s="73"/>
      <c r="C50" s="65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69"/>
    </row>
    <row r="51" spans="1:37" s="44" customFormat="1">
      <c r="A51" s="73" t="s">
        <v>94</v>
      </c>
      <c r="B51" s="73"/>
      <c r="C51" s="65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69"/>
    </row>
    <row r="52" spans="1:37" s="44" customFormat="1">
      <c r="A52" s="73" t="s">
        <v>95</v>
      </c>
      <c r="B52" s="73"/>
      <c r="C52" s="65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69"/>
    </row>
    <row r="53" spans="1:37" s="44" customFormat="1">
      <c r="A53" s="73" t="s">
        <v>96</v>
      </c>
      <c r="B53" s="73"/>
      <c r="C53" s="65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69"/>
    </row>
    <row r="54" spans="1:37" s="44" customFormat="1">
      <c r="A54" s="73" t="s">
        <v>97</v>
      </c>
      <c r="B54" s="73"/>
      <c r="C54" s="65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69"/>
    </row>
    <row r="55" spans="1:37" s="44" customFormat="1">
      <c r="A55" s="73" t="s">
        <v>98</v>
      </c>
      <c r="B55" s="73"/>
      <c r="C55" s="65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69"/>
    </row>
    <row r="56" spans="1:37" s="44" customFormat="1">
      <c r="A56" s="73" t="s">
        <v>99</v>
      </c>
      <c r="B56" s="73"/>
      <c r="C56" s="65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69"/>
    </row>
    <row r="57" spans="1:37" s="44" customFormat="1">
      <c r="A57" s="73" t="s">
        <v>100</v>
      </c>
      <c r="B57" s="65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69"/>
    </row>
    <row r="58" spans="1:37" s="44" customFormat="1">
      <c r="A58" s="73"/>
      <c r="B58" s="65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69"/>
    </row>
    <row r="59" spans="1:37" s="44" customFormat="1">
      <c r="A59" s="65" t="s">
        <v>9</v>
      </c>
      <c r="B59" s="69"/>
      <c r="C59" s="69">
        <f t="shared" ref="C59:I59" si="23">SUM(C28:C57)</f>
        <v>23843.072120846566</v>
      </c>
      <c r="D59" s="69">
        <f t="shared" si="23"/>
        <v>46820.228978686217</v>
      </c>
      <c r="E59" s="69">
        <f t="shared" si="23"/>
        <v>44940.88488787871</v>
      </c>
      <c r="F59" s="69">
        <f t="shared" si="23"/>
        <v>43103.392656034601</v>
      </c>
      <c r="G59" s="69">
        <f t="shared" si="23"/>
        <v>41500.481145197591</v>
      </c>
      <c r="H59" s="69">
        <f t="shared" si="23"/>
        <v>40050.509946115475</v>
      </c>
      <c r="I59" s="69">
        <f t="shared" si="23"/>
        <v>38722.668455938656</v>
      </c>
      <c r="J59" s="69">
        <f t="shared" ref="J59:N59" si="24">SUM(J28:J57)</f>
        <v>36663.479237601183</v>
      </c>
      <c r="K59" s="69">
        <f t="shared" si="24"/>
        <v>35688.613274144147</v>
      </c>
      <c r="L59" s="69">
        <f t="shared" si="24"/>
        <v>35201.998336242155</v>
      </c>
      <c r="M59" s="69">
        <f t="shared" si="24"/>
        <v>34830.570080010366</v>
      </c>
      <c r="N59" s="69">
        <f t="shared" si="24"/>
        <v>34546.31992044142</v>
      </c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</row>
    <row r="60" spans="1:37" s="44" customFormat="1">
      <c r="A60" s="65" t="s">
        <v>12</v>
      </c>
      <c r="B60" s="77"/>
      <c r="C60" s="77">
        <f>C59</f>
        <v>23843.072120846566</v>
      </c>
      <c r="D60" s="69">
        <f t="shared" ref="D60:N60" si="25">D59+C60</f>
        <v>70663.301099532779</v>
      </c>
      <c r="E60" s="69">
        <f t="shared" si="25"/>
        <v>115604.18598741149</v>
      </c>
      <c r="F60" s="69">
        <f t="shared" si="25"/>
        <v>158707.57864344609</v>
      </c>
      <c r="G60" s="69">
        <f t="shared" si="25"/>
        <v>200208.05978864367</v>
      </c>
      <c r="H60" s="69">
        <f t="shared" si="25"/>
        <v>240258.56973475916</v>
      </c>
      <c r="I60" s="69">
        <f t="shared" si="25"/>
        <v>278981.2381906978</v>
      </c>
      <c r="J60" s="69">
        <f t="shared" si="25"/>
        <v>315644.71742829896</v>
      </c>
      <c r="K60" s="69">
        <f t="shared" si="25"/>
        <v>351333.33070244308</v>
      </c>
      <c r="L60" s="69">
        <f t="shared" si="25"/>
        <v>386535.32903868525</v>
      </c>
      <c r="M60" s="69">
        <f t="shared" si="25"/>
        <v>421365.89911869564</v>
      </c>
      <c r="N60" s="69">
        <f t="shared" si="25"/>
        <v>455912.21903913707</v>
      </c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</row>
    <row r="61" spans="1:37" s="44" customFormat="1">
      <c r="A61" s="65"/>
      <c r="B61" s="65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</row>
    <row r="62" spans="1:37" s="44" customFormat="1" ht="13">
      <c r="A62" s="22" t="s">
        <v>8</v>
      </c>
      <c r="B62" s="65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</row>
    <row r="63" spans="1:37" s="44" customFormat="1" ht="12" customHeight="1">
      <c r="A63" s="65" t="s">
        <v>152</v>
      </c>
      <c r="B63" s="78"/>
      <c r="C63" s="78">
        <f>+(C59-C19)*Input!$B$35</f>
        <v>-6119.7218443506181</v>
      </c>
      <c r="D63" s="78">
        <f>+(D59-D19)*Input!$B$35</f>
        <v>-1724.1908545647084</v>
      </c>
      <c r="E63" s="78">
        <f>+(E59-E19)*Input!$B$35</f>
        <v>-2452.5393946261206</v>
      </c>
      <c r="F63" s="78">
        <f>+(F59-F19)*Input!$B$35</f>
        <v>-3217.9051839724971</v>
      </c>
      <c r="G63" s="78">
        <f>+(G59-G19)*Input!$B$35</f>
        <v>-3937.7057936430729</v>
      </c>
      <c r="H63" s="78">
        <f>+(H59-H19)*Input!$B$35</f>
        <v>-4633.5115273844131</v>
      </c>
      <c r="I63" s="78">
        <f>+(I59-I19)*Input!$B$35</f>
        <v>-5304.9737329416439</v>
      </c>
      <c r="J63" s="78">
        <f>+(J59-J19)*Input!$B$35</f>
        <v>-5995.8497608533453</v>
      </c>
      <c r="K63" s="78">
        <f>+(K59-K19)*Input!$B$35</f>
        <v>-6423.398034754222</v>
      </c>
      <c r="L63" s="78">
        <f>+(L59-L19)*Input!$B$35</f>
        <v>-11867.790709803327</v>
      </c>
      <c r="M63" s="78">
        <f>+(M59-M19)*Input!$B$35</f>
        <v>-11945.790643612003</v>
      </c>
      <c r="N63" s="78">
        <f>+(N59-N19)*Input!$B$35</f>
        <v>-12005.483177121481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</row>
    <row r="64" spans="1:37" s="44" customFormat="1">
      <c r="A64" s="65" t="s">
        <v>5</v>
      </c>
      <c r="B64" s="69"/>
      <c r="C64" s="69">
        <f>C63</f>
        <v>-6119.7218443506181</v>
      </c>
      <c r="D64" s="97">
        <f t="shared" ref="D64:N64" si="26">C64+D63</f>
        <v>-7843.9126989153265</v>
      </c>
      <c r="E64" s="97">
        <f t="shared" si="26"/>
        <v>-10296.452093541448</v>
      </c>
      <c r="F64" s="97">
        <f t="shared" si="26"/>
        <v>-13514.357277513944</v>
      </c>
      <c r="G64" s="97">
        <f t="shared" si="26"/>
        <v>-17452.063071157016</v>
      </c>
      <c r="H64" s="97">
        <f>G64+H63</f>
        <v>-22085.574598541429</v>
      </c>
      <c r="I64" s="97">
        <f t="shared" si="26"/>
        <v>-27390.548331483071</v>
      </c>
      <c r="J64" s="97">
        <f t="shared" si="26"/>
        <v>-33386.398092336414</v>
      </c>
      <c r="K64" s="97">
        <f t="shared" si="26"/>
        <v>-39809.796127090638</v>
      </c>
      <c r="L64" s="97">
        <f t="shared" si="26"/>
        <v>-51677.586836893963</v>
      </c>
      <c r="M64" s="97">
        <f t="shared" si="26"/>
        <v>-63623.377480505966</v>
      </c>
      <c r="N64" s="69">
        <f t="shared" si="26"/>
        <v>-75628.860657627447</v>
      </c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</row>
    <row r="65" spans="1:37" s="44" customFormat="1">
      <c r="A65" s="65" t="s">
        <v>153</v>
      </c>
      <c r="B65" s="69"/>
      <c r="C65" s="69">
        <f>+(C59-C19)*Input!$B$34</f>
        <v>-1458.9708292257797</v>
      </c>
      <c r="D65" s="69">
        <f>+(D59-D19)*Input!$B$34</f>
        <v>-411.05531016086729</v>
      </c>
      <c r="E65" s="69">
        <f>+(E59-E19)*Input!$B$34</f>
        <v>-584.69707043788924</v>
      </c>
      <c r="F65" s="69">
        <f>+(F59-F19)*Input!$B$34</f>
        <v>-767.16391921706236</v>
      </c>
      <c r="G65" s="69">
        <f>+(G59-G19)*Input!$B$34</f>
        <v>-938.76781218447843</v>
      </c>
      <c r="H65" s="69">
        <f>+(H59-H19)*Input!$B$34</f>
        <v>-1104.6512124690507</v>
      </c>
      <c r="I65" s="69">
        <f>+(I59-I19)*Input!$B$34</f>
        <v>-1264.7309997129687</v>
      </c>
      <c r="J65" s="69">
        <f>+(J59-J19)*Input!$B$34</f>
        <v>-1429.4391346529658</v>
      </c>
      <c r="K65" s="69">
        <f>+(K59-K19)*Input!$B$34</f>
        <v>-1531.368679095096</v>
      </c>
      <c r="L65" s="69">
        <f>+(L59-L19)*Input!$B$34</f>
        <v>-2829.3378185062079</v>
      </c>
      <c r="M65" s="69">
        <f>+(M59-M19)*Input!$B$34</f>
        <v>-2847.9333741544524</v>
      </c>
      <c r="N65" s="69">
        <f>+(N59-N19)*Input!$B$34</f>
        <v>-2862.1643583932719</v>
      </c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</row>
    <row r="66" spans="1:37" s="44" customFormat="1">
      <c r="A66" s="65" t="s">
        <v>154</v>
      </c>
      <c r="B66" s="69"/>
      <c r="C66" s="69">
        <f>C65</f>
        <v>-1458.9708292257797</v>
      </c>
      <c r="D66" s="69">
        <f>+C66+D65</f>
        <v>-1870.0261393866469</v>
      </c>
      <c r="E66" s="69">
        <f t="shared" ref="E66:N66" si="27">D66+E65</f>
        <v>-2454.7232098245363</v>
      </c>
      <c r="F66" s="69">
        <f t="shared" si="27"/>
        <v>-3221.8871290415987</v>
      </c>
      <c r="G66" s="69">
        <f t="shared" si="27"/>
        <v>-4160.6549412260774</v>
      </c>
      <c r="H66" s="69">
        <f t="shared" si="27"/>
        <v>-5265.3061536951282</v>
      </c>
      <c r="I66" s="69">
        <f t="shared" si="27"/>
        <v>-6530.0371534080969</v>
      </c>
      <c r="J66" s="69">
        <f t="shared" si="27"/>
        <v>-7959.4762880610624</v>
      </c>
      <c r="K66" s="69">
        <f t="shared" si="27"/>
        <v>-9490.8449671561575</v>
      </c>
      <c r="L66" s="69">
        <f t="shared" si="27"/>
        <v>-12320.182785662366</v>
      </c>
      <c r="M66" s="69">
        <f t="shared" si="27"/>
        <v>-15168.116159816818</v>
      </c>
      <c r="N66" s="69">
        <f t="shared" si="27"/>
        <v>-18030.280518210089</v>
      </c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</row>
    <row r="67" spans="1:37" s="44" customFormat="1">
      <c r="A67" s="65" t="s">
        <v>155</v>
      </c>
      <c r="B67" s="69"/>
      <c r="C67" s="69">
        <f>-C65*Input!$B$35</f>
        <v>306.38387413741373</v>
      </c>
      <c r="D67" s="97">
        <f>-D65*Input!$B$35</f>
        <v>86.321615133782132</v>
      </c>
      <c r="E67" s="69">
        <f>-E65*Input!$B$35</f>
        <v>122.78638479195673</v>
      </c>
      <c r="F67" s="69">
        <f>-F65*Input!$B$35</f>
        <v>161.1044230355831</v>
      </c>
      <c r="G67" s="69">
        <f>-G65*Input!$B$35</f>
        <v>197.14124055874046</v>
      </c>
      <c r="H67" s="69">
        <f>-H65*Input!$B$35</f>
        <v>231.97675461850065</v>
      </c>
      <c r="I67" s="69">
        <f>-I65*Input!$B$35</f>
        <v>265.59350993972339</v>
      </c>
      <c r="J67" s="69">
        <f>-J65*Input!$B$35</f>
        <v>300.18221827712279</v>
      </c>
      <c r="K67" s="69">
        <f>-K65*Input!$B$35</f>
        <v>321.58742260997013</v>
      </c>
      <c r="L67" s="69">
        <f>-L65*Input!$B$35</f>
        <v>594.16094188630359</v>
      </c>
      <c r="M67" s="69">
        <f>-M65*Input!$B$35</f>
        <v>598.06600857243495</v>
      </c>
      <c r="N67" s="69">
        <f>-N65*Input!$B$35</f>
        <v>601.05451526258707</v>
      </c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</row>
    <row r="68" spans="1:37" s="44" customFormat="1">
      <c r="A68" s="65" t="s">
        <v>156</v>
      </c>
      <c r="B68" s="69"/>
      <c r="C68" s="69">
        <f>C67</f>
        <v>306.38387413741373</v>
      </c>
      <c r="D68" s="69">
        <f>+C68+D67</f>
        <v>392.70548927119586</v>
      </c>
      <c r="E68" s="69">
        <f t="shared" ref="E68:N68" si="28">D68+E67</f>
        <v>515.49187406315264</v>
      </c>
      <c r="F68" s="69">
        <f t="shared" si="28"/>
        <v>676.5962970987357</v>
      </c>
      <c r="G68" s="69">
        <f t="shared" si="28"/>
        <v>873.7375376574762</v>
      </c>
      <c r="H68" s="69">
        <f t="shared" si="28"/>
        <v>1105.7142922759767</v>
      </c>
      <c r="I68" s="69">
        <f t="shared" si="28"/>
        <v>1371.3078022157001</v>
      </c>
      <c r="J68" s="69">
        <f t="shared" si="28"/>
        <v>1671.4900204928229</v>
      </c>
      <c r="K68" s="69">
        <f t="shared" si="28"/>
        <v>1993.077443102793</v>
      </c>
      <c r="L68" s="69">
        <f t="shared" si="28"/>
        <v>2587.2383849890966</v>
      </c>
      <c r="M68" s="69">
        <f t="shared" si="28"/>
        <v>3185.3043935615315</v>
      </c>
      <c r="N68" s="69">
        <f t="shared" si="28"/>
        <v>3786.3589088241188</v>
      </c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</row>
    <row r="69" spans="1:37" s="60" customFormat="1">
      <c r="A69" s="79"/>
      <c r="B69" s="79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</row>
    <row r="70" spans="1:37">
      <c r="C70" s="80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</row>
  </sheetData>
  <mergeCells count="1">
    <mergeCell ref="A1:M1"/>
  </mergeCells>
  <phoneticPr fontId="20" type="noConversion"/>
  <conditionalFormatting sqref="C3">
    <cfRule type="containsText" dxfId="1" priority="2" operator="containsText" text="Not">
      <formula>NOT(ISERROR(SEARCH("Not",C3)))</formula>
    </cfRule>
    <cfRule type="containsText" dxfId="0" priority="3" operator="containsText" text="ERROR">
      <formula>NOT(ISERROR(SEARCH("ERROR",C3)))</formula>
    </cfRule>
  </conditionalFormatting>
  <pageMargins left="0.7" right="0.7" top="0.75" bottom="0.75" header="0.3" footer="0.3"/>
  <pageSetup scale="32" fitToHeight="2" orientation="landscape" r:id="rId1"/>
  <headerFooter>
    <oddHeader>&amp;RAPCo Exhibit No. ____
Witness: KIW
Schedule 46, Section 3
Statement 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/>
  <dimension ref="A1:AK68"/>
  <sheetViews>
    <sheetView zoomScaleNormal="100" zoomScaleSheetLayoutView="50" workbookViewId="0">
      <pane xSplit="1" ySplit="5" topLeftCell="B6" activePane="bottomRight" state="frozen"/>
      <selection activeCell="Y34" sqref="Y34"/>
      <selection pane="topRight" activeCell="Y34" sqref="Y34"/>
      <selection pane="bottomLeft" activeCell="Y34" sqref="Y34"/>
      <selection pane="bottomRight" activeCell="N18" sqref="N17:N18"/>
    </sheetView>
  </sheetViews>
  <sheetFormatPr defaultColWidth="9.1796875" defaultRowHeight="12.5"/>
  <cols>
    <col min="1" max="1" width="42.54296875" style="3" bestFit="1" customWidth="1"/>
    <col min="2" max="2" width="18.453125" style="3" bestFit="1" customWidth="1"/>
    <col min="3" max="4" width="15.81640625" style="3" bestFit="1" customWidth="1"/>
    <col min="5" max="12" width="14.54296875" style="3" customWidth="1"/>
    <col min="13" max="15" width="14.54296875" style="2" customWidth="1"/>
    <col min="16" max="37" width="13.26953125" style="2" customWidth="1"/>
    <col min="38" max="16384" width="9.1796875" style="3"/>
  </cols>
  <sheetData>
    <row r="1" spans="1:37" ht="14">
      <c r="A1" s="265" t="str">
        <f>Input!B2&amp;" Total Company"</f>
        <v>KPCO Total Company</v>
      </c>
      <c r="B1" s="265"/>
      <c r="C1" s="265"/>
      <c r="D1" s="265"/>
      <c r="E1" s="265"/>
      <c r="F1" s="265"/>
      <c r="G1" s="265"/>
      <c r="H1" s="265"/>
      <c r="I1" s="265"/>
      <c r="J1" s="265"/>
    </row>
    <row r="2" spans="1:37" ht="14">
      <c r="A2" s="265" t="s">
        <v>13</v>
      </c>
      <c r="B2" s="265"/>
      <c r="C2" s="265"/>
      <c r="D2" s="265"/>
      <c r="E2" s="265"/>
      <c r="F2" s="265"/>
      <c r="G2" s="265"/>
      <c r="H2" s="265"/>
      <c r="I2" s="265"/>
      <c r="J2" s="265"/>
      <c r="K2" s="8"/>
      <c r="L2" s="8"/>
      <c r="M2" s="206"/>
    </row>
    <row r="3" spans="1:37" s="2" customForma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s="2" customFormat="1" ht="13">
      <c r="B4" s="100" t="s">
        <v>16</v>
      </c>
      <c r="C4" s="100" t="s">
        <v>17</v>
      </c>
      <c r="D4" s="100" t="s">
        <v>18</v>
      </c>
      <c r="E4" s="100" t="s">
        <v>19</v>
      </c>
      <c r="F4" s="100" t="s">
        <v>20</v>
      </c>
      <c r="G4" s="100" t="s">
        <v>21</v>
      </c>
      <c r="H4" s="100" t="s">
        <v>22</v>
      </c>
      <c r="I4" s="100" t="s">
        <v>23</v>
      </c>
      <c r="J4" s="100" t="s">
        <v>24</v>
      </c>
      <c r="K4" s="100" t="s">
        <v>25</v>
      </c>
      <c r="L4" s="100" t="s">
        <v>26</v>
      </c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</row>
    <row r="5" spans="1:37" s="2" customFormat="1" ht="13">
      <c r="A5" s="99"/>
      <c r="B5" s="98">
        <f>Input!B7</f>
        <v>2029</v>
      </c>
      <c r="C5" s="98">
        <f>B5+1</f>
        <v>2030</v>
      </c>
      <c r="D5" s="98">
        <f t="shared" ref="D5:L5" si="0">C5+1</f>
        <v>2031</v>
      </c>
      <c r="E5" s="98">
        <f t="shared" si="0"/>
        <v>2032</v>
      </c>
      <c r="F5" s="98">
        <f t="shared" si="0"/>
        <v>2033</v>
      </c>
      <c r="G5" s="98">
        <f t="shared" si="0"/>
        <v>2034</v>
      </c>
      <c r="H5" s="98">
        <f t="shared" si="0"/>
        <v>2035</v>
      </c>
      <c r="I5" s="98">
        <f t="shared" si="0"/>
        <v>2036</v>
      </c>
      <c r="J5" s="98">
        <f t="shared" si="0"/>
        <v>2037</v>
      </c>
      <c r="K5" s="98">
        <f t="shared" si="0"/>
        <v>2038</v>
      </c>
      <c r="L5" s="98">
        <f t="shared" si="0"/>
        <v>2039</v>
      </c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</row>
    <row r="6" spans="1:37">
      <c r="A6" s="11" t="s">
        <v>115</v>
      </c>
      <c r="B6" s="5">
        <f>Input!B54</f>
        <v>33523508.671640433</v>
      </c>
      <c r="C6" s="5">
        <f>Input!C54</f>
        <v>33671908.446598843</v>
      </c>
      <c r="D6" s="5">
        <f>Input!D54</f>
        <v>34011461.724697232</v>
      </c>
      <c r="E6" s="5">
        <f>Input!E54</f>
        <v>34533180.03446833</v>
      </c>
      <c r="F6" s="5">
        <f>Input!F54</f>
        <v>34804484.681227595</v>
      </c>
      <c r="G6" s="5">
        <f>Input!G54</f>
        <v>35686552.979692012</v>
      </c>
      <c r="H6" s="5">
        <f>Input!H54</f>
        <v>36075858.119511716</v>
      </c>
      <c r="I6" s="5">
        <f>Input!I54</f>
        <v>33978893.748258963</v>
      </c>
      <c r="J6" s="5">
        <f>Input!J54</f>
        <v>31874193.717214011</v>
      </c>
      <c r="K6" s="5">
        <f>Input!K54</f>
        <v>28362170.070587009</v>
      </c>
      <c r="L6" s="5">
        <f>Input!L54</f>
        <v>23864391.353819754</v>
      </c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</row>
    <row r="7" spans="1:37">
      <c r="A7" s="89" t="s">
        <v>116</v>
      </c>
      <c r="B7" s="5">
        <f>Input!B56</f>
        <v>3148408.96</v>
      </c>
      <c r="C7" s="5">
        <f>Input!C56</f>
        <v>3148408.96</v>
      </c>
      <c r="D7" s="5">
        <f>Input!D56</f>
        <v>3148408.96</v>
      </c>
      <c r="E7" s="5">
        <f>Input!E56</f>
        <v>3148408.96</v>
      </c>
      <c r="F7" s="5">
        <f>Input!F56</f>
        <v>3148408.96</v>
      </c>
      <c r="G7" s="5">
        <f>Input!G56</f>
        <v>3148408.96</v>
      </c>
      <c r="H7" s="5">
        <f>Input!H56</f>
        <v>3148408.96</v>
      </c>
      <c r="I7" s="5">
        <f>Input!I56</f>
        <v>3148408.96</v>
      </c>
      <c r="J7" s="5">
        <f>Input!J56</f>
        <v>3148408.96</v>
      </c>
      <c r="K7" s="5">
        <f>Input!K56</f>
        <v>3148408.96</v>
      </c>
      <c r="L7" s="5">
        <f>Input!L56</f>
        <v>3148408.96</v>
      </c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</row>
    <row r="8" spans="1:37">
      <c r="A8" s="1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</row>
    <row r="9" spans="1:37">
      <c r="A9" s="11"/>
      <c r="B9" s="101">
        <f>Input!B57</f>
        <v>0</v>
      </c>
      <c r="C9" s="101">
        <f>Input!C57</f>
        <v>0</v>
      </c>
      <c r="D9" s="101">
        <f>Input!D57</f>
        <v>0</v>
      </c>
      <c r="E9" s="101">
        <f>Input!E57</f>
        <v>0</v>
      </c>
      <c r="F9" s="101">
        <f>Input!F57</f>
        <v>0</v>
      </c>
      <c r="G9" s="101">
        <f>Input!G57</f>
        <v>0</v>
      </c>
      <c r="H9" s="101">
        <f>Input!H57</f>
        <v>0</v>
      </c>
      <c r="I9" s="101">
        <f>Input!I57</f>
        <v>0</v>
      </c>
      <c r="J9" s="101">
        <f>Input!J57</f>
        <v>0</v>
      </c>
      <c r="K9" s="101">
        <f>Input!K57</f>
        <v>0</v>
      </c>
      <c r="L9" s="101">
        <f>Input!L57</f>
        <v>0</v>
      </c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</row>
    <row r="10" spans="1:37">
      <c r="A10" s="102" t="str">
        <f>Input!A58</f>
        <v>WV B&amp;O Tax</v>
      </c>
      <c r="B10" s="101">
        <f>Input!B58</f>
        <v>6532601.5350000001</v>
      </c>
      <c r="C10" s="101">
        <f>Input!C58</f>
        <v>6532601.5350000001</v>
      </c>
      <c r="D10" s="101">
        <f>Input!D58</f>
        <v>6532601.5350000001</v>
      </c>
      <c r="E10" s="101">
        <f>Input!E58</f>
        <v>6532601.5350000001</v>
      </c>
      <c r="F10" s="101">
        <f>Input!F58</f>
        <v>6532601.5350000001</v>
      </c>
      <c r="G10" s="101">
        <f>Input!G58</f>
        <v>6532601.5350000001</v>
      </c>
      <c r="H10" s="101">
        <f>Input!H58</f>
        <v>6532601.5350000001</v>
      </c>
      <c r="I10" s="101">
        <f>Input!I58</f>
        <v>6532601.5350000001</v>
      </c>
      <c r="J10" s="101">
        <f>Input!J58</f>
        <v>6532601.5350000001</v>
      </c>
      <c r="K10" s="101">
        <f>Input!K58</f>
        <v>6532601.5350000001</v>
      </c>
      <c r="L10" s="101">
        <f>Input!L58</f>
        <v>6532601.5350000001</v>
      </c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</row>
    <row r="11" spans="1:37">
      <c r="A11" s="102"/>
      <c r="B11" s="101">
        <f>Input!B59</f>
        <v>0</v>
      </c>
      <c r="C11" s="101">
        <f>Input!C59</f>
        <v>0</v>
      </c>
      <c r="D11" s="101">
        <f>Input!D59</f>
        <v>0</v>
      </c>
      <c r="E11" s="101">
        <f>Input!E59</f>
        <v>0</v>
      </c>
      <c r="F11" s="101">
        <f>Input!F59</f>
        <v>0</v>
      </c>
      <c r="G11" s="101">
        <f>Input!G59</f>
        <v>0</v>
      </c>
      <c r="H11" s="101">
        <f>Input!H59</f>
        <v>0</v>
      </c>
      <c r="I11" s="101">
        <f>Input!I59</f>
        <v>0</v>
      </c>
      <c r="J11" s="101">
        <f>Input!J59</f>
        <v>0</v>
      </c>
      <c r="K11" s="101">
        <f>Input!K59</f>
        <v>0</v>
      </c>
      <c r="L11" s="101">
        <f>Input!L59</f>
        <v>0</v>
      </c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</row>
    <row r="12" spans="1:37">
      <c r="A12" s="102"/>
      <c r="B12" s="101">
        <f>Input!B60</f>
        <v>0</v>
      </c>
      <c r="C12" s="101">
        <f>Input!C60</f>
        <v>0</v>
      </c>
      <c r="D12" s="101">
        <f>Input!D60</f>
        <v>0</v>
      </c>
      <c r="E12" s="101">
        <f>Input!E60</f>
        <v>0</v>
      </c>
      <c r="F12" s="101">
        <f>Input!F60</f>
        <v>0</v>
      </c>
      <c r="G12" s="101">
        <f>Input!G60</f>
        <v>0</v>
      </c>
      <c r="H12" s="101">
        <f>Input!H60</f>
        <v>0</v>
      </c>
      <c r="I12" s="101">
        <f>Input!I60</f>
        <v>0</v>
      </c>
      <c r="J12" s="101">
        <f>Input!J60</f>
        <v>0</v>
      </c>
      <c r="K12" s="101">
        <f>Input!K60</f>
        <v>0</v>
      </c>
      <c r="L12" s="101">
        <f>Input!L60</f>
        <v>0</v>
      </c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</row>
    <row r="13" spans="1:37" ht="14">
      <c r="A13" s="27" t="s">
        <v>114</v>
      </c>
      <c r="B13" s="48">
        <f>SUM(B6:B12)</f>
        <v>43204519.166640431</v>
      </c>
      <c r="C13" s="48">
        <f>SUM(C6:C12)</f>
        <v>43352918.941598848</v>
      </c>
      <c r="D13" s="48">
        <f>SUM(D6:D12)</f>
        <v>43692472.219697237</v>
      </c>
      <c r="E13" s="48">
        <f>SUM(E6:E12)</f>
        <v>44214190.529468328</v>
      </c>
      <c r="F13" s="48">
        <f>SUM(F6:F12)</f>
        <v>44485495.176227599</v>
      </c>
      <c r="G13" s="48">
        <f t="shared" ref="G13:L13" si="1">SUM(G6:G12)</f>
        <v>45367563.474692017</v>
      </c>
      <c r="H13" s="48">
        <f t="shared" si="1"/>
        <v>45756868.614511713</v>
      </c>
      <c r="I13" s="48">
        <f t="shared" si="1"/>
        <v>43659904.243258968</v>
      </c>
      <c r="J13" s="48">
        <f t="shared" si="1"/>
        <v>41555204.212214008</v>
      </c>
      <c r="K13" s="48">
        <f t="shared" si="1"/>
        <v>38043180.565587014</v>
      </c>
      <c r="L13" s="48">
        <f t="shared" si="1"/>
        <v>33545401.848819755</v>
      </c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</row>
    <row r="14" spans="1:37">
      <c r="A14" s="102" t="s">
        <v>182</v>
      </c>
      <c r="B14" s="5">
        <f>'Rate Base - coal'!C19*1000</f>
        <v>52984604.71299237</v>
      </c>
      <c r="C14" s="5">
        <f>'Rate Base - coal'!D19*1000</f>
        <v>55030661.619470544</v>
      </c>
      <c r="D14" s="5">
        <f>'Rate Base - coal'!E19*1000</f>
        <v>56619643.909907855</v>
      </c>
      <c r="E14" s="5">
        <f>'Rate Base - coal'!F19*1000</f>
        <v>58426750.674951255</v>
      </c>
      <c r="F14" s="5">
        <f>'Rate Base - coal'!G19*1000</f>
        <v>60251461.11492651</v>
      </c>
      <c r="G14" s="5">
        <f>'Rate Base - coal'!H19*1000</f>
        <v>62114850.552707918</v>
      </c>
      <c r="H14" s="5">
        <f>'Rate Base - coal'!I19*1000</f>
        <v>63984448.136613153</v>
      </c>
      <c r="I14" s="5">
        <f>'Rate Base - coal'!J19*1000</f>
        <v>65215144.76547426</v>
      </c>
      <c r="J14" s="5">
        <f>'Rate Base - coal'!K19*1000</f>
        <v>66276222.96344997</v>
      </c>
      <c r="K14" s="5">
        <f>'Rate Base - coal'!L19*1000</f>
        <v>91715287.430543721</v>
      </c>
      <c r="L14" s="5">
        <f>'Rate Base - coal'!M19*1000</f>
        <v>91715287.430543721</v>
      </c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</row>
    <row r="15" spans="1:37">
      <c r="A15" s="102" t="s">
        <v>159</v>
      </c>
      <c r="B15" s="5">
        <f>SIT!D20</f>
        <v>-4187631.622497038</v>
      </c>
      <c r="C15" s="5">
        <f>SIT!E20</f>
        <v>-5305383.110086727</v>
      </c>
      <c r="D15" s="5">
        <f>SIT!F20</f>
        <v>-5179522.3129246673</v>
      </c>
      <c r="E15" s="5">
        <f>SIT!G20</f>
        <v>-5067298.6272581322</v>
      </c>
      <c r="F15" s="5">
        <f>SIT!H20</f>
        <v>-4953214.8251919644</v>
      </c>
      <c r="G15" s="5">
        <f>SIT!I20</f>
        <v>-4876559.9118462419</v>
      </c>
      <c r="H15" s="5">
        <f>SIT!J20</f>
        <v>-4779945.164013925</v>
      </c>
      <c r="I15" s="5">
        <f>SIT!K20</f>
        <v>-4510868.2824509488</v>
      </c>
      <c r="J15" s="5">
        <f>SIT!L20</f>
        <v>-4292046.1267771302</v>
      </c>
      <c r="K15" s="5">
        <f>SIT!M20</f>
        <v>-3999209.8439759836</v>
      </c>
      <c r="L15" s="5">
        <f>SIT!N20</f>
        <v>-3653756.263958374</v>
      </c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</row>
    <row r="16" spans="1:37">
      <c r="A16" s="102" t="s">
        <v>158</v>
      </c>
      <c r="B16" s="5">
        <f>('Rate Base - coal'!C65)*1000</f>
        <v>-1458970.8292257797</v>
      </c>
      <c r="C16" s="5">
        <f>('Rate Base - coal'!D65)*1000</f>
        <v>-411055.31016086729</v>
      </c>
      <c r="D16" s="5">
        <f>('Rate Base - coal'!E65)*1000</f>
        <v>-584697.0704378892</v>
      </c>
      <c r="E16" s="5">
        <f>('Rate Base - coal'!F65)*1000</f>
        <v>-767163.91921706242</v>
      </c>
      <c r="F16" s="5">
        <f>('Rate Base - coal'!G65)*1000</f>
        <v>-938767.81218447839</v>
      </c>
      <c r="G16" s="5">
        <f>('Rate Base - coal'!H65)*1000</f>
        <v>-1104651.2124690507</v>
      </c>
      <c r="H16" s="5">
        <f>('Rate Base - coal'!I65)*1000</f>
        <v>-1264730.9997129687</v>
      </c>
      <c r="I16" s="5">
        <f>('Rate Base - coal'!J65)*1000</f>
        <v>-1429439.1346529657</v>
      </c>
      <c r="J16" s="5">
        <f>('Rate Base - coal'!K65)*1000</f>
        <v>-1531368.679095096</v>
      </c>
      <c r="K16" s="5">
        <f>('Rate Base - coal'!L65)*1000</f>
        <v>-2829337.8185062078</v>
      </c>
      <c r="L16" s="5">
        <f>('Rate Base - coal'!M65)*1000</f>
        <v>-2847933.3741544522</v>
      </c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</row>
    <row r="17" spans="1:37">
      <c r="A17" s="11" t="s">
        <v>64</v>
      </c>
      <c r="B17" s="5">
        <f>FIT!D25</f>
        <v>-16685815.390322816</v>
      </c>
      <c r="C17" s="5">
        <f>FIT!E25</f>
        <v>-21139548.826182947</v>
      </c>
      <c r="D17" s="5">
        <f>FIT!F25</f>
        <v>-20638050.553258758</v>
      </c>
      <c r="E17" s="5">
        <f>FIT!G25</f>
        <v>-20190889.993243486</v>
      </c>
      <c r="F17" s="5">
        <f>FIT!H25</f>
        <v>-19736317.711843263</v>
      </c>
      <c r="G17" s="5">
        <f>FIT!I25</f>
        <v>-19430882.60003053</v>
      </c>
      <c r="H17" s="5">
        <f>FIT!J25</f>
        <v>-19045916.587821614</v>
      </c>
      <c r="I17" s="5">
        <f>FIT!K25</f>
        <v>-17973767.082730629</v>
      </c>
      <c r="J17" s="5">
        <f>FIT!L25</f>
        <v>-17101859.899378944</v>
      </c>
      <c r="K17" s="5">
        <f>FIT!M25</f>
        <v>-15935039.941253135</v>
      </c>
      <c r="L17" s="5">
        <f>FIT!N25</f>
        <v>-14558563.884683758</v>
      </c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</row>
    <row r="18" spans="1:37">
      <c r="A18" s="11" t="s">
        <v>65</v>
      </c>
      <c r="B18" s="5">
        <f>('Rate Base - coal'!C63+'Rate Base - coal'!C67)*1000</f>
        <v>-5813337.9702132046</v>
      </c>
      <c r="C18" s="5">
        <f>('Rate Base - coal'!D63+'Rate Base - coal'!D67)*1000</f>
        <v>-1637869.2394309263</v>
      </c>
      <c r="D18" s="5">
        <f>('Rate Base - coal'!E63+'Rate Base - coal'!E67)*1000</f>
        <v>-2329753.0098341638</v>
      </c>
      <c r="E18" s="5">
        <f>('Rate Base - coal'!F63+'Rate Base - coal'!F67)*1000</f>
        <v>-3056800.7609369135</v>
      </c>
      <c r="F18" s="5">
        <f>('Rate Base - coal'!G63+'Rate Base - coal'!G67)*1000</f>
        <v>-3740564.5530843325</v>
      </c>
      <c r="G18" s="5">
        <f>('Rate Base - coal'!H63+'Rate Base - coal'!H67)*1000</f>
        <v>-4401534.772765913</v>
      </c>
      <c r="H18" s="5">
        <f>('Rate Base - coal'!I63+'Rate Base - coal'!I67)*1000</f>
        <v>-5039380.2230019206</v>
      </c>
      <c r="I18" s="5">
        <f>('Rate Base - coal'!J63+'Rate Base - coal'!J67)*1000</f>
        <v>-5695667.5425762227</v>
      </c>
      <c r="J18" s="5">
        <f>('Rate Base - coal'!K63+'Rate Base - coal'!K67)*1000</f>
        <v>-6101810.6121442514</v>
      </c>
      <c r="K18" s="5">
        <f>('Rate Base - coal'!L63+'Rate Base - coal'!L67)*1000</f>
        <v>-11273629.767917024</v>
      </c>
      <c r="L18" s="5">
        <f>('Rate Base - coal'!M63+'Rate Base - coal'!M67)*1000</f>
        <v>-11347724.635039568</v>
      </c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</row>
    <row r="19" spans="1:37" ht="14">
      <c r="A19" s="27" t="s">
        <v>7</v>
      </c>
      <c r="B19" s="26">
        <f>SUM(B13:B18)</f>
        <v>68043368.067373961</v>
      </c>
      <c r="C19" s="26">
        <f>SUM(C13:C18)</f>
        <v>69889724.075207949</v>
      </c>
      <c r="D19" s="26">
        <f>SUM(D13:D18)</f>
        <v>71580093.183149591</v>
      </c>
      <c r="E19" s="26">
        <f>SUM(E13:E18)</f>
        <v>73558787.90376398</v>
      </c>
      <c r="F19" s="26">
        <f>SUM(F13:F18)</f>
        <v>75368091.388850078</v>
      </c>
      <c r="G19" s="26">
        <f t="shared" ref="G19:L19" si="2">SUM(G13:G18)</f>
        <v>77668785.53028819</v>
      </c>
      <c r="H19" s="26">
        <f t="shared" si="2"/>
        <v>79611343.776574418</v>
      </c>
      <c r="I19" s="26">
        <f t="shared" si="2"/>
        <v>79265306.966322452</v>
      </c>
      <c r="J19" s="26">
        <f t="shared" si="2"/>
        <v>78804341.858268574</v>
      </c>
      <c r="K19" s="26">
        <f t="shared" si="2"/>
        <v>95721250.62447837</v>
      </c>
      <c r="L19" s="26">
        <f t="shared" si="2"/>
        <v>92852711.121527329</v>
      </c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</row>
    <row r="20" spans="1:37" ht="14">
      <c r="A20" s="27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</row>
    <row r="21" spans="1:37" ht="14">
      <c r="A21" s="27" t="s">
        <v>107</v>
      </c>
      <c r="B21" s="47">
        <f t="shared" ref="B21:L21" si="3">WACC</f>
        <v>6.8338296000000007E-2</v>
      </c>
      <c r="C21" s="47">
        <f t="shared" si="3"/>
        <v>6.8338296000000007E-2</v>
      </c>
      <c r="D21" s="47">
        <f t="shared" si="3"/>
        <v>6.8338296000000007E-2</v>
      </c>
      <c r="E21" s="47">
        <f t="shared" si="3"/>
        <v>6.8338296000000007E-2</v>
      </c>
      <c r="F21" s="47">
        <f t="shared" si="3"/>
        <v>6.8338296000000007E-2</v>
      </c>
      <c r="G21" s="47">
        <f t="shared" si="3"/>
        <v>6.8338296000000007E-2</v>
      </c>
      <c r="H21" s="47">
        <f t="shared" si="3"/>
        <v>6.8338296000000007E-2</v>
      </c>
      <c r="I21" s="47">
        <f t="shared" si="3"/>
        <v>6.8338296000000007E-2</v>
      </c>
      <c r="J21" s="47">
        <f t="shared" si="3"/>
        <v>6.8338296000000007E-2</v>
      </c>
      <c r="K21" s="47">
        <f t="shared" si="3"/>
        <v>6.8338296000000007E-2</v>
      </c>
      <c r="L21" s="47">
        <f t="shared" si="3"/>
        <v>6.8338296000000007E-2</v>
      </c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</row>
    <row r="22" spans="1:37">
      <c r="A22" s="11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</row>
    <row r="23" spans="1:37" ht="14">
      <c r="A23" s="27" t="s">
        <v>0</v>
      </c>
      <c r="B23" s="11">
        <f>('Rate Base - coal'!C16)*1000</f>
        <v>590102960.64235508</v>
      </c>
      <c r="C23" s="11">
        <f>('Rate Base - coal'!D16)*1000</f>
        <v>561673906.45021451</v>
      </c>
      <c r="D23" s="11">
        <f>('Rate Base - coal'!E16)*1000</f>
        <v>527036500.10582644</v>
      </c>
      <c r="E23" s="11">
        <f>('Rate Base - coal'!F16)*1000</f>
        <v>494118995.29154986</v>
      </c>
      <c r="F23" s="11">
        <f>('Rate Base - coal'!G16)*1000</f>
        <v>460443391.82159525</v>
      </c>
      <c r="G23" s="11">
        <f>('Rate Base - coal'!H16)*1000</f>
        <v>426195400.50749922</v>
      </c>
      <c r="H23" s="11">
        <f>('Rate Base - coal'!I16)*1000</f>
        <v>390950234.60046369</v>
      </c>
      <c r="I23" s="11">
        <f>('Rate Base - coal'!J16)*1000</f>
        <v>347628556.05855203</v>
      </c>
      <c r="J23" s="11">
        <f>('Rate Base - coal'!K16)*1000</f>
        <v>301718450.76204985</v>
      </c>
      <c r="K23" s="11">
        <f>('Rate Base - coal'!L16)*1000</f>
        <v>235922137.5452562</v>
      </c>
      <c r="L23" s="11">
        <f>('Rate Base - coal'!M16)*1000</f>
        <v>163711068.8998194</v>
      </c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</row>
    <row r="24" spans="1:37" ht="14">
      <c r="A24" s="27" t="s">
        <v>40</v>
      </c>
      <c r="B24" s="11">
        <f>B23*B21</f>
        <v>40326630.794853613</v>
      </c>
      <c r="C24" s="11">
        <f>C23*C21</f>
        <v>38383837.674471073</v>
      </c>
      <c r="D24" s="11">
        <f>D23*D21</f>
        <v>36016776.347036004</v>
      </c>
      <c r="E24" s="11">
        <f>E23*E21</f>
        <v>33767250.159456544</v>
      </c>
      <c r="F24" s="11">
        <f>F23*F21</f>
        <v>31465916.801548157</v>
      </c>
      <c r="G24" s="11">
        <f t="shared" ref="G24:L24" si="4">G23*G21</f>
        <v>29125467.433720034</v>
      </c>
      <c r="H24" s="11">
        <f t="shared" si="4"/>
        <v>26716872.853395931</v>
      </c>
      <c r="I24" s="11">
        <f t="shared" si="4"/>
        <v>23756343.161981925</v>
      </c>
      <c r="J24" s="11">
        <f t="shared" si="4"/>
        <v>20618924.796838392</v>
      </c>
      <c r="K24" s="11">
        <f t="shared" si="4"/>
        <v>16122516.868520433</v>
      </c>
      <c r="L24" s="11">
        <f t="shared" si="4"/>
        <v>11187735.484952254</v>
      </c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</row>
    <row r="25" spans="1:37" ht="14">
      <c r="A25" s="105"/>
      <c r="B25" s="81"/>
      <c r="C25" s="12"/>
    </row>
    <row r="26" spans="1:37">
      <c r="A26" s="3" t="s">
        <v>61</v>
      </c>
      <c r="B26" s="31">
        <f>B24+B19</f>
        <v>108369998.86222757</v>
      </c>
      <c r="C26" s="31">
        <f>C24+C19</f>
        <v>108273561.74967903</v>
      </c>
      <c r="D26" s="31">
        <f>D24+D19</f>
        <v>107596869.5301856</v>
      </c>
      <c r="E26" s="31">
        <f>E24+E19</f>
        <v>107326038.06322053</v>
      </c>
      <c r="F26" s="31">
        <f>F24+F19</f>
        <v>106834008.19039823</v>
      </c>
      <c r="G26" s="31">
        <f t="shared" ref="G26:L26" si="5">G24+G19</f>
        <v>106794252.96400823</v>
      </c>
      <c r="H26" s="31">
        <f t="shared" si="5"/>
        <v>106328216.62997034</v>
      </c>
      <c r="I26" s="31">
        <f t="shared" si="5"/>
        <v>103021650.12830438</v>
      </c>
      <c r="J26" s="31">
        <f t="shared" si="5"/>
        <v>99423266.655106962</v>
      </c>
      <c r="K26" s="31">
        <f t="shared" si="5"/>
        <v>111843767.49299881</v>
      </c>
      <c r="L26" s="31">
        <f t="shared" si="5"/>
        <v>104040446.60647959</v>
      </c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</row>
    <row r="27" spans="1:37" s="41" customFormat="1">
      <c r="A27" s="41" t="s">
        <v>62</v>
      </c>
      <c r="B27" s="133">
        <f t="shared" ref="B27:L27" si="6">GRCF</f>
        <v>1.3398970400000001</v>
      </c>
      <c r="C27" s="133">
        <f t="shared" si="6"/>
        <v>1.3398970400000001</v>
      </c>
      <c r="D27" s="133">
        <f t="shared" si="6"/>
        <v>1.3398970400000001</v>
      </c>
      <c r="E27" s="133">
        <f t="shared" si="6"/>
        <v>1.3398970400000001</v>
      </c>
      <c r="F27" s="133">
        <f t="shared" si="6"/>
        <v>1.3398970400000001</v>
      </c>
      <c r="G27" s="133">
        <f t="shared" si="6"/>
        <v>1.3398970400000001</v>
      </c>
      <c r="H27" s="133">
        <f t="shared" si="6"/>
        <v>1.3398970400000001</v>
      </c>
      <c r="I27" s="133">
        <f t="shared" si="6"/>
        <v>1.3398970400000001</v>
      </c>
      <c r="J27" s="133">
        <f t="shared" si="6"/>
        <v>1.3398970400000001</v>
      </c>
      <c r="K27" s="133">
        <f t="shared" si="6"/>
        <v>1.3398970400000001</v>
      </c>
      <c r="L27" s="133">
        <f t="shared" si="6"/>
        <v>1.3398970400000001</v>
      </c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</row>
    <row r="28" spans="1:37" ht="14.5" thickBot="1">
      <c r="A28" s="27" t="s">
        <v>63</v>
      </c>
      <c r="B28" s="9">
        <f>B26*B27</f>
        <v>145204640.70030209</v>
      </c>
      <c r="C28" s="9">
        <f>C26*C27</f>
        <v>145075424.89865217</v>
      </c>
      <c r="D28" s="9">
        <f>D26*D27</f>
        <v>144168726.99676189</v>
      </c>
      <c r="E28" s="9">
        <f>E26*E27</f>
        <v>143805840.71583652</v>
      </c>
      <c r="F28" s="9">
        <f>F26*F27</f>
        <v>143146571.34565035</v>
      </c>
      <c r="G28" s="9">
        <f t="shared" ref="G28:L28" si="7">G26*G27</f>
        <v>143093303.43548587</v>
      </c>
      <c r="H28" s="9">
        <f t="shared" si="7"/>
        <v>142468862.73097605</v>
      </c>
      <c r="I28" s="9">
        <f t="shared" si="7"/>
        <v>138038404.06283066</v>
      </c>
      <c r="J28" s="9">
        <f t="shared" si="7"/>
        <v>133216940.69830853</v>
      </c>
      <c r="K28" s="9">
        <f t="shared" si="7"/>
        <v>149859133.00631735</v>
      </c>
      <c r="L28" s="9">
        <f t="shared" si="7"/>
        <v>139403486.44830006</v>
      </c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</row>
    <row r="29" spans="1:37" ht="13" thickTop="1">
      <c r="A29" s="11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</row>
    <row r="30" spans="1:37">
      <c r="A30" s="11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</row>
    <row r="31" spans="1:37">
      <c r="A31" s="11" t="s">
        <v>321</v>
      </c>
      <c r="B31" s="198">
        <f>SUM(Input!B38:B39)</f>
        <v>5097938</v>
      </c>
      <c r="C31" s="198">
        <f>SUM(Input!C38:C39)</f>
        <v>4322587</v>
      </c>
      <c r="D31" s="198">
        <f>SUM(Input!D38:D39)</f>
        <v>3853794</v>
      </c>
      <c r="E31" s="198">
        <f>SUM(Input!E38:E39)</f>
        <v>5080067</v>
      </c>
      <c r="F31" s="198">
        <f>SUM(Input!F38:F39)</f>
        <v>4561058</v>
      </c>
      <c r="G31" s="198">
        <f>SUM(Input!G38:G39)</f>
        <v>4629147</v>
      </c>
      <c r="H31" s="198">
        <f>SUM(Input!H38:H39)</f>
        <v>5046647</v>
      </c>
      <c r="I31" s="198">
        <f>SUM(Input!I38:I39)</f>
        <v>0</v>
      </c>
      <c r="J31" s="198">
        <f>SUM(Input!J38:J39)</f>
        <v>0</v>
      </c>
      <c r="K31" s="198">
        <f>SUM(Input!K38:K39)</f>
        <v>0</v>
      </c>
      <c r="L31" s="198">
        <f>SUM(Input!L38:L39)</f>
        <v>0</v>
      </c>
      <c r="M31" s="212"/>
      <c r="N31" s="212"/>
      <c r="O31" s="212"/>
      <c r="P31" s="212"/>
      <c r="Q31" s="212"/>
      <c r="R31" s="212"/>
      <c r="S31" s="212"/>
      <c r="T31" s="212"/>
      <c r="U31" s="212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</row>
    <row r="32" spans="1:37">
      <c r="A32" s="11" t="s">
        <v>322</v>
      </c>
      <c r="B32" s="31" cm="1">
        <f t="array" ref="B32:H32">TRANSPOSE('NEC Forecast Inputs'!M4:M10)*1000</f>
        <v>62170769.999999993</v>
      </c>
      <c r="C32" s="31">
        <v>35147329.999999985</v>
      </c>
      <c r="D32" s="31">
        <v>11758144.999999989</v>
      </c>
      <c r="E32" s="31">
        <v>63017030.00000003</v>
      </c>
      <c r="F32" s="31">
        <v>44793990.000000022</v>
      </c>
      <c r="G32" s="31">
        <v>34587340</v>
      </c>
      <c r="H32" s="31">
        <v>43047109.999999985</v>
      </c>
      <c r="I32" s="31"/>
      <c r="J32" s="31"/>
      <c r="K32" s="31"/>
      <c r="L32" s="31"/>
      <c r="M32" s="208"/>
      <c r="N32" s="208"/>
      <c r="O32" s="208"/>
      <c r="P32" s="208"/>
      <c r="Q32" s="208"/>
      <c r="R32" s="208"/>
      <c r="S32" s="208"/>
      <c r="T32" s="208"/>
      <c r="U32" s="208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</row>
    <row r="33" spans="1:37" ht="13">
      <c r="A33" s="120" t="s">
        <v>334</v>
      </c>
      <c r="B33" s="31">
        <v>3344477</v>
      </c>
      <c r="C33" s="31">
        <v>3344477</v>
      </c>
      <c r="D33" s="31">
        <v>3344477</v>
      </c>
      <c r="E33" s="13"/>
      <c r="F33" s="13"/>
      <c r="G33" s="13"/>
      <c r="H33" s="13"/>
      <c r="I33" s="13"/>
      <c r="J33" s="13"/>
      <c r="K33" s="13"/>
      <c r="L33" s="13"/>
      <c r="M33" s="211" t="s">
        <v>335</v>
      </c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</row>
    <row r="34" spans="1:37">
      <c r="A34" s="7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208"/>
      <c r="N34" s="208"/>
      <c r="O34" s="208"/>
      <c r="P34" s="208"/>
      <c r="Q34" s="208"/>
      <c r="R34" s="208"/>
      <c r="S34" s="208"/>
      <c r="T34" s="208"/>
      <c r="U34" s="208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</row>
    <row r="35" spans="1:37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</row>
    <row r="36" spans="1:37">
      <c r="A36" s="11" t="s">
        <v>323</v>
      </c>
      <c r="B36" s="31">
        <f>B28-B32+B33</f>
        <v>86378347.700302094</v>
      </c>
      <c r="C36" s="31">
        <f t="shared" ref="C36:D36" si="8">C28-C32+C33</f>
        <v>113272571.89865218</v>
      </c>
      <c r="D36" s="31">
        <f t="shared" si="8"/>
        <v>135755058.99676192</v>
      </c>
      <c r="E36" s="31">
        <f t="shared" ref="E36:L36" si="9">E28-E32</f>
        <v>80788810.715836495</v>
      </c>
      <c r="F36" s="31">
        <f t="shared" si="9"/>
        <v>98352581.345650315</v>
      </c>
      <c r="G36" s="31">
        <f t="shared" si="9"/>
        <v>108505963.43548587</v>
      </c>
      <c r="H36" s="31">
        <f t="shared" si="9"/>
        <v>99421752.73097606</v>
      </c>
      <c r="I36" s="31">
        <f t="shared" si="9"/>
        <v>138038404.06283066</v>
      </c>
      <c r="J36" s="31">
        <f t="shared" si="9"/>
        <v>133216940.69830853</v>
      </c>
      <c r="K36" s="31">
        <f t="shared" si="9"/>
        <v>149859133.00631735</v>
      </c>
      <c r="L36" s="31">
        <f t="shared" si="9"/>
        <v>139403486.44830006</v>
      </c>
      <c r="M36" s="208"/>
      <c r="N36" s="208"/>
      <c r="O36" s="208"/>
      <c r="P36" s="208"/>
      <c r="Q36" s="208"/>
      <c r="R36" s="208"/>
      <c r="S36" s="208"/>
      <c r="T36" s="208"/>
      <c r="U36" s="208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</row>
    <row r="37" spans="1:37" s="199" customFormat="1">
      <c r="A37" s="201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</row>
    <row r="38" spans="1:37">
      <c r="A38" s="11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</row>
    <row r="39" spans="1:37">
      <c r="A39" s="11"/>
      <c r="B39" s="19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</row>
    <row r="40" spans="1:37">
      <c r="A40" s="11"/>
      <c r="B40" s="31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</row>
    <row r="41" spans="1:37">
      <c r="A41" s="11"/>
      <c r="B41" s="31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</row>
    <row r="42" spans="1:37" ht="13">
      <c r="A42" s="46" t="s">
        <v>113</v>
      </c>
      <c r="B42" s="32"/>
    </row>
    <row r="43" spans="1:37">
      <c r="A43" s="3" t="s">
        <v>66</v>
      </c>
      <c r="B43" s="106">
        <f>B28</f>
        <v>145204640.70030209</v>
      </c>
      <c r="C43" s="106">
        <f>C28</f>
        <v>145075424.89865217</v>
      </c>
      <c r="D43" s="106">
        <f>D28</f>
        <v>144168726.99676189</v>
      </c>
      <c r="E43" s="106">
        <f>E28</f>
        <v>143805840.71583652</v>
      </c>
      <c r="F43" s="106">
        <f>F28</f>
        <v>143146571.34565035</v>
      </c>
      <c r="G43" s="106">
        <f t="shared" ref="G43:L43" si="10">G28</f>
        <v>143093303.43548587</v>
      </c>
      <c r="H43" s="106">
        <f t="shared" si="10"/>
        <v>142468862.73097605</v>
      </c>
      <c r="I43" s="106">
        <f t="shared" si="10"/>
        <v>138038404.06283066</v>
      </c>
      <c r="J43" s="106">
        <f t="shared" si="10"/>
        <v>133216940.69830853</v>
      </c>
      <c r="K43" s="106">
        <f t="shared" si="10"/>
        <v>149859133.00631735</v>
      </c>
      <c r="L43" s="106">
        <f t="shared" si="10"/>
        <v>139403486.44830006</v>
      </c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</row>
    <row r="44" spans="1:37">
      <c r="A44" s="3" t="s">
        <v>104</v>
      </c>
      <c r="B44" s="5">
        <f>B13+B14</f>
        <v>96189123.879632801</v>
      </c>
      <c r="C44" s="5">
        <f>C13+C14</f>
        <v>98383580.561069399</v>
      </c>
      <c r="D44" s="5">
        <f>D13+D14</f>
        <v>100312116.12960508</v>
      </c>
      <c r="E44" s="5">
        <f>E13+E14</f>
        <v>102640941.20441958</v>
      </c>
      <c r="F44" s="5">
        <f>F13+F14</f>
        <v>104736956.29115412</v>
      </c>
      <c r="G44" s="5">
        <f t="shared" ref="G44:L44" si="11">G13+G14</f>
        <v>107482414.02739993</v>
      </c>
      <c r="H44" s="5">
        <f t="shared" si="11"/>
        <v>109741316.75112486</v>
      </c>
      <c r="I44" s="5">
        <f t="shared" si="11"/>
        <v>108875049.00873323</v>
      </c>
      <c r="J44" s="5">
        <f t="shared" si="11"/>
        <v>107831427.17566398</v>
      </c>
      <c r="K44" s="5">
        <f t="shared" si="11"/>
        <v>129758467.99613073</v>
      </c>
      <c r="L44" s="5">
        <f t="shared" si="11"/>
        <v>125260689.27936348</v>
      </c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</row>
    <row r="45" spans="1:37">
      <c r="A45" s="3" t="s">
        <v>67</v>
      </c>
      <c r="B45" s="31">
        <f>(B28-B26)+B15+B16+B17+B18</f>
        <v>8688886.0258156843</v>
      </c>
      <c r="C45" s="31">
        <f>(C28-C26)+C15+C16+C17+C18</f>
        <v>8308006.6631116681</v>
      </c>
      <c r="D45" s="31">
        <f>(D28-D26)+D15+D16+D17+D18</f>
        <v>7839834.5201208135</v>
      </c>
      <c r="E45" s="31">
        <f>(E28-E26)+E15+E16+E17+E18</f>
        <v>7397649.3519604001</v>
      </c>
      <c r="F45" s="31">
        <f>(F28-F26)+F15+F16+F17+F18</f>
        <v>6943698.2529480755</v>
      </c>
      <c r="G45" s="31">
        <f t="shared" ref="G45:L45" si="12">(G28-G26)+G15+G16+G17+G18</f>
        <v>6485421.9743659077</v>
      </c>
      <c r="H45" s="31">
        <f t="shared" si="12"/>
        <v>6010673.1264552725</v>
      </c>
      <c r="I45" s="31">
        <f t="shared" si="12"/>
        <v>5407011.8921155157</v>
      </c>
      <c r="J45" s="31">
        <f t="shared" si="12"/>
        <v>4766588.7258061422</v>
      </c>
      <c r="K45" s="31">
        <f t="shared" si="12"/>
        <v>3978148.1416661888</v>
      </c>
      <c r="L45" s="31">
        <f t="shared" si="12"/>
        <v>2955061.6839843281</v>
      </c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</row>
    <row r="46" spans="1:37">
      <c r="A46" s="39" t="s">
        <v>7</v>
      </c>
      <c r="B46" s="40">
        <f>B44+B45</f>
        <v>104878009.90544848</v>
      </c>
      <c r="C46" s="40">
        <f>C44+C45</f>
        <v>106691587.22418107</v>
      </c>
      <c r="D46" s="40">
        <f>D44+D45</f>
        <v>108151950.6497259</v>
      </c>
      <c r="E46" s="40">
        <f>E44+E45</f>
        <v>110038590.55637999</v>
      </c>
      <c r="F46" s="40">
        <f>F44+F45</f>
        <v>111680654.54410219</v>
      </c>
      <c r="G46" s="40">
        <f t="shared" ref="G46:L46" si="13">G44+G45</f>
        <v>113967836.00176583</v>
      </c>
      <c r="H46" s="40">
        <f t="shared" si="13"/>
        <v>115751989.87758014</v>
      </c>
      <c r="I46" s="40">
        <f t="shared" si="13"/>
        <v>114282060.90084875</v>
      </c>
      <c r="J46" s="40">
        <f t="shared" si="13"/>
        <v>112598015.90147012</v>
      </c>
      <c r="K46" s="40">
        <f t="shared" si="13"/>
        <v>133736616.13779692</v>
      </c>
      <c r="L46" s="40">
        <f t="shared" si="13"/>
        <v>128215750.96334781</v>
      </c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</row>
    <row r="47" spans="1:37">
      <c r="A47" s="7" t="s">
        <v>103</v>
      </c>
      <c r="B47" s="32">
        <f>B24</f>
        <v>40326630.794853613</v>
      </c>
      <c r="C47" s="32">
        <f>C24</f>
        <v>38383837.674471073</v>
      </c>
      <c r="D47" s="32">
        <f>D24</f>
        <v>36016776.347036004</v>
      </c>
      <c r="E47" s="32">
        <f>E24</f>
        <v>33767250.159456544</v>
      </c>
      <c r="F47" s="32">
        <f>F24</f>
        <v>31465916.801548157</v>
      </c>
      <c r="G47" s="32">
        <f t="shared" ref="G47:L47" si="14">G24</f>
        <v>29125467.433720034</v>
      </c>
      <c r="H47" s="32">
        <f t="shared" si="14"/>
        <v>26716872.853395931</v>
      </c>
      <c r="I47" s="32">
        <f t="shared" si="14"/>
        <v>23756343.161981925</v>
      </c>
      <c r="J47" s="32">
        <f t="shared" si="14"/>
        <v>20618924.796838392</v>
      </c>
      <c r="K47" s="32">
        <f t="shared" si="14"/>
        <v>16122516.868520433</v>
      </c>
      <c r="L47" s="32">
        <f t="shared" si="14"/>
        <v>11187735.484952254</v>
      </c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</row>
    <row r="48" spans="1:37">
      <c r="A48" s="36" t="s">
        <v>47</v>
      </c>
      <c r="B48" s="38">
        <f>B23*WACD</f>
        <v>16596304.098452024</v>
      </c>
      <c r="C48" s="38">
        <f>C23*WACD</f>
        <v>15796753.409720449</v>
      </c>
      <c r="D48" s="38">
        <f>D23*WACD</f>
        <v>14822596.411342807</v>
      </c>
      <c r="E48" s="38">
        <f>E23*WACD</f>
        <v>13896810.647676567</v>
      </c>
      <c r="F48" s="38">
        <f>F23*WACD</f>
        <v>12949703.798258502</v>
      </c>
      <c r="G48" s="38">
        <f t="shared" ref="G48:L48" si="15">G23*WACD</f>
        <v>11986498.872136522</v>
      </c>
      <c r="H48" s="38">
        <f t="shared" si="15"/>
        <v>10995248.987952208</v>
      </c>
      <c r="I48" s="38">
        <f t="shared" si="15"/>
        <v>9776851.8622128181</v>
      </c>
      <c r="J48" s="38">
        <f t="shared" si="15"/>
        <v>8485656.7326996606</v>
      </c>
      <c r="K48" s="38">
        <f t="shared" si="15"/>
        <v>6635173.5195426922</v>
      </c>
      <c r="L48" s="38">
        <f t="shared" si="15"/>
        <v>4604279.0240985276</v>
      </c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</row>
    <row r="49" spans="1:37">
      <c r="A49" s="7" t="s">
        <v>69</v>
      </c>
      <c r="B49" s="32">
        <f>B47-B48</f>
        <v>23730326.696401589</v>
      </c>
      <c r="C49" s="32">
        <f>C47-C48</f>
        <v>22587084.264750622</v>
      </c>
      <c r="D49" s="32">
        <f>D47-D48</f>
        <v>21194179.935693197</v>
      </c>
      <c r="E49" s="32">
        <f>E47-E48</f>
        <v>19870439.511779979</v>
      </c>
      <c r="F49" s="32">
        <f>F47-F48</f>
        <v>18516213.003289655</v>
      </c>
      <c r="G49" s="32">
        <f t="shared" ref="G49:L49" si="16">G47-G48</f>
        <v>17138968.561583512</v>
      </c>
      <c r="H49" s="32">
        <f t="shared" si="16"/>
        <v>15721623.865443723</v>
      </c>
      <c r="I49" s="32">
        <f t="shared" si="16"/>
        <v>13979491.299769107</v>
      </c>
      <c r="J49" s="32">
        <f t="shared" si="16"/>
        <v>12133268.064138731</v>
      </c>
      <c r="K49" s="32">
        <f t="shared" si="16"/>
        <v>9487343.3489777409</v>
      </c>
      <c r="L49" s="32">
        <f t="shared" si="16"/>
        <v>6583456.4608537266</v>
      </c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</row>
    <row r="50" spans="1:37">
      <c r="A50" s="36" t="s">
        <v>68</v>
      </c>
      <c r="B50" s="37">
        <f>B23*EquityWeighting</f>
        <v>243387966.11693934</v>
      </c>
      <c r="C50" s="37">
        <f>C23*EquityWeighting</f>
        <v>231662402.71539095</v>
      </c>
      <c r="D50" s="37">
        <f>D23*EquityWeighting</f>
        <v>217376204.46864811</v>
      </c>
      <c r="E50" s="37">
        <f>E23*EquityWeighting</f>
        <v>203799379.60799974</v>
      </c>
      <c r="F50" s="37">
        <f>F23*EquityWeighting</f>
        <v>189909876.95681694</v>
      </c>
      <c r="G50" s="37">
        <f t="shared" ref="G50:L50" si="17">G23*EquityWeighting</f>
        <v>175784292.93931803</v>
      </c>
      <c r="H50" s="37">
        <f t="shared" si="17"/>
        <v>161247424.26096123</v>
      </c>
      <c r="I50" s="37">
        <f t="shared" si="17"/>
        <v>143379397.94634977</v>
      </c>
      <c r="J50" s="37">
        <f t="shared" si="17"/>
        <v>124443775.01680745</v>
      </c>
      <c r="K50" s="37">
        <f t="shared" si="17"/>
        <v>97306085.630540907</v>
      </c>
      <c r="L50" s="37">
        <f t="shared" si="17"/>
        <v>67522630.367730513</v>
      </c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</row>
    <row r="51" spans="1:37">
      <c r="A51" s="7" t="s">
        <v>102</v>
      </c>
      <c r="B51" s="195">
        <f>B49/B50</f>
        <v>9.7500000000000017E-2</v>
      </c>
      <c r="C51" s="195">
        <f>C49/C50</f>
        <v>9.7500000000000017E-2</v>
      </c>
      <c r="D51" s="195">
        <f>D49/D50</f>
        <v>9.7500000000000031E-2</v>
      </c>
      <c r="E51" s="195">
        <f>E49/E50</f>
        <v>9.7500000000000017E-2</v>
      </c>
      <c r="F51" s="195">
        <f>F49/F50</f>
        <v>9.7500000000000017E-2</v>
      </c>
      <c r="G51" s="195">
        <f t="shared" ref="G51:L51" si="18">G49/G50</f>
        <v>9.7500000000000017E-2</v>
      </c>
      <c r="H51" s="195">
        <f t="shared" si="18"/>
        <v>9.7500000000000017E-2</v>
      </c>
      <c r="I51" s="195">
        <f t="shared" si="18"/>
        <v>9.7500000000000031E-2</v>
      </c>
      <c r="J51" s="195">
        <f t="shared" si="18"/>
        <v>9.7500000000000031E-2</v>
      </c>
      <c r="K51" s="195">
        <f t="shared" si="18"/>
        <v>9.7500000000000031E-2</v>
      </c>
      <c r="L51" s="195">
        <f t="shared" si="18"/>
        <v>9.7500000000000017E-2</v>
      </c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</row>
    <row r="52" spans="1:37">
      <c r="B52" s="3" t="b">
        <f>B51=ROE</f>
        <v>1</v>
      </c>
      <c r="C52" s="3" t="b">
        <f>C51=ROE</f>
        <v>1</v>
      </c>
      <c r="D52" s="3" t="b">
        <f>D51=ROE</f>
        <v>1</v>
      </c>
      <c r="E52" s="3" t="b">
        <f>E51=ROE</f>
        <v>1</v>
      </c>
      <c r="F52" s="3" t="b">
        <f>F51=ROE</f>
        <v>1</v>
      </c>
      <c r="G52" s="3" t="b">
        <f t="shared" ref="G52:L52" si="19">G51=ROE</f>
        <v>1</v>
      </c>
      <c r="H52" s="3" t="b">
        <f t="shared" si="19"/>
        <v>1</v>
      </c>
      <c r="I52" s="3" t="b">
        <f t="shared" si="19"/>
        <v>1</v>
      </c>
      <c r="J52" s="3" t="b">
        <f t="shared" si="19"/>
        <v>1</v>
      </c>
      <c r="K52" s="3" t="b">
        <f t="shared" si="19"/>
        <v>1</v>
      </c>
      <c r="L52" s="3" t="b">
        <f t="shared" si="19"/>
        <v>1</v>
      </c>
    </row>
    <row r="53" spans="1:37">
      <c r="A53" s="7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</row>
    <row r="54" spans="1:37">
      <c r="A54" s="7" t="s">
        <v>109</v>
      </c>
      <c r="B54" s="31">
        <f t="shared" ref="B54:F55" si="20">B13</f>
        <v>43204519.166640431</v>
      </c>
      <c r="C54" s="31">
        <f t="shared" si="20"/>
        <v>43352918.941598848</v>
      </c>
      <c r="D54" s="31">
        <f t="shared" si="20"/>
        <v>43692472.219697237</v>
      </c>
      <c r="E54" s="31">
        <f t="shared" si="20"/>
        <v>44214190.529468328</v>
      </c>
      <c r="F54" s="31">
        <f t="shared" si="20"/>
        <v>44485495.176227599</v>
      </c>
      <c r="G54" s="31">
        <f t="shared" ref="G54:L54" si="21">G13</f>
        <v>45367563.474692017</v>
      </c>
      <c r="H54" s="31">
        <f t="shared" si="21"/>
        <v>45756868.614511713</v>
      </c>
      <c r="I54" s="31">
        <f t="shared" si="21"/>
        <v>43659904.243258968</v>
      </c>
      <c r="J54" s="31">
        <f t="shared" si="21"/>
        <v>41555204.212214008</v>
      </c>
      <c r="K54" s="31">
        <f t="shared" si="21"/>
        <v>38043180.565587014</v>
      </c>
      <c r="L54" s="31">
        <f t="shared" si="21"/>
        <v>33545401.848819755</v>
      </c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</row>
    <row r="55" spans="1:37">
      <c r="A55" s="7" t="s">
        <v>110</v>
      </c>
      <c r="B55" s="31">
        <f t="shared" si="20"/>
        <v>52984604.71299237</v>
      </c>
      <c r="C55" s="31">
        <f t="shared" si="20"/>
        <v>55030661.619470544</v>
      </c>
      <c r="D55" s="31">
        <f t="shared" si="20"/>
        <v>56619643.909907855</v>
      </c>
      <c r="E55" s="31">
        <f t="shared" si="20"/>
        <v>58426750.674951255</v>
      </c>
      <c r="F55" s="31">
        <f t="shared" si="20"/>
        <v>60251461.11492651</v>
      </c>
      <c r="G55" s="31">
        <f t="shared" ref="G55:L55" si="22">G14</f>
        <v>62114850.552707918</v>
      </c>
      <c r="H55" s="31">
        <f t="shared" si="22"/>
        <v>63984448.136613153</v>
      </c>
      <c r="I55" s="31">
        <f t="shared" si="22"/>
        <v>65215144.76547426</v>
      </c>
      <c r="J55" s="31">
        <f t="shared" si="22"/>
        <v>66276222.96344997</v>
      </c>
      <c r="K55" s="31">
        <f t="shared" si="22"/>
        <v>91715287.430543721</v>
      </c>
      <c r="L55" s="31">
        <f t="shared" si="22"/>
        <v>91715287.430543721</v>
      </c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</row>
    <row r="56" spans="1:37">
      <c r="A56" s="7" t="s">
        <v>112</v>
      </c>
      <c r="B56" s="5">
        <f>B28-SUM(B54:B55,B57)</f>
        <v>8688886.0258156955</v>
      </c>
      <c r="C56" s="5">
        <f>C28-SUM(C54:C55,C57)</f>
        <v>8308006.6631116867</v>
      </c>
      <c r="D56" s="5">
        <f>D28-SUM(D54:D55,D57)</f>
        <v>7839834.5201207995</v>
      </c>
      <c r="E56" s="5">
        <f>E28-SUM(E54:E55,E57)</f>
        <v>7397649.3519603908</v>
      </c>
      <c r="F56" s="5">
        <f>F28-SUM(F54:F55,F57)</f>
        <v>6943698.2529480755</v>
      </c>
      <c r="G56" s="5">
        <f t="shared" ref="G56:L56" si="23">G28-SUM(G54:G55,G57)</f>
        <v>6485421.9743659198</v>
      </c>
      <c r="H56" s="5">
        <f t="shared" si="23"/>
        <v>6010673.1264552474</v>
      </c>
      <c r="I56" s="5">
        <f t="shared" si="23"/>
        <v>5407011.8921155035</v>
      </c>
      <c r="J56" s="5">
        <f t="shared" si="23"/>
        <v>4766588.7258061618</v>
      </c>
      <c r="K56" s="5">
        <f t="shared" si="23"/>
        <v>3978148.1416661739</v>
      </c>
      <c r="L56" s="5">
        <f t="shared" si="23"/>
        <v>2955061.6839843392</v>
      </c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</row>
    <row r="57" spans="1:37">
      <c r="A57" s="7" t="s">
        <v>111</v>
      </c>
      <c r="B57" s="42">
        <f>B24</f>
        <v>40326630.794853613</v>
      </c>
      <c r="C57" s="42">
        <f>C24</f>
        <v>38383837.674471073</v>
      </c>
      <c r="D57" s="42">
        <f>D24</f>
        <v>36016776.347036004</v>
      </c>
      <c r="E57" s="42">
        <f>E24</f>
        <v>33767250.159456544</v>
      </c>
      <c r="F57" s="42">
        <f>F24</f>
        <v>31465916.801548157</v>
      </c>
      <c r="G57" s="42">
        <f t="shared" ref="G57:L57" si="24">G24</f>
        <v>29125467.433720034</v>
      </c>
      <c r="H57" s="42">
        <f t="shared" si="24"/>
        <v>26716872.853395931</v>
      </c>
      <c r="I57" s="42">
        <f t="shared" si="24"/>
        <v>23756343.161981925</v>
      </c>
      <c r="J57" s="42">
        <f t="shared" si="24"/>
        <v>20618924.796838392</v>
      </c>
      <c r="K57" s="42">
        <f t="shared" si="24"/>
        <v>16122516.868520433</v>
      </c>
      <c r="L57" s="42">
        <f t="shared" si="24"/>
        <v>11187735.484952254</v>
      </c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</row>
    <row r="58" spans="1:37">
      <c r="B58" s="32">
        <f>SUM(B54:B57)-B28</f>
        <v>0</v>
      </c>
      <c r="C58" s="32">
        <f>SUM(C54:C57)-C28</f>
        <v>0</v>
      </c>
      <c r="D58" s="32">
        <f>SUM(D54:D57)-D28</f>
        <v>0</v>
      </c>
      <c r="E58" s="32">
        <f>SUM(E54:E57)-E28</f>
        <v>0</v>
      </c>
      <c r="F58" s="32">
        <f>SUM(F54:F57)-F28</f>
        <v>0</v>
      </c>
      <c r="G58" s="32">
        <f t="shared" ref="G58:L58" si="25">SUM(G54:G57)-G28</f>
        <v>0</v>
      </c>
      <c r="H58" s="32">
        <f t="shared" si="25"/>
        <v>0</v>
      </c>
      <c r="I58" s="32">
        <f t="shared" si="25"/>
        <v>0</v>
      </c>
      <c r="J58" s="32">
        <f t="shared" si="25"/>
        <v>0</v>
      </c>
      <c r="K58" s="32">
        <f t="shared" si="25"/>
        <v>0</v>
      </c>
      <c r="L58" s="32">
        <f t="shared" si="25"/>
        <v>0</v>
      </c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</row>
    <row r="59" spans="1:37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</row>
    <row r="60" spans="1:37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</row>
    <row r="61" spans="1:3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</row>
    <row r="63" spans="1:3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2:37"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</row>
    <row r="66" spans="2:3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2:37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</row>
    <row r="68" spans="2:3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</sheetData>
  <customSheetViews>
    <customSheetView guid="{B2261136-1BD6-4EB8-80BC-AC5217B292C2}" scale="85" showPageBreaks="1" fitToPage="1" printArea="1" view="pageBreakPreview">
      <selection activeCell="C13" sqref="C13"/>
      <pageMargins left="0.7" right="0.7" top="0.75" bottom="0.75" header="0.3" footer="0.3"/>
      <pageSetup scale="61" fitToHeight="0" orientation="landscape" r:id="rId1"/>
    </customSheetView>
  </customSheetViews>
  <mergeCells count="2">
    <mergeCell ref="A1:J1"/>
    <mergeCell ref="A2:J2"/>
  </mergeCells>
  <phoneticPr fontId="58" type="noConversion"/>
  <pageMargins left="0.7" right="0.7" top="0.75" bottom="0.75" header="0.3" footer="0.3"/>
  <pageSetup scale="50" fitToHeight="0" orientation="landscape" r:id="rId2"/>
  <headerFooter>
    <oddHeader xml:space="preserve">&amp;RAPCo Exhibit No. ____
Witness: KIW
Schedule 46, Section 3
Statement 8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J43"/>
  <sheetViews>
    <sheetView topLeftCell="A12" workbookViewId="0">
      <selection activeCell="H42" sqref="H42"/>
    </sheetView>
  </sheetViews>
  <sheetFormatPr defaultColWidth="9.1796875" defaultRowHeight="12.5"/>
  <cols>
    <col min="1" max="1" width="51.7265625" style="3" customWidth="1"/>
    <col min="2" max="2" width="19.1796875" style="3" bestFit="1" customWidth="1"/>
    <col min="3" max="9" width="14.7265625" style="3" customWidth="1"/>
    <col min="10" max="21" width="13.81640625" style="3" bestFit="1" customWidth="1"/>
    <col min="22" max="22" width="14" style="2" bestFit="1" customWidth="1"/>
    <col min="23" max="25" width="13.81640625" style="3" bestFit="1" customWidth="1"/>
    <col min="26" max="26" width="14" style="2" bestFit="1" customWidth="1"/>
    <col min="27" max="29" width="13.81640625" style="3" bestFit="1" customWidth="1"/>
    <col min="30" max="30" width="14" style="2" bestFit="1" customWidth="1"/>
    <col min="31" max="33" width="13.81640625" style="3" bestFit="1" customWidth="1"/>
    <col min="34" max="34" width="14" style="2" bestFit="1" customWidth="1"/>
    <col min="35" max="36" width="13.81640625" style="3" bestFit="1" customWidth="1"/>
    <col min="37" max="16384" width="9.1796875" style="3"/>
  </cols>
  <sheetData>
    <row r="1" spans="1:36" ht="14">
      <c r="A1" s="265" t="str">
        <f>Input!B2&amp;" "&amp;Input!B3</f>
        <v>KPCO KY</v>
      </c>
      <c r="B1" s="265"/>
      <c r="C1" s="265"/>
      <c r="D1" s="265"/>
      <c r="E1" s="265"/>
      <c r="F1" s="265"/>
      <c r="G1" s="265"/>
      <c r="H1" s="265"/>
      <c r="I1" s="265"/>
      <c r="J1" s="265"/>
    </row>
    <row r="2" spans="1:36" ht="14">
      <c r="A2" s="265" t="s">
        <v>13</v>
      </c>
      <c r="B2" s="265"/>
      <c r="C2" s="265"/>
      <c r="D2" s="265"/>
      <c r="E2" s="265"/>
      <c r="F2" s="265"/>
      <c r="G2" s="265"/>
      <c r="H2" s="265"/>
      <c r="I2" s="265"/>
      <c r="J2" s="265"/>
      <c r="K2" s="8"/>
      <c r="L2" s="8"/>
      <c r="M2" s="8"/>
    </row>
    <row r="3" spans="1:36">
      <c r="B3" s="124" t="s">
        <v>16</v>
      </c>
      <c r="C3" s="124" t="s">
        <v>17</v>
      </c>
      <c r="D3" s="124" t="s">
        <v>18</v>
      </c>
      <c r="E3" s="124" t="s">
        <v>19</v>
      </c>
      <c r="F3" s="124" t="s">
        <v>20</v>
      </c>
      <c r="G3" s="124" t="s">
        <v>21</v>
      </c>
      <c r="H3" s="124" t="s">
        <v>22</v>
      </c>
      <c r="I3" s="124" t="s">
        <v>23</v>
      </c>
      <c r="J3" s="124" t="s">
        <v>24</v>
      </c>
      <c r="K3" s="124" t="s">
        <v>25</v>
      </c>
      <c r="L3" s="124" t="s">
        <v>26</v>
      </c>
      <c r="M3" s="124" t="s">
        <v>27</v>
      </c>
      <c r="N3" s="124" t="s">
        <v>28</v>
      </c>
      <c r="O3" s="124" t="s">
        <v>29</v>
      </c>
      <c r="P3" s="124" t="s">
        <v>30</v>
      </c>
      <c r="Q3" s="124" t="s">
        <v>31</v>
      </c>
      <c r="R3" s="124" t="s">
        <v>32</v>
      </c>
      <c r="S3" s="124" t="s">
        <v>33</v>
      </c>
      <c r="T3" s="124" t="s">
        <v>34</v>
      </c>
      <c r="U3" s="124" t="s">
        <v>35</v>
      </c>
      <c r="V3" s="124" t="s">
        <v>36</v>
      </c>
      <c r="W3" s="124" t="s">
        <v>299</v>
      </c>
      <c r="X3" s="124" t="s">
        <v>300</v>
      </c>
      <c r="Y3" s="124" t="s">
        <v>301</v>
      </c>
      <c r="Z3" s="124" t="s">
        <v>302</v>
      </c>
      <c r="AA3" s="124" t="s">
        <v>303</v>
      </c>
      <c r="AB3" s="124" t="s">
        <v>304</v>
      </c>
      <c r="AC3" s="124" t="s">
        <v>305</v>
      </c>
      <c r="AD3" s="124" t="s">
        <v>306</v>
      </c>
      <c r="AE3" s="124" t="s">
        <v>307</v>
      </c>
      <c r="AF3" s="124" t="s">
        <v>308</v>
      </c>
      <c r="AG3" s="124" t="s">
        <v>309</v>
      </c>
      <c r="AH3" s="124" t="s">
        <v>310</v>
      </c>
      <c r="AI3" s="124" t="s">
        <v>311</v>
      </c>
      <c r="AJ3" s="124" t="s">
        <v>312</v>
      </c>
    </row>
    <row r="4" spans="1:36">
      <c r="A4" s="11"/>
      <c r="B4" s="125">
        <f>'OPCO Rev Req'!B5</f>
        <v>2029</v>
      </c>
      <c r="C4" s="125">
        <f>'OPCO Rev Req'!C5</f>
        <v>2030</v>
      </c>
      <c r="D4" s="125">
        <f>'OPCO Rev Req'!D5</f>
        <v>2031</v>
      </c>
      <c r="E4" s="125">
        <f>'OPCO Rev Req'!E5</f>
        <v>2032</v>
      </c>
      <c r="F4" s="125">
        <f>'OPCO Rev Req'!F5</f>
        <v>2033</v>
      </c>
      <c r="G4" s="125">
        <f>'OPCO Rev Req'!G5</f>
        <v>2034</v>
      </c>
      <c r="H4" s="125">
        <f>'OPCO Rev Req'!H5</f>
        <v>2035</v>
      </c>
      <c r="I4" s="125">
        <f>'OPCO Rev Req'!I5</f>
        <v>2036</v>
      </c>
      <c r="J4" s="125">
        <f>'OPCO Rev Req'!J5</f>
        <v>2037</v>
      </c>
      <c r="K4" s="125">
        <f>'OPCO Rev Req'!K5</f>
        <v>2038</v>
      </c>
      <c r="L4" s="125">
        <f>'OPCO Rev Req'!L5</f>
        <v>2039</v>
      </c>
      <c r="M4" s="125">
        <f>'OPCO Rev Req'!M5</f>
        <v>0</v>
      </c>
      <c r="N4" s="125">
        <f>'OPCO Rev Req'!N5</f>
        <v>0</v>
      </c>
      <c r="O4" s="125">
        <f>'OPCO Rev Req'!O5</f>
        <v>0</v>
      </c>
      <c r="P4" s="125">
        <f>'OPCO Rev Req'!P5</f>
        <v>0</v>
      </c>
      <c r="Q4" s="125">
        <f>'OPCO Rev Req'!Q5</f>
        <v>0</v>
      </c>
      <c r="R4" s="125">
        <f>'OPCO Rev Req'!R5</f>
        <v>0</v>
      </c>
      <c r="S4" s="125">
        <f>'OPCO Rev Req'!S5</f>
        <v>0</v>
      </c>
      <c r="T4" s="125">
        <f>'OPCO Rev Req'!T5</f>
        <v>0</v>
      </c>
      <c r="U4" s="125">
        <f>'OPCO Rev Req'!U5</f>
        <v>0</v>
      </c>
      <c r="V4" s="125">
        <f>'OPCO Rev Req'!V5</f>
        <v>0</v>
      </c>
      <c r="W4" s="125">
        <f>'OPCO Rev Req'!W5</f>
        <v>0</v>
      </c>
      <c r="X4" s="125">
        <f>'OPCO Rev Req'!X5</f>
        <v>0</v>
      </c>
      <c r="Y4" s="125">
        <f>'OPCO Rev Req'!Y5</f>
        <v>0</v>
      </c>
      <c r="Z4" s="125">
        <f>'OPCO Rev Req'!Z5</f>
        <v>0</v>
      </c>
      <c r="AA4" s="125">
        <f>'OPCO Rev Req'!AA5</f>
        <v>0</v>
      </c>
      <c r="AB4" s="125">
        <f>'OPCO Rev Req'!AB5</f>
        <v>0</v>
      </c>
      <c r="AC4" s="125">
        <f>'OPCO Rev Req'!AC5</f>
        <v>0</v>
      </c>
      <c r="AD4" s="125">
        <f>'OPCO Rev Req'!AD5</f>
        <v>0</v>
      </c>
      <c r="AE4" s="125">
        <f>'OPCO Rev Req'!AE5</f>
        <v>0</v>
      </c>
      <c r="AF4" s="125">
        <f>'OPCO Rev Req'!AF5</f>
        <v>0</v>
      </c>
      <c r="AG4" s="125">
        <f>'OPCO Rev Req'!AG5</f>
        <v>0</v>
      </c>
      <c r="AH4" s="125">
        <f>'OPCO Rev Req'!AH5</f>
        <v>0</v>
      </c>
      <c r="AI4" s="125">
        <f>'OPCO Rev Req'!AI5</f>
        <v>0</v>
      </c>
      <c r="AJ4" s="125">
        <f>'OPCO Rev Req'!AJ5</f>
        <v>0</v>
      </c>
    </row>
    <row r="5" spans="1:36">
      <c r="A5" s="11" t="str">
        <f>'OPCO Rev Req'!A6</f>
        <v>Operations and Maint Expense - Account 549</v>
      </c>
      <c r="B5" s="49" cm="1">
        <f t="array" ref="B5">'OPCO Rev Req'!B6*Allocator</f>
        <v>33523508.671640433</v>
      </c>
      <c r="C5" s="49" cm="1">
        <f t="array" ref="C5">'OPCO Rev Req'!C6*Allocator</f>
        <v>33671908.446598843</v>
      </c>
      <c r="D5" s="49" cm="1">
        <f t="array" ref="D5">'OPCO Rev Req'!D6*Allocator</f>
        <v>34011461.724697232</v>
      </c>
      <c r="E5" s="49" cm="1">
        <f t="array" ref="E5">'OPCO Rev Req'!E6*Allocator</f>
        <v>34533180.03446833</v>
      </c>
      <c r="F5" s="49" cm="1">
        <f t="array" ref="F5">'OPCO Rev Req'!F6*Allocator</f>
        <v>34804484.681227595</v>
      </c>
      <c r="G5" s="49" cm="1">
        <f t="array" ref="G5">'OPCO Rev Req'!G6*Allocator</f>
        <v>35686552.979692012</v>
      </c>
      <c r="H5" s="49" cm="1">
        <f t="array" ref="H5">'OPCO Rev Req'!H6*Allocator</f>
        <v>36075858.119511716</v>
      </c>
      <c r="I5" s="49" cm="1">
        <f t="array" ref="I5">'OPCO Rev Req'!I6*Allocator</f>
        <v>33978893.748258963</v>
      </c>
      <c r="J5" s="49" cm="1">
        <f t="array" ref="J5">'OPCO Rev Req'!J6*Allocator</f>
        <v>31874193.717214011</v>
      </c>
      <c r="K5" s="49" cm="1">
        <f t="array" ref="K5">'OPCO Rev Req'!K6*Allocator</f>
        <v>28362170.070587009</v>
      </c>
      <c r="L5" s="49" cm="1">
        <f t="array" ref="L5">'OPCO Rev Req'!L6*Allocator</f>
        <v>23864391.353819754</v>
      </c>
      <c r="M5" s="49" cm="1">
        <f t="array" ref="M5">'OPCO Rev Req'!M6*Allocator</f>
        <v>0</v>
      </c>
      <c r="N5" s="49" cm="1">
        <f t="array" ref="N5">'OPCO Rev Req'!N6*Allocator</f>
        <v>0</v>
      </c>
      <c r="O5" s="49" cm="1">
        <f t="array" ref="O5">'OPCO Rev Req'!O6*Allocator</f>
        <v>0</v>
      </c>
      <c r="P5" s="49" cm="1">
        <f t="array" ref="P5">'OPCO Rev Req'!P6*Allocator</f>
        <v>0</v>
      </c>
      <c r="Q5" s="49" cm="1">
        <f t="array" ref="Q5">'OPCO Rev Req'!Q6*Allocator</f>
        <v>0</v>
      </c>
      <c r="R5" s="49" cm="1">
        <f t="array" ref="R5">'OPCO Rev Req'!R6*Allocator</f>
        <v>0</v>
      </c>
      <c r="S5" s="49" cm="1">
        <f t="array" ref="S5">'OPCO Rev Req'!S6*Allocator</f>
        <v>0</v>
      </c>
      <c r="T5" s="49" cm="1">
        <f t="array" ref="T5">'OPCO Rev Req'!T6*Allocator</f>
        <v>0</v>
      </c>
      <c r="U5" s="49" cm="1">
        <f t="array" ref="U5">'OPCO Rev Req'!U6*Allocator</f>
        <v>0</v>
      </c>
      <c r="V5" s="49" cm="1">
        <f t="array" ref="V5">'OPCO Rev Req'!V6*Allocator</f>
        <v>0</v>
      </c>
      <c r="W5" s="49" cm="1">
        <f t="array" ref="W5">'OPCO Rev Req'!W6*Allocator</f>
        <v>0</v>
      </c>
      <c r="X5" s="49" cm="1">
        <f t="array" ref="X5">'OPCO Rev Req'!X6*Allocator</f>
        <v>0</v>
      </c>
      <c r="Y5" s="49" cm="1">
        <f t="array" ref="Y5">'OPCO Rev Req'!Y6*Allocator</f>
        <v>0</v>
      </c>
      <c r="Z5" s="49" cm="1">
        <f t="array" ref="Z5">'OPCO Rev Req'!Z6*Allocator</f>
        <v>0</v>
      </c>
      <c r="AA5" s="49" cm="1">
        <f t="array" ref="AA5">'OPCO Rev Req'!AA6*Allocator</f>
        <v>0</v>
      </c>
      <c r="AB5" s="49" cm="1">
        <f t="array" ref="AB5">'OPCO Rev Req'!AB6*Allocator</f>
        <v>0</v>
      </c>
      <c r="AC5" s="49" cm="1">
        <f t="array" ref="AC5">'OPCO Rev Req'!AC6*Allocator</f>
        <v>0</v>
      </c>
      <c r="AD5" s="49" cm="1">
        <f t="array" ref="AD5">'OPCO Rev Req'!AD6*Allocator</f>
        <v>0</v>
      </c>
      <c r="AE5" s="49" cm="1">
        <f t="array" ref="AE5">'OPCO Rev Req'!AE6*Allocator</f>
        <v>0</v>
      </c>
      <c r="AF5" s="49" cm="1">
        <f t="array" ref="AF5">'OPCO Rev Req'!AF6*Allocator</f>
        <v>0</v>
      </c>
      <c r="AG5" s="49" cm="1">
        <f t="array" ref="AG5">'OPCO Rev Req'!AG6*Allocator</f>
        <v>0</v>
      </c>
      <c r="AH5" s="49" cm="1">
        <f t="array" ref="AH5">'OPCO Rev Req'!AH6*Allocator</f>
        <v>0</v>
      </c>
      <c r="AI5" s="49" cm="1">
        <f t="array" ref="AI5">'OPCO Rev Req'!AI6*Allocator</f>
        <v>0</v>
      </c>
      <c r="AJ5" s="49" cm="1">
        <f t="array" ref="AJ5">'OPCO Rev Req'!AJ6*Allocator</f>
        <v>0</v>
      </c>
    </row>
    <row r="6" spans="1:36">
      <c r="A6" s="11" t="str">
        <f>'OPCO Rev Req'!A7</f>
        <v>Property Tax Expense - Account 408</v>
      </c>
      <c r="B6" s="49" cm="1">
        <f t="array" ref="B6">'OPCO Rev Req'!B7*Allocator</f>
        <v>3148408.96</v>
      </c>
      <c r="C6" s="49" cm="1">
        <f t="array" ref="C6">'OPCO Rev Req'!C7*Allocator</f>
        <v>3148408.96</v>
      </c>
      <c r="D6" s="49" cm="1">
        <f t="array" ref="D6">'OPCO Rev Req'!D7*Allocator</f>
        <v>3148408.96</v>
      </c>
      <c r="E6" s="49" cm="1">
        <f t="array" ref="E6">'OPCO Rev Req'!E7*Allocator</f>
        <v>3148408.96</v>
      </c>
      <c r="F6" s="49" cm="1">
        <f t="array" ref="F6">'OPCO Rev Req'!F7*Allocator</f>
        <v>3148408.96</v>
      </c>
      <c r="G6" s="49" cm="1">
        <f t="array" ref="G6">'OPCO Rev Req'!G7*Allocator</f>
        <v>3148408.96</v>
      </c>
      <c r="H6" s="49" cm="1">
        <f t="array" ref="H6">'OPCO Rev Req'!H7*Allocator</f>
        <v>3148408.96</v>
      </c>
      <c r="I6" s="49" cm="1">
        <f t="array" ref="I6">'OPCO Rev Req'!I7*Allocator</f>
        <v>3148408.96</v>
      </c>
      <c r="J6" s="49" cm="1">
        <f t="array" ref="J6">'OPCO Rev Req'!J7*Allocator</f>
        <v>3148408.96</v>
      </c>
      <c r="K6" s="49" cm="1">
        <f t="array" ref="K6">'OPCO Rev Req'!K7*Allocator</f>
        <v>3148408.96</v>
      </c>
      <c r="L6" s="49" cm="1">
        <f t="array" ref="L6">'OPCO Rev Req'!L7*Allocator</f>
        <v>3148408.96</v>
      </c>
      <c r="M6" s="49" cm="1">
        <f t="array" ref="M6">'OPCO Rev Req'!M7*Allocator</f>
        <v>0</v>
      </c>
      <c r="N6" s="49" cm="1">
        <f t="array" ref="N6">'OPCO Rev Req'!N7*Allocator</f>
        <v>0</v>
      </c>
      <c r="O6" s="49" cm="1">
        <f t="array" ref="O6">'OPCO Rev Req'!O7*Allocator</f>
        <v>0</v>
      </c>
      <c r="P6" s="49" cm="1">
        <f t="array" ref="P6">'OPCO Rev Req'!P7*Allocator</f>
        <v>0</v>
      </c>
      <c r="Q6" s="49" cm="1">
        <f t="array" ref="Q6">'OPCO Rev Req'!Q7*Allocator</f>
        <v>0</v>
      </c>
      <c r="R6" s="49" cm="1">
        <f t="array" ref="R6">'OPCO Rev Req'!R7*Allocator</f>
        <v>0</v>
      </c>
      <c r="S6" s="49" cm="1">
        <f t="array" ref="S6">'OPCO Rev Req'!S7*Allocator</f>
        <v>0</v>
      </c>
      <c r="T6" s="49" cm="1">
        <f t="array" ref="T6">'OPCO Rev Req'!T7*Allocator</f>
        <v>0</v>
      </c>
      <c r="U6" s="49" cm="1">
        <f t="array" ref="U6">'OPCO Rev Req'!U7*Allocator</f>
        <v>0</v>
      </c>
      <c r="V6" s="49" cm="1">
        <f t="array" ref="V6">'OPCO Rev Req'!V7*Allocator</f>
        <v>0</v>
      </c>
      <c r="W6" s="49" cm="1">
        <f t="array" ref="W6">'OPCO Rev Req'!W7*Allocator</f>
        <v>0</v>
      </c>
      <c r="X6" s="49" cm="1">
        <f t="array" ref="X6">'OPCO Rev Req'!X7*Allocator</f>
        <v>0</v>
      </c>
      <c r="Y6" s="49" cm="1">
        <f t="array" ref="Y6">'OPCO Rev Req'!Y7*Allocator</f>
        <v>0</v>
      </c>
      <c r="Z6" s="49" cm="1">
        <f t="array" ref="Z6">'OPCO Rev Req'!Z7*Allocator</f>
        <v>0</v>
      </c>
      <c r="AA6" s="49" cm="1">
        <f t="array" ref="AA6">'OPCO Rev Req'!AA7*Allocator</f>
        <v>0</v>
      </c>
      <c r="AB6" s="49" cm="1">
        <f t="array" ref="AB6">'OPCO Rev Req'!AB7*Allocator</f>
        <v>0</v>
      </c>
      <c r="AC6" s="49" cm="1">
        <f t="array" ref="AC6">'OPCO Rev Req'!AC7*Allocator</f>
        <v>0</v>
      </c>
      <c r="AD6" s="49" cm="1">
        <f t="array" ref="AD6">'OPCO Rev Req'!AD7*Allocator</f>
        <v>0</v>
      </c>
      <c r="AE6" s="49" cm="1">
        <f t="array" ref="AE6">'OPCO Rev Req'!AE7*Allocator</f>
        <v>0</v>
      </c>
      <c r="AF6" s="49" cm="1">
        <f t="array" ref="AF6">'OPCO Rev Req'!AF7*Allocator</f>
        <v>0</v>
      </c>
      <c r="AG6" s="49" cm="1">
        <f t="array" ref="AG6">'OPCO Rev Req'!AG7*Allocator</f>
        <v>0</v>
      </c>
      <c r="AH6" s="49" cm="1">
        <f t="array" ref="AH6">'OPCO Rev Req'!AH7*Allocator</f>
        <v>0</v>
      </c>
      <c r="AI6" s="49" cm="1">
        <f t="array" ref="AI6">'OPCO Rev Req'!AI7*Allocator</f>
        <v>0</v>
      </c>
      <c r="AJ6" s="49" cm="1">
        <f t="array" ref="AJ6">'OPCO Rev Req'!AJ7*Allocator</f>
        <v>0</v>
      </c>
    </row>
    <row r="7" spans="1:36">
      <c r="A7" s="11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</row>
    <row r="8" spans="1:36">
      <c r="A8" s="11">
        <f>'OPCO Rev Req'!A9</f>
        <v>0</v>
      </c>
      <c r="B8" s="49" cm="1">
        <f t="array" ref="B8">'OPCO Rev Req'!B9*Allocator</f>
        <v>0</v>
      </c>
      <c r="C8" s="49" cm="1">
        <f t="array" ref="C8">'OPCO Rev Req'!C9*Allocator</f>
        <v>0</v>
      </c>
      <c r="D8" s="49" cm="1">
        <f t="array" ref="D8">'OPCO Rev Req'!D9*Allocator</f>
        <v>0</v>
      </c>
      <c r="E8" s="49" cm="1">
        <f t="array" ref="E8">'OPCO Rev Req'!E9*Allocator</f>
        <v>0</v>
      </c>
      <c r="F8" s="49" cm="1">
        <f t="array" ref="F8">'OPCO Rev Req'!F9*Allocator</f>
        <v>0</v>
      </c>
      <c r="G8" s="49" cm="1">
        <f t="array" ref="G8">'OPCO Rev Req'!G9*Allocator</f>
        <v>0</v>
      </c>
      <c r="H8" s="49" cm="1">
        <f t="array" ref="H8">'OPCO Rev Req'!H9*Allocator</f>
        <v>0</v>
      </c>
      <c r="I8" s="49" cm="1">
        <f t="array" ref="I8">'OPCO Rev Req'!I9*Allocator</f>
        <v>0</v>
      </c>
      <c r="J8" s="49" cm="1">
        <f t="array" ref="J8">'OPCO Rev Req'!J9*Allocator</f>
        <v>0</v>
      </c>
      <c r="K8" s="49" cm="1">
        <f t="array" ref="K8">'OPCO Rev Req'!K9*Allocator</f>
        <v>0</v>
      </c>
      <c r="L8" s="49" cm="1">
        <f t="array" ref="L8">'OPCO Rev Req'!L9*Allocator</f>
        <v>0</v>
      </c>
      <c r="M8" s="49" cm="1">
        <f t="array" ref="M8">'OPCO Rev Req'!M9*Allocator</f>
        <v>0</v>
      </c>
      <c r="N8" s="49" cm="1">
        <f t="array" ref="N8">'OPCO Rev Req'!N9*Allocator</f>
        <v>0</v>
      </c>
      <c r="O8" s="49" cm="1">
        <f t="array" ref="O8">'OPCO Rev Req'!O9*Allocator</f>
        <v>0</v>
      </c>
      <c r="P8" s="49" cm="1">
        <f t="array" ref="P8">'OPCO Rev Req'!P9*Allocator</f>
        <v>0</v>
      </c>
      <c r="Q8" s="49" cm="1">
        <f t="array" ref="Q8">'OPCO Rev Req'!Q9*Allocator</f>
        <v>0</v>
      </c>
      <c r="R8" s="49" cm="1">
        <f t="array" ref="R8">'OPCO Rev Req'!R9*Allocator</f>
        <v>0</v>
      </c>
      <c r="S8" s="49" cm="1">
        <f t="array" ref="S8">'OPCO Rev Req'!S9*Allocator</f>
        <v>0</v>
      </c>
      <c r="T8" s="49" cm="1">
        <f t="array" ref="T8">'OPCO Rev Req'!T9*Allocator</f>
        <v>0</v>
      </c>
      <c r="U8" s="49" cm="1">
        <f t="array" ref="U8">'OPCO Rev Req'!U9*Allocator</f>
        <v>0</v>
      </c>
      <c r="V8" s="49" cm="1">
        <f t="array" ref="V8">'OPCO Rev Req'!V9*Allocator</f>
        <v>0</v>
      </c>
      <c r="W8" s="49" cm="1">
        <f t="array" ref="W8">'OPCO Rev Req'!W9*Allocator</f>
        <v>0</v>
      </c>
      <c r="X8" s="49" cm="1">
        <f t="array" ref="X8">'OPCO Rev Req'!X9*Allocator</f>
        <v>0</v>
      </c>
      <c r="Y8" s="49" cm="1">
        <f t="array" ref="Y8">'OPCO Rev Req'!Y9*Allocator</f>
        <v>0</v>
      </c>
      <c r="Z8" s="49" cm="1">
        <f t="array" ref="Z8">'OPCO Rev Req'!Z9*Allocator</f>
        <v>0</v>
      </c>
      <c r="AA8" s="49" cm="1">
        <f t="array" ref="AA8">'OPCO Rev Req'!AA9*Allocator</f>
        <v>0</v>
      </c>
      <c r="AB8" s="49" cm="1">
        <f t="array" ref="AB8">'OPCO Rev Req'!AB9*Allocator</f>
        <v>0</v>
      </c>
      <c r="AC8" s="49" cm="1">
        <f t="array" ref="AC8">'OPCO Rev Req'!AC9*Allocator</f>
        <v>0</v>
      </c>
      <c r="AD8" s="49" cm="1">
        <f t="array" ref="AD8">'OPCO Rev Req'!AD9*Allocator</f>
        <v>0</v>
      </c>
      <c r="AE8" s="49" cm="1">
        <f t="array" ref="AE8">'OPCO Rev Req'!AE9*Allocator</f>
        <v>0</v>
      </c>
      <c r="AF8" s="49" cm="1">
        <f t="array" ref="AF8">'OPCO Rev Req'!AF9*Allocator</f>
        <v>0</v>
      </c>
      <c r="AG8" s="49" cm="1">
        <f t="array" ref="AG8">'OPCO Rev Req'!AG9*Allocator</f>
        <v>0</v>
      </c>
      <c r="AH8" s="49" cm="1">
        <f t="array" ref="AH8">'OPCO Rev Req'!AH9*Allocator</f>
        <v>0</v>
      </c>
      <c r="AI8" s="49" cm="1">
        <f t="array" ref="AI8">'OPCO Rev Req'!AI9*Allocator</f>
        <v>0</v>
      </c>
      <c r="AJ8" s="49" cm="1">
        <f t="array" ref="AJ8">'OPCO Rev Req'!AJ9*Allocator</f>
        <v>0</v>
      </c>
    </row>
    <row r="9" spans="1:36">
      <c r="A9" s="11" t="str">
        <f>'OPCO Rev Req'!A10</f>
        <v>WV B&amp;O Tax</v>
      </c>
      <c r="B9" s="49" cm="1">
        <f t="array" ref="B9">'OPCO Rev Req'!B10*Allocator</f>
        <v>6532601.5350000001</v>
      </c>
      <c r="C9" s="49" cm="1">
        <f t="array" ref="C9">'OPCO Rev Req'!C10*Allocator</f>
        <v>6532601.5350000001</v>
      </c>
      <c r="D9" s="49" cm="1">
        <f t="array" ref="D9">'OPCO Rev Req'!D10*Allocator</f>
        <v>6532601.5350000001</v>
      </c>
      <c r="E9" s="49" cm="1">
        <f t="array" ref="E9">'OPCO Rev Req'!E10*Allocator</f>
        <v>6532601.5350000001</v>
      </c>
      <c r="F9" s="49" cm="1">
        <f t="array" ref="F9">'OPCO Rev Req'!F10*Allocator</f>
        <v>6532601.5350000001</v>
      </c>
      <c r="G9" s="49" cm="1">
        <f t="array" ref="G9">'OPCO Rev Req'!G10*Allocator</f>
        <v>6532601.5350000001</v>
      </c>
      <c r="H9" s="49" cm="1">
        <f t="array" ref="H9">'OPCO Rev Req'!H10*Allocator</f>
        <v>6532601.5350000001</v>
      </c>
      <c r="I9" s="49" cm="1">
        <f t="array" ref="I9">'OPCO Rev Req'!I10*Allocator</f>
        <v>6532601.5350000001</v>
      </c>
      <c r="J9" s="49" cm="1">
        <f t="array" ref="J9">'OPCO Rev Req'!J10*Allocator</f>
        <v>6532601.5350000001</v>
      </c>
      <c r="K9" s="49" cm="1">
        <f t="array" ref="K9">'OPCO Rev Req'!K10*Allocator</f>
        <v>6532601.5350000001</v>
      </c>
      <c r="L9" s="49" cm="1">
        <f t="array" ref="L9">'OPCO Rev Req'!L10*Allocator</f>
        <v>6532601.5350000001</v>
      </c>
      <c r="M9" s="49" cm="1">
        <f t="array" ref="M9">'OPCO Rev Req'!M10*Allocator</f>
        <v>0</v>
      </c>
      <c r="N9" s="49" cm="1">
        <f t="array" ref="N9">'OPCO Rev Req'!N10*Allocator</f>
        <v>0</v>
      </c>
      <c r="O9" s="49" cm="1">
        <f t="array" ref="O9">'OPCO Rev Req'!O10*Allocator</f>
        <v>0</v>
      </c>
      <c r="P9" s="49" cm="1">
        <f t="array" ref="P9">'OPCO Rev Req'!P10*Allocator</f>
        <v>0</v>
      </c>
      <c r="Q9" s="49" cm="1">
        <f t="array" ref="Q9">'OPCO Rev Req'!Q10*Allocator</f>
        <v>0</v>
      </c>
      <c r="R9" s="49" cm="1">
        <f t="array" ref="R9">'OPCO Rev Req'!R10*Allocator</f>
        <v>0</v>
      </c>
      <c r="S9" s="49" cm="1">
        <f t="array" ref="S9">'OPCO Rev Req'!S10*Allocator</f>
        <v>0</v>
      </c>
      <c r="T9" s="49" cm="1">
        <f t="array" ref="T9">'OPCO Rev Req'!T10*Allocator</f>
        <v>0</v>
      </c>
      <c r="U9" s="49" cm="1">
        <f t="array" ref="U9">'OPCO Rev Req'!U10*Allocator</f>
        <v>0</v>
      </c>
      <c r="V9" s="49" cm="1">
        <f t="array" ref="V9">'OPCO Rev Req'!V10*Allocator</f>
        <v>0</v>
      </c>
      <c r="W9" s="49" cm="1">
        <f t="array" ref="W9">'OPCO Rev Req'!W10*Allocator</f>
        <v>0</v>
      </c>
      <c r="X9" s="49" cm="1">
        <f t="array" ref="X9">'OPCO Rev Req'!X10*Allocator</f>
        <v>0</v>
      </c>
      <c r="Y9" s="49" cm="1">
        <f t="array" ref="Y9">'OPCO Rev Req'!Y10*Allocator</f>
        <v>0</v>
      </c>
      <c r="Z9" s="49" cm="1">
        <f t="array" ref="Z9">'OPCO Rev Req'!Z10*Allocator</f>
        <v>0</v>
      </c>
      <c r="AA9" s="49" cm="1">
        <f t="array" ref="AA9">'OPCO Rev Req'!AA10*Allocator</f>
        <v>0</v>
      </c>
      <c r="AB9" s="49" cm="1">
        <f t="array" ref="AB9">'OPCO Rev Req'!AB10*Allocator</f>
        <v>0</v>
      </c>
      <c r="AC9" s="49" cm="1">
        <f t="array" ref="AC9">'OPCO Rev Req'!AC10*Allocator</f>
        <v>0</v>
      </c>
      <c r="AD9" s="49" cm="1">
        <f t="array" ref="AD9">'OPCO Rev Req'!AD10*Allocator</f>
        <v>0</v>
      </c>
      <c r="AE9" s="49" cm="1">
        <f t="array" ref="AE9">'OPCO Rev Req'!AE10*Allocator</f>
        <v>0</v>
      </c>
      <c r="AF9" s="49" cm="1">
        <f t="array" ref="AF9">'OPCO Rev Req'!AF10*Allocator</f>
        <v>0</v>
      </c>
      <c r="AG9" s="49" cm="1">
        <f t="array" ref="AG9">'OPCO Rev Req'!AG10*Allocator</f>
        <v>0</v>
      </c>
      <c r="AH9" s="49" cm="1">
        <f t="array" ref="AH9">'OPCO Rev Req'!AH10*Allocator</f>
        <v>0</v>
      </c>
      <c r="AI9" s="49" cm="1">
        <f t="array" ref="AI9">'OPCO Rev Req'!AI10*Allocator</f>
        <v>0</v>
      </c>
      <c r="AJ9" s="49" cm="1">
        <f t="array" ref="AJ9">'OPCO Rev Req'!AJ10*Allocator</f>
        <v>0</v>
      </c>
    </row>
    <row r="10" spans="1:36">
      <c r="A10" s="11">
        <f>'OPCO Rev Req'!A11</f>
        <v>0</v>
      </c>
      <c r="B10" s="49" cm="1">
        <f t="array" ref="B10">'OPCO Rev Req'!B11*Allocator</f>
        <v>0</v>
      </c>
      <c r="C10" s="49" cm="1">
        <f t="array" ref="C10">'OPCO Rev Req'!C11*Allocator</f>
        <v>0</v>
      </c>
      <c r="D10" s="49" cm="1">
        <f t="array" ref="D10">'OPCO Rev Req'!D11*Allocator</f>
        <v>0</v>
      </c>
      <c r="E10" s="49" cm="1">
        <f t="array" ref="E10">'OPCO Rev Req'!E11*Allocator</f>
        <v>0</v>
      </c>
      <c r="F10" s="49" cm="1">
        <f t="array" ref="F10">'OPCO Rev Req'!F11*Allocator</f>
        <v>0</v>
      </c>
      <c r="G10" s="49" cm="1">
        <f t="array" ref="G10">'OPCO Rev Req'!G11*Allocator</f>
        <v>0</v>
      </c>
      <c r="H10" s="49" cm="1">
        <f t="array" ref="H10">'OPCO Rev Req'!H11*Allocator</f>
        <v>0</v>
      </c>
      <c r="I10" s="49" cm="1">
        <f t="array" ref="I10">'OPCO Rev Req'!I11*Allocator</f>
        <v>0</v>
      </c>
      <c r="J10" s="49" cm="1">
        <f t="array" ref="J10">'OPCO Rev Req'!J11*Allocator</f>
        <v>0</v>
      </c>
      <c r="K10" s="49" cm="1">
        <f t="array" ref="K10">'OPCO Rev Req'!K11*Allocator</f>
        <v>0</v>
      </c>
      <c r="L10" s="49" cm="1">
        <f t="array" ref="L10">'OPCO Rev Req'!L11*Allocator</f>
        <v>0</v>
      </c>
      <c r="M10" s="49" cm="1">
        <f t="array" ref="M10">'OPCO Rev Req'!M11*Allocator</f>
        <v>0</v>
      </c>
      <c r="N10" s="49" cm="1">
        <f t="array" ref="N10">'OPCO Rev Req'!N11*Allocator</f>
        <v>0</v>
      </c>
      <c r="O10" s="49" cm="1">
        <f t="array" ref="O10">'OPCO Rev Req'!O11*Allocator</f>
        <v>0</v>
      </c>
      <c r="P10" s="49" cm="1">
        <f t="array" ref="P10">'OPCO Rev Req'!P11*Allocator</f>
        <v>0</v>
      </c>
      <c r="Q10" s="49" cm="1">
        <f t="array" ref="Q10">'OPCO Rev Req'!Q11*Allocator</f>
        <v>0</v>
      </c>
      <c r="R10" s="49" cm="1">
        <f t="array" ref="R10">'OPCO Rev Req'!R11*Allocator</f>
        <v>0</v>
      </c>
      <c r="S10" s="49" cm="1">
        <f t="array" ref="S10">'OPCO Rev Req'!S11*Allocator</f>
        <v>0</v>
      </c>
      <c r="T10" s="49" cm="1">
        <f t="array" ref="T10">'OPCO Rev Req'!T11*Allocator</f>
        <v>0</v>
      </c>
      <c r="U10" s="49" cm="1">
        <f t="array" ref="U10">'OPCO Rev Req'!U11*Allocator</f>
        <v>0</v>
      </c>
      <c r="V10" s="49" cm="1">
        <f t="array" ref="V10">'OPCO Rev Req'!V11*Allocator</f>
        <v>0</v>
      </c>
      <c r="W10" s="49" cm="1">
        <f t="array" ref="W10">'OPCO Rev Req'!W11*Allocator</f>
        <v>0</v>
      </c>
      <c r="X10" s="49" cm="1">
        <f t="array" ref="X10">'OPCO Rev Req'!X11*Allocator</f>
        <v>0</v>
      </c>
      <c r="Y10" s="49" cm="1">
        <f t="array" ref="Y10">'OPCO Rev Req'!Y11*Allocator</f>
        <v>0</v>
      </c>
      <c r="Z10" s="49" cm="1">
        <f t="array" ref="Z10">'OPCO Rev Req'!Z11*Allocator</f>
        <v>0</v>
      </c>
      <c r="AA10" s="49" cm="1">
        <f t="array" ref="AA10">'OPCO Rev Req'!AA11*Allocator</f>
        <v>0</v>
      </c>
      <c r="AB10" s="49" cm="1">
        <f t="array" ref="AB10">'OPCO Rev Req'!AB11*Allocator</f>
        <v>0</v>
      </c>
      <c r="AC10" s="49" cm="1">
        <f t="array" ref="AC10">'OPCO Rev Req'!AC11*Allocator</f>
        <v>0</v>
      </c>
      <c r="AD10" s="49" cm="1">
        <f t="array" ref="AD10">'OPCO Rev Req'!AD11*Allocator</f>
        <v>0</v>
      </c>
      <c r="AE10" s="49" cm="1">
        <f t="array" ref="AE10">'OPCO Rev Req'!AE11*Allocator</f>
        <v>0</v>
      </c>
      <c r="AF10" s="49" cm="1">
        <f t="array" ref="AF10">'OPCO Rev Req'!AF11*Allocator</f>
        <v>0</v>
      </c>
      <c r="AG10" s="49" cm="1">
        <f t="array" ref="AG10">'OPCO Rev Req'!AG11*Allocator</f>
        <v>0</v>
      </c>
      <c r="AH10" s="49" cm="1">
        <f t="array" ref="AH10">'OPCO Rev Req'!AH11*Allocator</f>
        <v>0</v>
      </c>
      <c r="AI10" s="49" cm="1">
        <f t="array" ref="AI10">'OPCO Rev Req'!AI11*Allocator</f>
        <v>0</v>
      </c>
      <c r="AJ10" s="49" cm="1">
        <f t="array" ref="AJ10">'OPCO Rev Req'!AJ11*Allocator</f>
        <v>0</v>
      </c>
    </row>
    <row r="11" spans="1:36">
      <c r="A11" s="11">
        <f>'OPCO Rev Req'!A12</f>
        <v>0</v>
      </c>
      <c r="B11" s="49" cm="1">
        <f t="array" ref="B11">'OPCO Rev Req'!B12*Allocator</f>
        <v>0</v>
      </c>
      <c r="C11" s="49" cm="1">
        <f t="array" ref="C11">'OPCO Rev Req'!C12*Allocator</f>
        <v>0</v>
      </c>
      <c r="D11" s="49" cm="1">
        <f t="array" ref="D11">'OPCO Rev Req'!D12*Allocator</f>
        <v>0</v>
      </c>
      <c r="E11" s="49" cm="1">
        <f t="array" ref="E11">'OPCO Rev Req'!E12*Allocator</f>
        <v>0</v>
      </c>
      <c r="F11" s="49" cm="1">
        <f t="array" ref="F11">'OPCO Rev Req'!F12*Allocator</f>
        <v>0</v>
      </c>
      <c r="G11" s="49" cm="1">
        <f t="array" ref="G11">'OPCO Rev Req'!G12*Allocator</f>
        <v>0</v>
      </c>
      <c r="H11" s="49" cm="1">
        <f t="array" ref="H11">'OPCO Rev Req'!H12*Allocator</f>
        <v>0</v>
      </c>
      <c r="I11" s="49" cm="1">
        <f t="array" ref="I11">'OPCO Rev Req'!I12*Allocator</f>
        <v>0</v>
      </c>
      <c r="J11" s="49" cm="1">
        <f t="array" ref="J11">'OPCO Rev Req'!J12*Allocator</f>
        <v>0</v>
      </c>
      <c r="K11" s="49" cm="1">
        <f t="array" ref="K11">'OPCO Rev Req'!K12*Allocator</f>
        <v>0</v>
      </c>
      <c r="L11" s="49" cm="1">
        <f t="array" ref="L11">'OPCO Rev Req'!L12*Allocator</f>
        <v>0</v>
      </c>
      <c r="M11" s="49" cm="1">
        <f t="array" ref="M11">'OPCO Rev Req'!M12*Allocator</f>
        <v>0</v>
      </c>
      <c r="N11" s="49" cm="1">
        <f t="array" ref="N11">'OPCO Rev Req'!N12*Allocator</f>
        <v>0</v>
      </c>
      <c r="O11" s="49" cm="1">
        <f t="array" ref="O11">'OPCO Rev Req'!O12*Allocator</f>
        <v>0</v>
      </c>
      <c r="P11" s="49" cm="1">
        <f t="array" ref="P11">'OPCO Rev Req'!P12*Allocator</f>
        <v>0</v>
      </c>
      <c r="Q11" s="49" cm="1">
        <f t="array" ref="Q11">'OPCO Rev Req'!Q12*Allocator</f>
        <v>0</v>
      </c>
      <c r="R11" s="49" cm="1">
        <f t="array" ref="R11">'OPCO Rev Req'!R12*Allocator</f>
        <v>0</v>
      </c>
      <c r="S11" s="49" cm="1">
        <f t="array" ref="S11">'OPCO Rev Req'!S12*Allocator</f>
        <v>0</v>
      </c>
      <c r="T11" s="49" cm="1">
        <f t="array" ref="T11">'OPCO Rev Req'!T12*Allocator</f>
        <v>0</v>
      </c>
      <c r="U11" s="49" cm="1">
        <f t="array" ref="U11">'OPCO Rev Req'!U12*Allocator</f>
        <v>0</v>
      </c>
      <c r="V11" s="49" cm="1">
        <f t="array" ref="V11">'OPCO Rev Req'!V12*Allocator</f>
        <v>0</v>
      </c>
      <c r="W11" s="49" cm="1">
        <f t="array" ref="W11">'OPCO Rev Req'!W12*Allocator</f>
        <v>0</v>
      </c>
      <c r="X11" s="49" cm="1">
        <f t="array" ref="X11">'OPCO Rev Req'!X12*Allocator</f>
        <v>0</v>
      </c>
      <c r="Y11" s="49" cm="1">
        <f t="array" ref="Y11">'OPCO Rev Req'!Y12*Allocator</f>
        <v>0</v>
      </c>
      <c r="Z11" s="49" cm="1">
        <f t="array" ref="Z11">'OPCO Rev Req'!Z12*Allocator</f>
        <v>0</v>
      </c>
      <c r="AA11" s="49" cm="1">
        <f t="array" ref="AA11">'OPCO Rev Req'!AA12*Allocator</f>
        <v>0</v>
      </c>
      <c r="AB11" s="49" cm="1">
        <f t="array" ref="AB11">'OPCO Rev Req'!AB12*Allocator</f>
        <v>0</v>
      </c>
      <c r="AC11" s="49" cm="1">
        <f t="array" ref="AC11">'OPCO Rev Req'!AC12*Allocator</f>
        <v>0</v>
      </c>
      <c r="AD11" s="49" cm="1">
        <f t="array" ref="AD11">'OPCO Rev Req'!AD12*Allocator</f>
        <v>0</v>
      </c>
      <c r="AE11" s="49" cm="1">
        <f t="array" ref="AE11">'OPCO Rev Req'!AE12*Allocator</f>
        <v>0</v>
      </c>
      <c r="AF11" s="49" cm="1">
        <f t="array" ref="AF11">'OPCO Rev Req'!AF12*Allocator</f>
        <v>0</v>
      </c>
      <c r="AG11" s="49" cm="1">
        <f t="array" ref="AG11">'OPCO Rev Req'!AG12*Allocator</f>
        <v>0</v>
      </c>
      <c r="AH11" s="49" cm="1">
        <f t="array" ref="AH11">'OPCO Rev Req'!AH12*Allocator</f>
        <v>0</v>
      </c>
      <c r="AI11" s="49" cm="1">
        <f t="array" ref="AI11">'OPCO Rev Req'!AI12*Allocator</f>
        <v>0</v>
      </c>
      <c r="AJ11" s="49" cm="1">
        <f t="array" ref="AJ11">'OPCO Rev Req'!AJ12*Allocator</f>
        <v>0</v>
      </c>
    </row>
    <row r="12" spans="1:36">
      <c r="A12" s="11" t="str">
        <f>'OPCO Rev Req'!A13</f>
        <v>Total O&amp;M Expenses</v>
      </c>
      <c r="B12" s="48">
        <f>'OPCO Rev Req'!B13*Allocator</f>
        <v>43204519.166640431</v>
      </c>
      <c r="C12" s="48" cm="1">
        <f t="array" ref="C12">'OPCO Rev Req'!C13*Allocator</f>
        <v>43352918.941598848</v>
      </c>
      <c r="D12" s="48" cm="1">
        <f t="array" ref="D12">'OPCO Rev Req'!D13*Allocator</f>
        <v>43692472.219697237</v>
      </c>
      <c r="E12" s="48" cm="1">
        <f t="array" ref="E12">'OPCO Rev Req'!E13*Allocator</f>
        <v>44214190.529468328</v>
      </c>
      <c r="F12" s="48" cm="1">
        <f t="array" ref="F12">'OPCO Rev Req'!F13*Allocator</f>
        <v>44485495.176227599</v>
      </c>
      <c r="G12" s="48" cm="1">
        <f t="array" ref="G12">'OPCO Rev Req'!G13*Allocator</f>
        <v>45367563.474692017</v>
      </c>
      <c r="H12" s="48" cm="1">
        <f t="array" ref="H12">'OPCO Rev Req'!H13*Allocator</f>
        <v>45756868.614511713</v>
      </c>
      <c r="I12" s="48" cm="1">
        <f t="array" ref="I12">'OPCO Rev Req'!I13*Allocator</f>
        <v>43659904.243258968</v>
      </c>
      <c r="J12" s="48" cm="1">
        <f t="array" ref="J12">'OPCO Rev Req'!J13*Allocator</f>
        <v>41555204.212214008</v>
      </c>
      <c r="K12" s="48" cm="1">
        <f t="array" ref="K12">'OPCO Rev Req'!K13*Allocator</f>
        <v>38043180.565587014</v>
      </c>
      <c r="L12" s="48" cm="1">
        <f t="array" ref="L12">'OPCO Rev Req'!L13*Allocator</f>
        <v>33545401.848819755</v>
      </c>
      <c r="M12" s="48" cm="1">
        <f t="array" ref="M12">'OPCO Rev Req'!M13*Allocator</f>
        <v>0</v>
      </c>
      <c r="N12" s="48" cm="1">
        <f t="array" ref="N12">'OPCO Rev Req'!N13*Allocator</f>
        <v>0</v>
      </c>
      <c r="O12" s="48" cm="1">
        <f t="array" ref="O12">'OPCO Rev Req'!O13*Allocator</f>
        <v>0</v>
      </c>
      <c r="P12" s="48" cm="1">
        <f t="array" ref="P12">'OPCO Rev Req'!P13*Allocator</f>
        <v>0</v>
      </c>
      <c r="Q12" s="48" cm="1">
        <f t="array" ref="Q12">'OPCO Rev Req'!Q13*Allocator</f>
        <v>0</v>
      </c>
      <c r="R12" s="48" cm="1">
        <f t="array" ref="R12">'OPCO Rev Req'!R13*Allocator</f>
        <v>0</v>
      </c>
      <c r="S12" s="48" cm="1">
        <f t="array" ref="S12">'OPCO Rev Req'!S13*Allocator</f>
        <v>0</v>
      </c>
      <c r="T12" s="48" cm="1">
        <f t="array" ref="T12">'OPCO Rev Req'!T13*Allocator</f>
        <v>0</v>
      </c>
      <c r="U12" s="48" cm="1">
        <f t="array" ref="U12">'OPCO Rev Req'!U13*Allocator</f>
        <v>0</v>
      </c>
      <c r="V12" s="48" cm="1">
        <f t="array" ref="V12">'OPCO Rev Req'!V13*Allocator</f>
        <v>0</v>
      </c>
      <c r="W12" s="48" cm="1">
        <f t="array" ref="W12">'OPCO Rev Req'!W13*Allocator</f>
        <v>0</v>
      </c>
      <c r="X12" s="48" cm="1">
        <f t="array" ref="X12">'OPCO Rev Req'!X13*Allocator</f>
        <v>0</v>
      </c>
      <c r="Y12" s="48" cm="1">
        <f t="array" ref="Y12">'OPCO Rev Req'!Y13*Allocator</f>
        <v>0</v>
      </c>
      <c r="Z12" s="48" cm="1">
        <f t="array" ref="Z12">'OPCO Rev Req'!Z13*Allocator</f>
        <v>0</v>
      </c>
      <c r="AA12" s="48" cm="1">
        <f t="array" ref="AA12">'OPCO Rev Req'!AA13*Allocator</f>
        <v>0</v>
      </c>
      <c r="AB12" s="48" cm="1">
        <f t="array" ref="AB12">'OPCO Rev Req'!AB13*Allocator</f>
        <v>0</v>
      </c>
      <c r="AC12" s="48" cm="1">
        <f t="array" ref="AC12">'OPCO Rev Req'!AC13*Allocator</f>
        <v>0</v>
      </c>
      <c r="AD12" s="48" cm="1">
        <f t="array" ref="AD12">'OPCO Rev Req'!AD13*Allocator</f>
        <v>0</v>
      </c>
      <c r="AE12" s="48" cm="1">
        <f t="array" ref="AE12">'OPCO Rev Req'!AE13*Allocator</f>
        <v>0</v>
      </c>
      <c r="AF12" s="48" cm="1">
        <f t="array" ref="AF12">'OPCO Rev Req'!AF13*Allocator</f>
        <v>0</v>
      </c>
      <c r="AG12" s="48" cm="1">
        <f t="array" ref="AG12">'OPCO Rev Req'!AG13*Allocator</f>
        <v>0</v>
      </c>
      <c r="AH12" s="48" cm="1">
        <f t="array" ref="AH12">'OPCO Rev Req'!AH13*Allocator</f>
        <v>0</v>
      </c>
      <c r="AI12" s="48" cm="1">
        <f t="array" ref="AI12">'OPCO Rev Req'!AI13*Allocator</f>
        <v>0</v>
      </c>
      <c r="AJ12" s="48" cm="1">
        <f t="array" ref="AJ12">'OPCO Rev Req'!AJ13*Allocator</f>
        <v>0</v>
      </c>
    </row>
    <row r="13" spans="1:36">
      <c r="A13" s="11" t="str">
        <f>'OPCO Rev Req'!A14</f>
        <v>Plant Depreciation - Account 403</v>
      </c>
      <c r="B13" s="49">
        <f>'OPCO Rev Req'!B14*Allocator</f>
        <v>52984604.71299237</v>
      </c>
      <c r="C13" s="49" cm="1">
        <f t="array" ref="C13">'OPCO Rev Req'!C14*Allocator</f>
        <v>55030661.619470544</v>
      </c>
      <c r="D13" s="49" cm="1">
        <f t="array" ref="D13">'OPCO Rev Req'!D14*Allocator</f>
        <v>56619643.909907855</v>
      </c>
      <c r="E13" s="49" cm="1">
        <f t="array" ref="E13">'OPCO Rev Req'!E14*Allocator</f>
        <v>58426750.674951255</v>
      </c>
      <c r="F13" s="49" cm="1">
        <f t="array" ref="F13">'OPCO Rev Req'!F14*Allocator</f>
        <v>60251461.11492651</v>
      </c>
      <c r="G13" s="49" cm="1">
        <f t="array" ref="G13">'OPCO Rev Req'!G14*Allocator</f>
        <v>62114850.552707918</v>
      </c>
      <c r="H13" s="49" cm="1">
        <f t="array" ref="H13">'OPCO Rev Req'!H14*Allocator</f>
        <v>63984448.136613153</v>
      </c>
      <c r="I13" s="49" cm="1">
        <f t="array" ref="I13">'OPCO Rev Req'!I14*Allocator</f>
        <v>65215144.76547426</v>
      </c>
      <c r="J13" s="49" cm="1">
        <f t="array" ref="J13">'OPCO Rev Req'!J14*Allocator</f>
        <v>66276222.96344997</v>
      </c>
      <c r="K13" s="49" cm="1">
        <f t="array" ref="K13">'OPCO Rev Req'!K14*Allocator</f>
        <v>91715287.430543721</v>
      </c>
      <c r="L13" s="49" cm="1">
        <f t="array" ref="L13">'OPCO Rev Req'!L14*Allocator</f>
        <v>91715287.430543721</v>
      </c>
      <c r="M13" s="49" cm="1">
        <f t="array" ref="M13">'OPCO Rev Req'!M14*Allocator</f>
        <v>0</v>
      </c>
      <c r="N13" s="49" cm="1">
        <f t="array" ref="N13">'OPCO Rev Req'!N14*Allocator</f>
        <v>0</v>
      </c>
      <c r="O13" s="49" cm="1">
        <f t="array" ref="O13">'OPCO Rev Req'!O14*Allocator</f>
        <v>0</v>
      </c>
      <c r="P13" s="49" cm="1">
        <f t="array" ref="P13">'OPCO Rev Req'!P14*Allocator</f>
        <v>0</v>
      </c>
      <c r="Q13" s="49" cm="1">
        <f t="array" ref="Q13">'OPCO Rev Req'!Q14*Allocator</f>
        <v>0</v>
      </c>
      <c r="R13" s="49" cm="1">
        <f t="array" ref="R13">'OPCO Rev Req'!R14*Allocator</f>
        <v>0</v>
      </c>
      <c r="S13" s="49" cm="1">
        <f t="array" ref="S13">'OPCO Rev Req'!S14*Allocator</f>
        <v>0</v>
      </c>
      <c r="T13" s="49" cm="1">
        <f t="array" ref="T13">'OPCO Rev Req'!T14*Allocator</f>
        <v>0</v>
      </c>
      <c r="U13" s="49" cm="1">
        <f t="array" ref="U13">'OPCO Rev Req'!U14*Allocator</f>
        <v>0</v>
      </c>
      <c r="V13" s="49" cm="1">
        <f t="array" ref="V13">'OPCO Rev Req'!V14*Allocator</f>
        <v>0</v>
      </c>
      <c r="W13" s="49" cm="1">
        <f t="array" ref="W13">'OPCO Rev Req'!W14*Allocator</f>
        <v>0</v>
      </c>
      <c r="X13" s="49" cm="1">
        <f t="array" ref="X13">'OPCO Rev Req'!X14*Allocator</f>
        <v>0</v>
      </c>
      <c r="Y13" s="49" cm="1">
        <f t="array" ref="Y13">'OPCO Rev Req'!Y14*Allocator</f>
        <v>0</v>
      </c>
      <c r="Z13" s="49" cm="1">
        <f t="array" ref="Z13">'OPCO Rev Req'!Z14*Allocator</f>
        <v>0</v>
      </c>
      <c r="AA13" s="49" cm="1">
        <f t="array" ref="AA13">'OPCO Rev Req'!AA14*Allocator</f>
        <v>0</v>
      </c>
      <c r="AB13" s="49" cm="1">
        <f t="array" ref="AB13">'OPCO Rev Req'!AB14*Allocator</f>
        <v>0</v>
      </c>
      <c r="AC13" s="49" cm="1">
        <f t="array" ref="AC13">'OPCO Rev Req'!AC14*Allocator</f>
        <v>0</v>
      </c>
      <c r="AD13" s="49" cm="1">
        <f t="array" ref="AD13">'OPCO Rev Req'!AD14*Allocator</f>
        <v>0</v>
      </c>
      <c r="AE13" s="49" cm="1">
        <f t="array" ref="AE13">'OPCO Rev Req'!AE14*Allocator</f>
        <v>0</v>
      </c>
      <c r="AF13" s="49" cm="1">
        <f t="array" ref="AF13">'OPCO Rev Req'!AF14*Allocator</f>
        <v>0</v>
      </c>
      <c r="AG13" s="49" cm="1">
        <f t="array" ref="AG13">'OPCO Rev Req'!AG14*Allocator</f>
        <v>0</v>
      </c>
      <c r="AH13" s="49" cm="1">
        <f t="array" ref="AH13">'OPCO Rev Req'!AH14*Allocator</f>
        <v>0</v>
      </c>
      <c r="AI13" s="49" cm="1">
        <f t="array" ref="AI13">'OPCO Rev Req'!AI14*Allocator</f>
        <v>0</v>
      </c>
      <c r="AJ13" s="49" cm="1">
        <f t="array" ref="AJ13">'OPCO Rev Req'!AJ14*Allocator</f>
        <v>0</v>
      </c>
    </row>
    <row r="14" spans="1:36">
      <c r="A14" s="11" t="str">
        <f>'OPCO Rev Req'!A15</f>
        <v>Current SIT</v>
      </c>
      <c r="B14" s="49" cm="1">
        <f t="array" ref="B14">'OPCO Rev Req'!B15*Allocator</f>
        <v>-4187631.622497038</v>
      </c>
      <c r="C14" s="49" cm="1">
        <f t="array" ref="C14">'OPCO Rev Req'!C15*Allocator</f>
        <v>-5305383.110086727</v>
      </c>
      <c r="D14" s="49" cm="1">
        <f t="array" ref="D14">'OPCO Rev Req'!D15*Allocator</f>
        <v>-5179522.3129246673</v>
      </c>
      <c r="E14" s="49" cm="1">
        <f t="array" ref="E14">'OPCO Rev Req'!E15*Allocator</f>
        <v>-5067298.6272581322</v>
      </c>
      <c r="F14" s="49" cm="1">
        <f t="array" ref="F14">'OPCO Rev Req'!F15*Allocator</f>
        <v>-4953214.8251919644</v>
      </c>
      <c r="G14" s="49" cm="1">
        <f t="array" ref="G14">'OPCO Rev Req'!G15*Allocator</f>
        <v>-4876559.9118462419</v>
      </c>
      <c r="H14" s="49" cm="1">
        <f t="array" ref="H14">'OPCO Rev Req'!H15*Allocator</f>
        <v>-4779945.164013925</v>
      </c>
      <c r="I14" s="49" cm="1">
        <f t="array" ref="I14">'OPCO Rev Req'!I15*Allocator</f>
        <v>-4510868.2824509488</v>
      </c>
      <c r="J14" s="49" cm="1">
        <f t="array" ref="J14">'OPCO Rev Req'!J15*Allocator</f>
        <v>-4292046.1267771302</v>
      </c>
      <c r="K14" s="49" cm="1">
        <f t="array" ref="K14">'OPCO Rev Req'!K15*Allocator</f>
        <v>-3999209.8439759836</v>
      </c>
      <c r="L14" s="49" cm="1">
        <f t="array" ref="L14">'OPCO Rev Req'!L15*Allocator</f>
        <v>-3653756.263958374</v>
      </c>
      <c r="M14" s="49" cm="1">
        <f t="array" ref="M14">'OPCO Rev Req'!M15*Allocator</f>
        <v>0</v>
      </c>
      <c r="N14" s="49" cm="1">
        <f t="array" ref="N14">'OPCO Rev Req'!N15*Allocator</f>
        <v>0</v>
      </c>
      <c r="O14" s="49" cm="1">
        <f t="array" ref="O14">'OPCO Rev Req'!O15*Allocator</f>
        <v>0</v>
      </c>
      <c r="P14" s="49" cm="1">
        <f t="array" ref="P14">'OPCO Rev Req'!P15*Allocator</f>
        <v>0</v>
      </c>
      <c r="Q14" s="49" cm="1">
        <f t="array" ref="Q14">'OPCO Rev Req'!Q15*Allocator</f>
        <v>0</v>
      </c>
      <c r="R14" s="49" cm="1">
        <f t="array" ref="R14">'OPCO Rev Req'!R15*Allocator</f>
        <v>0</v>
      </c>
      <c r="S14" s="49" cm="1">
        <f t="array" ref="S14">'OPCO Rev Req'!S15*Allocator</f>
        <v>0</v>
      </c>
      <c r="T14" s="49" cm="1">
        <f t="array" ref="T14">'OPCO Rev Req'!T15*Allocator</f>
        <v>0</v>
      </c>
      <c r="U14" s="49" cm="1">
        <f t="array" ref="U14">'OPCO Rev Req'!U15*Allocator</f>
        <v>0</v>
      </c>
      <c r="V14" s="49" cm="1">
        <f t="array" ref="V14">'OPCO Rev Req'!V15*Allocator</f>
        <v>0</v>
      </c>
      <c r="W14" s="49" cm="1">
        <f t="array" ref="W14">'OPCO Rev Req'!W15*Allocator</f>
        <v>0</v>
      </c>
      <c r="X14" s="49" cm="1">
        <f t="array" ref="X14">'OPCO Rev Req'!X15*Allocator</f>
        <v>0</v>
      </c>
      <c r="Y14" s="49" cm="1">
        <f t="array" ref="Y14">'OPCO Rev Req'!Y15*Allocator</f>
        <v>0</v>
      </c>
      <c r="Z14" s="49" cm="1">
        <f t="array" ref="Z14">'OPCO Rev Req'!Z15*Allocator</f>
        <v>0</v>
      </c>
      <c r="AA14" s="49" cm="1">
        <f t="array" ref="AA14">'OPCO Rev Req'!AA15*Allocator</f>
        <v>0</v>
      </c>
      <c r="AB14" s="49" cm="1">
        <f t="array" ref="AB14">'OPCO Rev Req'!AB15*Allocator</f>
        <v>0</v>
      </c>
      <c r="AC14" s="49" cm="1">
        <f t="array" ref="AC14">'OPCO Rev Req'!AC15*Allocator</f>
        <v>0</v>
      </c>
      <c r="AD14" s="49" cm="1">
        <f t="array" ref="AD14">'OPCO Rev Req'!AD15*Allocator</f>
        <v>0</v>
      </c>
      <c r="AE14" s="49" cm="1">
        <f t="array" ref="AE14">'OPCO Rev Req'!AE15*Allocator</f>
        <v>0</v>
      </c>
      <c r="AF14" s="49" cm="1">
        <f t="array" ref="AF14">'OPCO Rev Req'!AF15*Allocator</f>
        <v>0</v>
      </c>
      <c r="AG14" s="49" cm="1">
        <f t="array" ref="AG14">'OPCO Rev Req'!AG15*Allocator</f>
        <v>0</v>
      </c>
      <c r="AH14" s="49" cm="1">
        <f t="array" ref="AH14">'OPCO Rev Req'!AH15*Allocator</f>
        <v>0</v>
      </c>
      <c r="AI14" s="49" cm="1">
        <f t="array" ref="AI14">'OPCO Rev Req'!AI15*Allocator</f>
        <v>0</v>
      </c>
      <c r="AJ14" s="49" cm="1">
        <f t="array" ref="AJ14">'OPCO Rev Req'!AJ15*Allocator</f>
        <v>0</v>
      </c>
    </row>
    <row r="15" spans="1:36">
      <c r="A15" s="11" t="str">
        <f>'OPCO Rev Req'!A16</f>
        <v>Deferred SIT</v>
      </c>
      <c r="B15" s="49" cm="1">
        <f t="array" ref="B15">'OPCO Rev Req'!B16*Allocator</f>
        <v>-1458970.8292257797</v>
      </c>
      <c r="C15" s="49" cm="1">
        <f t="array" ref="C15">'OPCO Rev Req'!C16*Allocator</f>
        <v>-411055.31016086729</v>
      </c>
      <c r="D15" s="49" cm="1">
        <f t="array" ref="D15">'OPCO Rev Req'!D16*Allocator</f>
        <v>-584697.0704378892</v>
      </c>
      <c r="E15" s="49" cm="1">
        <f t="array" ref="E15">'OPCO Rev Req'!E16*Allocator</f>
        <v>-767163.91921706242</v>
      </c>
      <c r="F15" s="49" cm="1">
        <f t="array" ref="F15">'OPCO Rev Req'!F16*Allocator</f>
        <v>-938767.81218447839</v>
      </c>
      <c r="G15" s="49" cm="1">
        <f t="array" ref="G15">'OPCO Rev Req'!G16*Allocator</f>
        <v>-1104651.2124690507</v>
      </c>
      <c r="H15" s="49" cm="1">
        <f t="array" ref="H15">'OPCO Rev Req'!H16*Allocator</f>
        <v>-1264730.9997129687</v>
      </c>
      <c r="I15" s="49" cm="1">
        <f t="array" ref="I15">'OPCO Rev Req'!I16*Allocator</f>
        <v>-1429439.1346529657</v>
      </c>
      <c r="J15" s="49" cm="1">
        <f t="array" ref="J15">'OPCO Rev Req'!J16*Allocator</f>
        <v>-1531368.679095096</v>
      </c>
      <c r="K15" s="49" cm="1">
        <f t="array" ref="K15">'OPCO Rev Req'!K16*Allocator</f>
        <v>-2829337.8185062078</v>
      </c>
      <c r="L15" s="49" cm="1">
        <f t="array" ref="L15">'OPCO Rev Req'!L16*Allocator</f>
        <v>-2847933.3741544522</v>
      </c>
      <c r="M15" s="49" cm="1">
        <f t="array" ref="M15">'OPCO Rev Req'!M16*Allocator</f>
        <v>0</v>
      </c>
      <c r="N15" s="49" cm="1">
        <f t="array" ref="N15">'OPCO Rev Req'!N16*Allocator</f>
        <v>0</v>
      </c>
      <c r="O15" s="49" cm="1">
        <f t="array" ref="O15">'OPCO Rev Req'!O16*Allocator</f>
        <v>0</v>
      </c>
      <c r="P15" s="49" cm="1">
        <f t="array" ref="P15">'OPCO Rev Req'!P16*Allocator</f>
        <v>0</v>
      </c>
      <c r="Q15" s="49" cm="1">
        <f t="array" ref="Q15">'OPCO Rev Req'!Q16*Allocator</f>
        <v>0</v>
      </c>
      <c r="R15" s="49" cm="1">
        <f t="array" ref="R15">'OPCO Rev Req'!R16*Allocator</f>
        <v>0</v>
      </c>
      <c r="S15" s="49" cm="1">
        <f t="array" ref="S15">'OPCO Rev Req'!S16*Allocator</f>
        <v>0</v>
      </c>
      <c r="T15" s="49" cm="1">
        <f t="array" ref="T15">'OPCO Rev Req'!T16*Allocator</f>
        <v>0</v>
      </c>
      <c r="U15" s="49" cm="1">
        <f t="array" ref="U15">'OPCO Rev Req'!U16*Allocator</f>
        <v>0</v>
      </c>
      <c r="V15" s="49" cm="1">
        <f t="array" ref="V15">'OPCO Rev Req'!V16*Allocator</f>
        <v>0</v>
      </c>
      <c r="W15" s="49" cm="1">
        <f t="array" ref="W15">'OPCO Rev Req'!W16*Allocator</f>
        <v>0</v>
      </c>
      <c r="X15" s="49" cm="1">
        <f t="array" ref="X15">'OPCO Rev Req'!X16*Allocator</f>
        <v>0</v>
      </c>
      <c r="Y15" s="49" cm="1">
        <f t="array" ref="Y15">'OPCO Rev Req'!Y16*Allocator</f>
        <v>0</v>
      </c>
      <c r="Z15" s="49" cm="1">
        <f t="array" ref="Z15">'OPCO Rev Req'!Z16*Allocator</f>
        <v>0</v>
      </c>
      <c r="AA15" s="49" cm="1">
        <f t="array" ref="AA15">'OPCO Rev Req'!AA16*Allocator</f>
        <v>0</v>
      </c>
      <c r="AB15" s="49" cm="1">
        <f t="array" ref="AB15">'OPCO Rev Req'!AB16*Allocator</f>
        <v>0</v>
      </c>
      <c r="AC15" s="49" cm="1">
        <f t="array" ref="AC15">'OPCO Rev Req'!AC16*Allocator</f>
        <v>0</v>
      </c>
      <c r="AD15" s="49" cm="1">
        <f t="array" ref="AD15">'OPCO Rev Req'!AD16*Allocator</f>
        <v>0</v>
      </c>
      <c r="AE15" s="49" cm="1">
        <f t="array" ref="AE15">'OPCO Rev Req'!AE16*Allocator</f>
        <v>0</v>
      </c>
      <c r="AF15" s="49" cm="1">
        <f t="array" ref="AF15">'OPCO Rev Req'!AF16*Allocator</f>
        <v>0</v>
      </c>
      <c r="AG15" s="49" cm="1">
        <f t="array" ref="AG15">'OPCO Rev Req'!AG16*Allocator</f>
        <v>0</v>
      </c>
      <c r="AH15" s="49" cm="1">
        <f t="array" ref="AH15">'OPCO Rev Req'!AH16*Allocator</f>
        <v>0</v>
      </c>
      <c r="AI15" s="49" cm="1">
        <f t="array" ref="AI15">'OPCO Rev Req'!AI16*Allocator</f>
        <v>0</v>
      </c>
      <c r="AJ15" s="49" cm="1">
        <f t="array" ref="AJ15">'OPCO Rev Req'!AJ16*Allocator</f>
        <v>0</v>
      </c>
    </row>
    <row r="16" spans="1:36">
      <c r="A16" s="11" t="str">
        <f>'OPCO Rev Req'!A17</f>
        <v>Current FIT</v>
      </c>
      <c r="B16" s="49" cm="1">
        <f t="array" ref="B16">'OPCO Rev Req'!B17*Allocator</f>
        <v>-16685815.390322816</v>
      </c>
      <c r="C16" s="49" cm="1">
        <f t="array" ref="C16">'OPCO Rev Req'!C17*Allocator</f>
        <v>-21139548.826182947</v>
      </c>
      <c r="D16" s="49" cm="1">
        <f t="array" ref="D16">'OPCO Rev Req'!D17*Allocator</f>
        <v>-20638050.553258758</v>
      </c>
      <c r="E16" s="49" cm="1">
        <f t="array" ref="E16">'OPCO Rev Req'!E17*Allocator</f>
        <v>-20190889.993243486</v>
      </c>
      <c r="F16" s="49" cm="1">
        <f t="array" ref="F16">'OPCO Rev Req'!F17*Allocator</f>
        <v>-19736317.711843263</v>
      </c>
      <c r="G16" s="49" cm="1">
        <f t="array" ref="G16">'OPCO Rev Req'!G17*Allocator</f>
        <v>-19430882.60003053</v>
      </c>
      <c r="H16" s="49" cm="1">
        <f t="array" ref="H16">'OPCO Rev Req'!H17*Allocator</f>
        <v>-19045916.587821614</v>
      </c>
      <c r="I16" s="49" cm="1">
        <f t="array" ref="I16">'OPCO Rev Req'!I17*Allocator</f>
        <v>-17973767.082730629</v>
      </c>
      <c r="J16" s="49" cm="1">
        <f t="array" ref="J16">'OPCO Rev Req'!J17*Allocator</f>
        <v>-17101859.899378944</v>
      </c>
      <c r="K16" s="49" cm="1">
        <f t="array" ref="K16">'OPCO Rev Req'!K17*Allocator</f>
        <v>-15935039.941253135</v>
      </c>
      <c r="L16" s="49" cm="1">
        <f t="array" ref="L16">'OPCO Rev Req'!L17*Allocator</f>
        <v>-14558563.884683758</v>
      </c>
      <c r="M16" s="49" cm="1">
        <f t="array" ref="M16">'OPCO Rev Req'!M17*Allocator</f>
        <v>0</v>
      </c>
      <c r="N16" s="49" cm="1">
        <f t="array" ref="N16">'OPCO Rev Req'!N17*Allocator</f>
        <v>0</v>
      </c>
      <c r="O16" s="49" cm="1">
        <f t="array" ref="O16">'OPCO Rev Req'!O17*Allocator</f>
        <v>0</v>
      </c>
      <c r="P16" s="49" cm="1">
        <f t="array" ref="P16">'OPCO Rev Req'!P17*Allocator</f>
        <v>0</v>
      </c>
      <c r="Q16" s="49" cm="1">
        <f t="array" ref="Q16">'OPCO Rev Req'!Q17*Allocator</f>
        <v>0</v>
      </c>
      <c r="R16" s="49" cm="1">
        <f t="array" ref="R16">'OPCO Rev Req'!R17*Allocator</f>
        <v>0</v>
      </c>
      <c r="S16" s="49" cm="1">
        <f t="array" ref="S16">'OPCO Rev Req'!S17*Allocator</f>
        <v>0</v>
      </c>
      <c r="T16" s="49" cm="1">
        <f t="array" ref="T16">'OPCO Rev Req'!T17*Allocator</f>
        <v>0</v>
      </c>
      <c r="U16" s="49" cm="1">
        <f t="array" ref="U16">'OPCO Rev Req'!U17*Allocator</f>
        <v>0</v>
      </c>
      <c r="V16" s="49" cm="1">
        <f t="array" ref="V16">'OPCO Rev Req'!V17*Allocator</f>
        <v>0</v>
      </c>
      <c r="W16" s="49" cm="1">
        <f t="array" ref="W16">'OPCO Rev Req'!W17*Allocator</f>
        <v>0</v>
      </c>
      <c r="X16" s="49" cm="1">
        <f t="array" ref="X16">'OPCO Rev Req'!X17*Allocator</f>
        <v>0</v>
      </c>
      <c r="Y16" s="49" cm="1">
        <f t="array" ref="Y16">'OPCO Rev Req'!Y17*Allocator</f>
        <v>0</v>
      </c>
      <c r="Z16" s="49" cm="1">
        <f t="array" ref="Z16">'OPCO Rev Req'!Z17*Allocator</f>
        <v>0</v>
      </c>
      <c r="AA16" s="49" cm="1">
        <f t="array" ref="AA16">'OPCO Rev Req'!AA17*Allocator</f>
        <v>0</v>
      </c>
      <c r="AB16" s="49" cm="1">
        <f t="array" ref="AB16">'OPCO Rev Req'!AB17*Allocator</f>
        <v>0</v>
      </c>
      <c r="AC16" s="49" cm="1">
        <f t="array" ref="AC16">'OPCO Rev Req'!AC17*Allocator</f>
        <v>0</v>
      </c>
      <c r="AD16" s="49" cm="1">
        <f t="array" ref="AD16">'OPCO Rev Req'!AD17*Allocator</f>
        <v>0</v>
      </c>
      <c r="AE16" s="49" cm="1">
        <f t="array" ref="AE16">'OPCO Rev Req'!AE17*Allocator</f>
        <v>0</v>
      </c>
      <c r="AF16" s="49" cm="1">
        <f t="array" ref="AF16">'OPCO Rev Req'!AF17*Allocator</f>
        <v>0</v>
      </c>
      <c r="AG16" s="49" cm="1">
        <f t="array" ref="AG16">'OPCO Rev Req'!AG17*Allocator</f>
        <v>0</v>
      </c>
      <c r="AH16" s="49" cm="1">
        <f t="array" ref="AH16">'OPCO Rev Req'!AH17*Allocator</f>
        <v>0</v>
      </c>
      <c r="AI16" s="49" cm="1">
        <f t="array" ref="AI16">'OPCO Rev Req'!AI17*Allocator</f>
        <v>0</v>
      </c>
      <c r="AJ16" s="49" cm="1">
        <f t="array" ref="AJ16">'OPCO Rev Req'!AJ17*Allocator</f>
        <v>0</v>
      </c>
    </row>
    <row r="17" spans="1:36">
      <c r="A17" s="11" t="str">
        <f>'OPCO Rev Req'!A18</f>
        <v>Deferred FIT</v>
      </c>
      <c r="B17" s="49" cm="1">
        <f t="array" ref="B17">'OPCO Rev Req'!B18*Allocator</f>
        <v>-5813337.9702132046</v>
      </c>
      <c r="C17" s="49" cm="1">
        <f t="array" ref="C17">'OPCO Rev Req'!C18*Allocator</f>
        <v>-1637869.2394309263</v>
      </c>
      <c r="D17" s="49" cm="1">
        <f t="array" ref="D17">'OPCO Rev Req'!D18*Allocator</f>
        <v>-2329753.0098341638</v>
      </c>
      <c r="E17" s="49" cm="1">
        <f t="array" ref="E17">'OPCO Rev Req'!E18*Allocator</f>
        <v>-3056800.7609369135</v>
      </c>
      <c r="F17" s="49" cm="1">
        <f t="array" ref="F17">'OPCO Rev Req'!F18*Allocator</f>
        <v>-3740564.5530843325</v>
      </c>
      <c r="G17" s="49" cm="1">
        <f t="array" ref="G17">'OPCO Rev Req'!G18*Allocator</f>
        <v>-4401534.772765913</v>
      </c>
      <c r="H17" s="49" cm="1">
        <f t="array" ref="H17">'OPCO Rev Req'!H18*Allocator</f>
        <v>-5039380.2230019206</v>
      </c>
      <c r="I17" s="49" cm="1">
        <f t="array" ref="I17">'OPCO Rev Req'!I18*Allocator</f>
        <v>-5695667.5425762227</v>
      </c>
      <c r="J17" s="49" cm="1">
        <f t="array" ref="J17">'OPCO Rev Req'!J18*Allocator</f>
        <v>-6101810.6121442514</v>
      </c>
      <c r="K17" s="49" cm="1">
        <f t="array" ref="K17">'OPCO Rev Req'!K18*Allocator</f>
        <v>-11273629.767917024</v>
      </c>
      <c r="L17" s="49" cm="1">
        <f t="array" ref="L17">'OPCO Rev Req'!L18*Allocator</f>
        <v>-11347724.635039568</v>
      </c>
      <c r="M17" s="49" cm="1">
        <f t="array" ref="M17">'OPCO Rev Req'!M18*Allocator</f>
        <v>0</v>
      </c>
      <c r="N17" s="49" cm="1">
        <f t="array" ref="N17">'OPCO Rev Req'!N18*Allocator</f>
        <v>0</v>
      </c>
      <c r="O17" s="49" cm="1">
        <f t="array" ref="O17">'OPCO Rev Req'!O18*Allocator</f>
        <v>0</v>
      </c>
      <c r="P17" s="49" cm="1">
        <f t="array" ref="P17">'OPCO Rev Req'!P18*Allocator</f>
        <v>0</v>
      </c>
      <c r="Q17" s="49" cm="1">
        <f t="array" ref="Q17">'OPCO Rev Req'!Q18*Allocator</f>
        <v>0</v>
      </c>
      <c r="R17" s="49" cm="1">
        <f t="array" ref="R17">'OPCO Rev Req'!R18*Allocator</f>
        <v>0</v>
      </c>
      <c r="S17" s="49" cm="1">
        <f t="array" ref="S17">'OPCO Rev Req'!S18*Allocator</f>
        <v>0</v>
      </c>
      <c r="T17" s="49" cm="1">
        <f t="array" ref="T17">'OPCO Rev Req'!T18*Allocator</f>
        <v>0</v>
      </c>
      <c r="U17" s="49" cm="1">
        <f t="array" ref="U17">'OPCO Rev Req'!U18*Allocator</f>
        <v>0</v>
      </c>
      <c r="V17" s="49" cm="1">
        <f t="array" ref="V17">'OPCO Rev Req'!V18*Allocator</f>
        <v>0</v>
      </c>
      <c r="W17" s="49" cm="1">
        <f t="array" ref="W17">'OPCO Rev Req'!W18*Allocator</f>
        <v>0</v>
      </c>
      <c r="X17" s="49" cm="1">
        <f t="array" ref="X17">'OPCO Rev Req'!X18*Allocator</f>
        <v>0</v>
      </c>
      <c r="Y17" s="49" cm="1">
        <f t="array" ref="Y17">'OPCO Rev Req'!Y18*Allocator</f>
        <v>0</v>
      </c>
      <c r="Z17" s="49" cm="1">
        <f t="array" ref="Z17">'OPCO Rev Req'!Z18*Allocator</f>
        <v>0</v>
      </c>
      <c r="AA17" s="49" cm="1">
        <f t="array" ref="AA17">'OPCO Rev Req'!AA18*Allocator</f>
        <v>0</v>
      </c>
      <c r="AB17" s="49" cm="1">
        <f t="array" ref="AB17">'OPCO Rev Req'!AB18*Allocator</f>
        <v>0</v>
      </c>
      <c r="AC17" s="49" cm="1">
        <f t="array" ref="AC17">'OPCO Rev Req'!AC18*Allocator</f>
        <v>0</v>
      </c>
      <c r="AD17" s="49" cm="1">
        <f t="array" ref="AD17">'OPCO Rev Req'!AD18*Allocator</f>
        <v>0</v>
      </c>
      <c r="AE17" s="49" cm="1">
        <f t="array" ref="AE17">'OPCO Rev Req'!AE18*Allocator</f>
        <v>0</v>
      </c>
      <c r="AF17" s="49" cm="1">
        <f t="array" ref="AF17">'OPCO Rev Req'!AF18*Allocator</f>
        <v>0</v>
      </c>
      <c r="AG17" s="49" cm="1">
        <f t="array" ref="AG17">'OPCO Rev Req'!AG18*Allocator</f>
        <v>0</v>
      </c>
      <c r="AH17" s="49" cm="1">
        <f t="array" ref="AH17">'OPCO Rev Req'!AH18*Allocator</f>
        <v>0</v>
      </c>
      <c r="AI17" s="49" cm="1">
        <f t="array" ref="AI17">'OPCO Rev Req'!AI18*Allocator</f>
        <v>0</v>
      </c>
      <c r="AJ17" s="49" cm="1">
        <f t="array" ref="AJ17">'OPCO Rev Req'!AJ18*Allocator</f>
        <v>0</v>
      </c>
    </row>
    <row r="18" spans="1:36">
      <c r="A18" s="11" t="str">
        <f>'OPCO Rev Req'!A19</f>
        <v>Total Expenses</v>
      </c>
      <c r="B18" s="26" cm="1">
        <f t="array" ref="B18">'OPCO Rev Req'!B19*Allocator</f>
        <v>68043368.067373961</v>
      </c>
      <c r="C18" s="26" cm="1">
        <f t="array" ref="C18">'OPCO Rev Req'!C19*Allocator</f>
        <v>69889724.075207949</v>
      </c>
      <c r="D18" s="26" cm="1">
        <f t="array" ref="D18">'OPCO Rev Req'!D19*Allocator</f>
        <v>71580093.183149591</v>
      </c>
      <c r="E18" s="26" cm="1">
        <f t="array" ref="E18">'OPCO Rev Req'!E19*Allocator</f>
        <v>73558787.90376398</v>
      </c>
      <c r="F18" s="26" cm="1">
        <f t="array" ref="F18">'OPCO Rev Req'!F19*Allocator</f>
        <v>75368091.388850078</v>
      </c>
      <c r="G18" s="26" cm="1">
        <f t="array" ref="G18">'OPCO Rev Req'!G19*Allocator</f>
        <v>77668785.53028819</v>
      </c>
      <c r="H18" s="26" cm="1">
        <f t="array" ref="H18">'OPCO Rev Req'!H19*Allocator</f>
        <v>79611343.776574418</v>
      </c>
      <c r="I18" s="26" cm="1">
        <f t="array" ref="I18">'OPCO Rev Req'!I19*Allocator</f>
        <v>79265306.966322452</v>
      </c>
      <c r="J18" s="26" cm="1">
        <f t="array" ref="J18">'OPCO Rev Req'!J19*Allocator</f>
        <v>78804341.858268574</v>
      </c>
      <c r="K18" s="26" cm="1">
        <f t="array" ref="K18">'OPCO Rev Req'!K19*Allocator</f>
        <v>95721250.62447837</v>
      </c>
      <c r="L18" s="26" cm="1">
        <f t="array" ref="L18">'OPCO Rev Req'!L19*Allocator</f>
        <v>92852711.121527329</v>
      </c>
      <c r="M18" s="26" cm="1">
        <f t="array" ref="M18">'OPCO Rev Req'!M19*Allocator</f>
        <v>0</v>
      </c>
      <c r="N18" s="26" cm="1">
        <f t="array" ref="N18">'OPCO Rev Req'!N19*Allocator</f>
        <v>0</v>
      </c>
      <c r="O18" s="26" cm="1">
        <f t="array" ref="O18">'OPCO Rev Req'!O19*Allocator</f>
        <v>0</v>
      </c>
      <c r="P18" s="26" cm="1">
        <f t="array" ref="P18">'OPCO Rev Req'!P19*Allocator</f>
        <v>0</v>
      </c>
      <c r="Q18" s="26" cm="1">
        <f t="array" ref="Q18">'OPCO Rev Req'!Q19*Allocator</f>
        <v>0</v>
      </c>
      <c r="R18" s="26" cm="1">
        <f t="array" ref="R18">'OPCO Rev Req'!R19*Allocator</f>
        <v>0</v>
      </c>
      <c r="S18" s="26" cm="1">
        <f t="array" ref="S18">'OPCO Rev Req'!S19*Allocator</f>
        <v>0</v>
      </c>
      <c r="T18" s="26" cm="1">
        <f t="array" ref="T18">'OPCO Rev Req'!T19*Allocator</f>
        <v>0</v>
      </c>
      <c r="U18" s="26" cm="1">
        <f t="array" ref="U18">'OPCO Rev Req'!U19*Allocator</f>
        <v>0</v>
      </c>
      <c r="V18" s="26" cm="1">
        <f t="array" ref="V18">'OPCO Rev Req'!V19*Allocator</f>
        <v>0</v>
      </c>
      <c r="W18" s="26" cm="1">
        <f t="array" ref="W18">'OPCO Rev Req'!W19*Allocator</f>
        <v>0</v>
      </c>
      <c r="X18" s="26" cm="1">
        <f t="array" ref="X18">'OPCO Rev Req'!X19*Allocator</f>
        <v>0</v>
      </c>
      <c r="Y18" s="26" cm="1">
        <f t="array" ref="Y18">'OPCO Rev Req'!Y19*Allocator</f>
        <v>0</v>
      </c>
      <c r="Z18" s="26" cm="1">
        <f t="array" ref="Z18">'OPCO Rev Req'!Z19*Allocator</f>
        <v>0</v>
      </c>
      <c r="AA18" s="26" cm="1">
        <f t="array" ref="AA18">'OPCO Rev Req'!AA19*Allocator</f>
        <v>0</v>
      </c>
      <c r="AB18" s="26" cm="1">
        <f t="array" ref="AB18">'OPCO Rev Req'!AB19*Allocator</f>
        <v>0</v>
      </c>
      <c r="AC18" s="26" cm="1">
        <f t="array" ref="AC18">'OPCO Rev Req'!AC19*Allocator</f>
        <v>0</v>
      </c>
      <c r="AD18" s="26" cm="1">
        <f t="array" ref="AD18">'OPCO Rev Req'!AD19*Allocator</f>
        <v>0</v>
      </c>
      <c r="AE18" s="26" cm="1">
        <f t="array" ref="AE18">'OPCO Rev Req'!AE19*Allocator</f>
        <v>0</v>
      </c>
      <c r="AF18" s="26" cm="1">
        <f t="array" ref="AF18">'OPCO Rev Req'!AF19*Allocator</f>
        <v>0</v>
      </c>
      <c r="AG18" s="26" cm="1">
        <f t="array" ref="AG18">'OPCO Rev Req'!AG19*Allocator</f>
        <v>0</v>
      </c>
      <c r="AH18" s="26" cm="1">
        <f t="array" ref="AH18">'OPCO Rev Req'!AH19*Allocator</f>
        <v>0</v>
      </c>
      <c r="AI18" s="26" cm="1">
        <f t="array" ref="AI18">'OPCO Rev Req'!AI19*Allocator</f>
        <v>0</v>
      </c>
      <c r="AJ18" s="26" cm="1">
        <f t="array" ref="AJ18">'OPCO Rev Req'!AJ19*Allocator</f>
        <v>0</v>
      </c>
    </row>
    <row r="19" spans="1:36">
      <c r="A19" s="11"/>
      <c r="V19" s="3"/>
      <c r="Z19" s="3"/>
      <c r="AD19" s="3"/>
      <c r="AH19" s="3"/>
    </row>
    <row r="20" spans="1:36">
      <c r="A20" s="11" t="str">
        <f>'OPCO Rev Req'!A23</f>
        <v>Rate Base</v>
      </c>
      <c r="B20" s="49" cm="1">
        <f t="array" ref="B20">'OPCO Rev Req'!B23*Allocator</f>
        <v>590102960.64235508</v>
      </c>
      <c r="C20" s="49" cm="1">
        <f t="array" ref="C20">'OPCO Rev Req'!C23*Allocator</f>
        <v>561673906.45021451</v>
      </c>
      <c r="D20" s="49" cm="1">
        <f t="array" ref="D20">'OPCO Rev Req'!D23*Allocator</f>
        <v>527036500.10582644</v>
      </c>
      <c r="E20" s="49" cm="1">
        <f t="array" ref="E20">'OPCO Rev Req'!E23*Allocator</f>
        <v>494118995.29154986</v>
      </c>
      <c r="F20" s="49" cm="1">
        <f t="array" ref="F20">'OPCO Rev Req'!F23*Allocator</f>
        <v>460443391.82159525</v>
      </c>
      <c r="G20" s="49" cm="1">
        <f t="array" ref="G20">'OPCO Rev Req'!G23*Allocator</f>
        <v>426195400.50749922</v>
      </c>
      <c r="H20" s="49" cm="1">
        <f t="array" ref="H20">'OPCO Rev Req'!H23*Allocator</f>
        <v>390950234.60046369</v>
      </c>
      <c r="I20" s="49" cm="1">
        <f t="array" ref="I20">'OPCO Rev Req'!I23*Allocator</f>
        <v>347628556.05855203</v>
      </c>
      <c r="J20" s="49" cm="1">
        <f t="array" ref="J20">'OPCO Rev Req'!J23*Allocator</f>
        <v>301718450.76204985</v>
      </c>
      <c r="K20" s="49" cm="1">
        <f t="array" ref="K20">'OPCO Rev Req'!K23*Allocator</f>
        <v>235922137.5452562</v>
      </c>
      <c r="L20" s="49" cm="1">
        <f t="array" ref="L20">'OPCO Rev Req'!L23*Allocator</f>
        <v>163711068.8998194</v>
      </c>
      <c r="M20" s="49" cm="1">
        <f t="array" ref="M20">'OPCO Rev Req'!M23*Allocator</f>
        <v>0</v>
      </c>
      <c r="N20" s="49" cm="1">
        <f t="array" ref="N20">'OPCO Rev Req'!N23*Allocator</f>
        <v>0</v>
      </c>
      <c r="O20" s="49" cm="1">
        <f t="array" ref="O20">'OPCO Rev Req'!O23*Allocator</f>
        <v>0</v>
      </c>
      <c r="P20" s="49" cm="1">
        <f t="array" ref="P20">'OPCO Rev Req'!P23*Allocator</f>
        <v>0</v>
      </c>
      <c r="Q20" s="49" cm="1">
        <f t="array" ref="Q20">'OPCO Rev Req'!Q23*Allocator</f>
        <v>0</v>
      </c>
      <c r="R20" s="49" cm="1">
        <f t="array" ref="R20">'OPCO Rev Req'!R23*Allocator</f>
        <v>0</v>
      </c>
      <c r="S20" s="49" cm="1">
        <f t="array" ref="S20">'OPCO Rev Req'!S23*Allocator</f>
        <v>0</v>
      </c>
      <c r="T20" s="49" cm="1">
        <f t="array" ref="T20">'OPCO Rev Req'!T23*Allocator</f>
        <v>0</v>
      </c>
      <c r="U20" s="49" cm="1">
        <f t="array" ref="U20">'OPCO Rev Req'!U23*Allocator</f>
        <v>0</v>
      </c>
      <c r="V20" s="49" cm="1">
        <f t="array" ref="V20">'OPCO Rev Req'!V23*Allocator</f>
        <v>0</v>
      </c>
      <c r="W20" s="49" cm="1">
        <f t="array" ref="W20">'OPCO Rev Req'!W23*Allocator</f>
        <v>0</v>
      </c>
      <c r="X20" s="49" cm="1">
        <f t="array" ref="X20">'OPCO Rev Req'!X23*Allocator</f>
        <v>0</v>
      </c>
      <c r="Y20" s="49" cm="1">
        <f t="array" ref="Y20">'OPCO Rev Req'!Y23*Allocator</f>
        <v>0</v>
      </c>
      <c r="Z20" s="49" cm="1">
        <f t="array" ref="Z20">'OPCO Rev Req'!Z23*Allocator</f>
        <v>0</v>
      </c>
      <c r="AA20" s="49" cm="1">
        <f t="array" ref="AA20">'OPCO Rev Req'!AA23*Allocator</f>
        <v>0</v>
      </c>
      <c r="AB20" s="49" cm="1">
        <f t="array" ref="AB20">'OPCO Rev Req'!AB23*Allocator</f>
        <v>0</v>
      </c>
      <c r="AC20" s="49" cm="1">
        <f t="array" ref="AC20">'OPCO Rev Req'!AC23*Allocator</f>
        <v>0</v>
      </c>
      <c r="AD20" s="49" cm="1">
        <f t="array" ref="AD20">'OPCO Rev Req'!AD23*Allocator</f>
        <v>0</v>
      </c>
      <c r="AE20" s="49" cm="1">
        <f t="array" ref="AE20">'OPCO Rev Req'!AE23*Allocator</f>
        <v>0</v>
      </c>
      <c r="AF20" s="49" cm="1">
        <f t="array" ref="AF20">'OPCO Rev Req'!AF23*Allocator</f>
        <v>0</v>
      </c>
      <c r="AG20" s="49" cm="1">
        <f t="array" ref="AG20">'OPCO Rev Req'!AG23*Allocator</f>
        <v>0</v>
      </c>
      <c r="AH20" s="49" cm="1">
        <f t="array" ref="AH20">'OPCO Rev Req'!AH23*Allocator</f>
        <v>0</v>
      </c>
      <c r="AI20" s="49" cm="1">
        <f t="array" ref="AI20">'OPCO Rev Req'!AI23*Allocator</f>
        <v>0</v>
      </c>
      <c r="AJ20" s="49" cm="1">
        <f t="array" ref="AJ20">'OPCO Rev Req'!AJ23*Allocator</f>
        <v>0</v>
      </c>
    </row>
    <row r="21" spans="1:36">
      <c r="A21" s="11" t="str">
        <f>'OPCO Rev Req'!A24</f>
        <v>Return on Rate Base</v>
      </c>
      <c r="B21" s="49" cm="1">
        <f t="array" ref="B21">'OPCO Rev Req'!B24*Allocator</f>
        <v>40326630.794853613</v>
      </c>
      <c r="C21" s="49" cm="1">
        <f t="array" ref="C21">'OPCO Rev Req'!C24*Allocator</f>
        <v>38383837.674471073</v>
      </c>
      <c r="D21" s="49" cm="1">
        <f t="array" ref="D21">'OPCO Rev Req'!D24*Allocator</f>
        <v>36016776.347036004</v>
      </c>
      <c r="E21" s="49" cm="1">
        <f t="array" ref="E21">'OPCO Rev Req'!E24*Allocator</f>
        <v>33767250.159456544</v>
      </c>
      <c r="F21" s="49" cm="1">
        <f t="array" ref="F21">'OPCO Rev Req'!F24*Allocator</f>
        <v>31465916.801548157</v>
      </c>
      <c r="G21" s="49" cm="1">
        <f t="array" ref="G21">'OPCO Rev Req'!G24*Allocator</f>
        <v>29125467.433720034</v>
      </c>
      <c r="H21" s="49" cm="1">
        <f t="array" ref="H21">'OPCO Rev Req'!H24*Allocator</f>
        <v>26716872.853395931</v>
      </c>
      <c r="I21" s="49" cm="1">
        <f t="array" ref="I21">'OPCO Rev Req'!I24*Allocator</f>
        <v>23756343.161981925</v>
      </c>
      <c r="J21" s="49" cm="1">
        <f t="array" ref="J21">'OPCO Rev Req'!J24*Allocator</f>
        <v>20618924.796838392</v>
      </c>
      <c r="K21" s="49" cm="1">
        <f t="array" ref="K21">'OPCO Rev Req'!K24*Allocator</f>
        <v>16122516.868520433</v>
      </c>
      <c r="L21" s="49" cm="1">
        <f t="array" ref="L21">'OPCO Rev Req'!L24*Allocator</f>
        <v>11187735.484952254</v>
      </c>
      <c r="M21" s="49" cm="1">
        <f t="array" ref="M21">'OPCO Rev Req'!M24*Allocator</f>
        <v>0</v>
      </c>
      <c r="N21" s="49" cm="1">
        <f t="array" ref="N21">'OPCO Rev Req'!N24*Allocator</f>
        <v>0</v>
      </c>
      <c r="O21" s="49" cm="1">
        <f t="array" ref="O21">'OPCO Rev Req'!O24*Allocator</f>
        <v>0</v>
      </c>
      <c r="P21" s="49" cm="1">
        <f t="array" ref="P21">'OPCO Rev Req'!P24*Allocator</f>
        <v>0</v>
      </c>
      <c r="Q21" s="49" cm="1">
        <f t="array" ref="Q21">'OPCO Rev Req'!Q24*Allocator</f>
        <v>0</v>
      </c>
      <c r="R21" s="49" cm="1">
        <f t="array" ref="R21">'OPCO Rev Req'!R24*Allocator</f>
        <v>0</v>
      </c>
      <c r="S21" s="49" cm="1">
        <f t="array" ref="S21">'OPCO Rev Req'!S24*Allocator</f>
        <v>0</v>
      </c>
      <c r="T21" s="49" cm="1">
        <f t="array" ref="T21">'OPCO Rev Req'!T24*Allocator</f>
        <v>0</v>
      </c>
      <c r="U21" s="49" cm="1">
        <f t="array" ref="U21">'OPCO Rev Req'!U24*Allocator</f>
        <v>0</v>
      </c>
      <c r="V21" s="49" cm="1">
        <f t="array" ref="V21">'OPCO Rev Req'!V24*Allocator</f>
        <v>0</v>
      </c>
      <c r="W21" s="49" cm="1">
        <f t="array" ref="W21">'OPCO Rev Req'!W24*Allocator</f>
        <v>0</v>
      </c>
      <c r="X21" s="49" cm="1">
        <f t="array" ref="X21">'OPCO Rev Req'!X24*Allocator</f>
        <v>0</v>
      </c>
      <c r="Y21" s="49" cm="1">
        <f t="array" ref="Y21">'OPCO Rev Req'!Y24*Allocator</f>
        <v>0</v>
      </c>
      <c r="Z21" s="49" cm="1">
        <f t="array" ref="Z21">'OPCO Rev Req'!Z24*Allocator</f>
        <v>0</v>
      </c>
      <c r="AA21" s="49" cm="1">
        <f t="array" ref="AA21">'OPCO Rev Req'!AA24*Allocator</f>
        <v>0</v>
      </c>
      <c r="AB21" s="49" cm="1">
        <f t="array" ref="AB21">'OPCO Rev Req'!AB24*Allocator</f>
        <v>0</v>
      </c>
      <c r="AC21" s="49" cm="1">
        <f t="array" ref="AC21">'OPCO Rev Req'!AC24*Allocator</f>
        <v>0</v>
      </c>
      <c r="AD21" s="49" cm="1">
        <f t="array" ref="AD21">'OPCO Rev Req'!AD24*Allocator</f>
        <v>0</v>
      </c>
      <c r="AE21" s="49" cm="1">
        <f t="array" ref="AE21">'OPCO Rev Req'!AE24*Allocator</f>
        <v>0</v>
      </c>
      <c r="AF21" s="49" cm="1">
        <f t="array" ref="AF21">'OPCO Rev Req'!AF24*Allocator</f>
        <v>0</v>
      </c>
      <c r="AG21" s="49" cm="1">
        <f t="array" ref="AG21">'OPCO Rev Req'!AG24*Allocator</f>
        <v>0</v>
      </c>
      <c r="AH21" s="49" cm="1">
        <f t="array" ref="AH21">'OPCO Rev Req'!AH24*Allocator</f>
        <v>0</v>
      </c>
      <c r="AI21" s="49" cm="1">
        <f t="array" ref="AI21">'OPCO Rev Req'!AI24*Allocator</f>
        <v>0</v>
      </c>
      <c r="AJ21" s="49" cm="1">
        <f t="array" ref="AJ21">'OPCO Rev Req'!AJ24*Allocator</f>
        <v>0</v>
      </c>
    </row>
    <row r="22" spans="1:36">
      <c r="A22" s="11"/>
      <c r="V22" s="3"/>
      <c r="Z22" s="3"/>
      <c r="AD22" s="3"/>
      <c r="AH22" s="3"/>
    </row>
    <row r="23" spans="1:36">
      <c r="A23" s="11" t="str">
        <f>'OPCO Rev Req'!A26</f>
        <v>Operating Income Deficiency</v>
      </c>
      <c r="B23" s="49">
        <f t="shared" ref="B23:U23" si="0">B21+B18</f>
        <v>108369998.86222757</v>
      </c>
      <c r="C23" s="49">
        <f t="shared" si="0"/>
        <v>108273561.74967903</v>
      </c>
      <c r="D23" s="49">
        <f t="shared" si="0"/>
        <v>107596869.5301856</v>
      </c>
      <c r="E23" s="49">
        <f t="shared" si="0"/>
        <v>107326038.06322053</v>
      </c>
      <c r="F23" s="49">
        <f t="shared" si="0"/>
        <v>106834008.19039823</v>
      </c>
      <c r="G23" s="49">
        <f t="shared" si="0"/>
        <v>106794252.96400823</v>
      </c>
      <c r="H23" s="49">
        <f t="shared" si="0"/>
        <v>106328216.62997034</v>
      </c>
      <c r="I23" s="49">
        <f t="shared" si="0"/>
        <v>103021650.12830438</v>
      </c>
      <c r="J23" s="49">
        <f t="shared" si="0"/>
        <v>99423266.655106962</v>
      </c>
      <c r="K23" s="49">
        <f t="shared" si="0"/>
        <v>111843767.49299881</v>
      </c>
      <c r="L23" s="49">
        <f t="shared" si="0"/>
        <v>104040446.60647959</v>
      </c>
      <c r="M23" s="49">
        <f t="shared" si="0"/>
        <v>0</v>
      </c>
      <c r="N23" s="49">
        <f t="shared" si="0"/>
        <v>0</v>
      </c>
      <c r="O23" s="49">
        <f t="shared" si="0"/>
        <v>0</v>
      </c>
      <c r="P23" s="49">
        <f t="shared" si="0"/>
        <v>0</v>
      </c>
      <c r="Q23" s="49">
        <f t="shared" si="0"/>
        <v>0</v>
      </c>
      <c r="R23" s="49">
        <f t="shared" si="0"/>
        <v>0</v>
      </c>
      <c r="S23" s="49">
        <f t="shared" si="0"/>
        <v>0</v>
      </c>
      <c r="T23" s="49">
        <f t="shared" si="0"/>
        <v>0</v>
      </c>
      <c r="U23" s="49">
        <f t="shared" si="0"/>
        <v>0</v>
      </c>
      <c r="V23" s="49">
        <f t="shared" ref="V23:AJ23" si="1">V21+V18</f>
        <v>0</v>
      </c>
      <c r="W23" s="49">
        <f t="shared" si="1"/>
        <v>0</v>
      </c>
      <c r="X23" s="49">
        <f t="shared" si="1"/>
        <v>0</v>
      </c>
      <c r="Y23" s="49">
        <f t="shared" si="1"/>
        <v>0</v>
      </c>
      <c r="Z23" s="49">
        <f t="shared" si="1"/>
        <v>0</v>
      </c>
      <c r="AA23" s="49">
        <f t="shared" si="1"/>
        <v>0</v>
      </c>
      <c r="AB23" s="49">
        <f t="shared" si="1"/>
        <v>0</v>
      </c>
      <c r="AC23" s="49">
        <f t="shared" si="1"/>
        <v>0</v>
      </c>
      <c r="AD23" s="49">
        <f t="shared" si="1"/>
        <v>0</v>
      </c>
      <c r="AE23" s="49">
        <f t="shared" si="1"/>
        <v>0</v>
      </c>
      <c r="AF23" s="49">
        <f t="shared" si="1"/>
        <v>0</v>
      </c>
      <c r="AG23" s="49">
        <f t="shared" si="1"/>
        <v>0</v>
      </c>
      <c r="AH23" s="49">
        <f t="shared" si="1"/>
        <v>0</v>
      </c>
      <c r="AI23" s="49">
        <f t="shared" si="1"/>
        <v>0</v>
      </c>
      <c r="AJ23" s="49">
        <f t="shared" si="1"/>
        <v>0</v>
      </c>
    </row>
    <row r="24" spans="1:36">
      <c r="A24" s="11" t="str">
        <f>'OPCO Rev Req'!A27</f>
        <v>Gross Up Factor</v>
      </c>
      <c r="B24" s="114">
        <f t="shared" ref="B24:AJ24" si="2">GRCF</f>
        <v>1.3398970400000001</v>
      </c>
      <c r="C24" s="114">
        <f t="shared" si="2"/>
        <v>1.3398970400000001</v>
      </c>
      <c r="D24" s="114">
        <f t="shared" si="2"/>
        <v>1.3398970400000001</v>
      </c>
      <c r="E24" s="114">
        <f t="shared" si="2"/>
        <v>1.3398970400000001</v>
      </c>
      <c r="F24" s="114">
        <f t="shared" si="2"/>
        <v>1.3398970400000001</v>
      </c>
      <c r="G24" s="114">
        <f t="shared" si="2"/>
        <v>1.3398970400000001</v>
      </c>
      <c r="H24" s="114">
        <f t="shared" si="2"/>
        <v>1.3398970400000001</v>
      </c>
      <c r="I24" s="114">
        <f t="shared" si="2"/>
        <v>1.3398970400000001</v>
      </c>
      <c r="J24" s="114">
        <f t="shared" si="2"/>
        <v>1.3398970400000001</v>
      </c>
      <c r="K24" s="114">
        <f t="shared" si="2"/>
        <v>1.3398970400000001</v>
      </c>
      <c r="L24" s="114">
        <f t="shared" si="2"/>
        <v>1.3398970400000001</v>
      </c>
      <c r="M24" s="114">
        <f t="shared" si="2"/>
        <v>1.3398970400000001</v>
      </c>
      <c r="N24" s="114">
        <f t="shared" si="2"/>
        <v>1.3398970400000001</v>
      </c>
      <c r="O24" s="114">
        <f t="shared" si="2"/>
        <v>1.3398970400000001</v>
      </c>
      <c r="P24" s="114">
        <f t="shared" si="2"/>
        <v>1.3398970400000001</v>
      </c>
      <c r="Q24" s="114">
        <f t="shared" si="2"/>
        <v>1.3398970400000001</v>
      </c>
      <c r="R24" s="114">
        <f t="shared" si="2"/>
        <v>1.3398970400000001</v>
      </c>
      <c r="S24" s="114">
        <f t="shared" si="2"/>
        <v>1.3398970400000001</v>
      </c>
      <c r="T24" s="114">
        <f t="shared" si="2"/>
        <v>1.3398970400000001</v>
      </c>
      <c r="U24" s="114">
        <f t="shared" si="2"/>
        <v>1.3398970400000001</v>
      </c>
      <c r="V24" s="114">
        <f t="shared" si="2"/>
        <v>1.3398970400000001</v>
      </c>
      <c r="W24" s="114">
        <f t="shared" si="2"/>
        <v>1.3398970400000001</v>
      </c>
      <c r="X24" s="114">
        <f t="shared" si="2"/>
        <v>1.3398970400000001</v>
      </c>
      <c r="Y24" s="114">
        <f t="shared" si="2"/>
        <v>1.3398970400000001</v>
      </c>
      <c r="Z24" s="114">
        <f t="shared" si="2"/>
        <v>1.3398970400000001</v>
      </c>
      <c r="AA24" s="114">
        <f t="shared" si="2"/>
        <v>1.3398970400000001</v>
      </c>
      <c r="AB24" s="114">
        <f t="shared" si="2"/>
        <v>1.3398970400000001</v>
      </c>
      <c r="AC24" s="114">
        <f t="shared" si="2"/>
        <v>1.3398970400000001</v>
      </c>
      <c r="AD24" s="114">
        <f t="shared" si="2"/>
        <v>1.3398970400000001</v>
      </c>
      <c r="AE24" s="114">
        <f t="shared" si="2"/>
        <v>1.3398970400000001</v>
      </c>
      <c r="AF24" s="114">
        <f t="shared" si="2"/>
        <v>1.3398970400000001</v>
      </c>
      <c r="AG24" s="114">
        <f t="shared" si="2"/>
        <v>1.3398970400000001</v>
      </c>
      <c r="AH24" s="114">
        <f t="shared" si="2"/>
        <v>1.3398970400000001</v>
      </c>
      <c r="AI24" s="114">
        <f t="shared" si="2"/>
        <v>1.3398970400000001</v>
      </c>
      <c r="AJ24" s="114">
        <f t="shared" si="2"/>
        <v>1.3398970400000001</v>
      </c>
    </row>
    <row r="25" spans="1:36" s="93" customFormat="1" ht="13">
      <c r="A25" s="120" t="str">
        <f>'OPCO Rev Req'!A28</f>
        <v>Revenue Requirement</v>
      </c>
      <c r="B25" s="121">
        <f t="shared" ref="B25:U25" si="3">B23*B24</f>
        <v>145204640.70030209</v>
      </c>
      <c r="C25" s="121">
        <f t="shared" si="3"/>
        <v>145075424.89865217</v>
      </c>
      <c r="D25" s="121">
        <f t="shared" si="3"/>
        <v>144168726.99676189</v>
      </c>
      <c r="E25" s="121">
        <f t="shared" si="3"/>
        <v>143805840.71583652</v>
      </c>
      <c r="F25" s="121">
        <f t="shared" si="3"/>
        <v>143146571.34565035</v>
      </c>
      <c r="G25" s="121">
        <f>G23*G24</f>
        <v>143093303.43548587</v>
      </c>
      <c r="H25" s="121">
        <f t="shared" si="3"/>
        <v>142468862.73097605</v>
      </c>
      <c r="I25" s="121">
        <f t="shared" si="3"/>
        <v>138038404.06283066</v>
      </c>
      <c r="J25" s="121">
        <f t="shared" si="3"/>
        <v>133216940.69830853</v>
      </c>
      <c r="K25" s="121">
        <f t="shared" si="3"/>
        <v>149859133.00631735</v>
      </c>
      <c r="L25" s="121">
        <f t="shared" si="3"/>
        <v>139403486.44830006</v>
      </c>
      <c r="M25" s="121">
        <f t="shared" si="3"/>
        <v>0</v>
      </c>
      <c r="N25" s="121">
        <f t="shared" si="3"/>
        <v>0</v>
      </c>
      <c r="O25" s="121">
        <f t="shared" si="3"/>
        <v>0</v>
      </c>
      <c r="P25" s="121">
        <f t="shared" si="3"/>
        <v>0</v>
      </c>
      <c r="Q25" s="121">
        <f t="shared" si="3"/>
        <v>0</v>
      </c>
      <c r="R25" s="121">
        <f t="shared" si="3"/>
        <v>0</v>
      </c>
      <c r="S25" s="121">
        <f t="shared" si="3"/>
        <v>0</v>
      </c>
      <c r="T25" s="121">
        <f t="shared" si="3"/>
        <v>0</v>
      </c>
      <c r="U25" s="121">
        <f t="shared" si="3"/>
        <v>0</v>
      </c>
      <c r="V25" s="121">
        <f t="shared" ref="V25:AJ25" si="4">V23*V24</f>
        <v>0</v>
      </c>
      <c r="W25" s="121">
        <f t="shared" si="4"/>
        <v>0</v>
      </c>
      <c r="X25" s="121">
        <f t="shared" si="4"/>
        <v>0</v>
      </c>
      <c r="Y25" s="121">
        <f t="shared" si="4"/>
        <v>0</v>
      </c>
      <c r="Z25" s="121">
        <f t="shared" si="4"/>
        <v>0</v>
      </c>
      <c r="AA25" s="121">
        <f t="shared" si="4"/>
        <v>0</v>
      </c>
      <c r="AB25" s="121">
        <f t="shared" si="4"/>
        <v>0</v>
      </c>
      <c r="AC25" s="121">
        <f t="shared" si="4"/>
        <v>0</v>
      </c>
      <c r="AD25" s="121">
        <f t="shared" si="4"/>
        <v>0</v>
      </c>
      <c r="AE25" s="121">
        <f t="shared" si="4"/>
        <v>0</v>
      </c>
      <c r="AF25" s="121">
        <f t="shared" si="4"/>
        <v>0</v>
      </c>
      <c r="AG25" s="121">
        <f t="shared" si="4"/>
        <v>0</v>
      </c>
      <c r="AH25" s="121">
        <f t="shared" si="4"/>
        <v>0</v>
      </c>
      <c r="AI25" s="121">
        <f t="shared" si="4"/>
        <v>0</v>
      </c>
      <c r="AJ25" s="121">
        <f t="shared" si="4"/>
        <v>0</v>
      </c>
    </row>
    <row r="26" spans="1:36" s="32" customFormat="1">
      <c r="A26" s="11"/>
    </row>
    <row r="27" spans="1:36" ht="13">
      <c r="A27" s="115" t="s">
        <v>113</v>
      </c>
      <c r="V27" s="3"/>
      <c r="Z27" s="3"/>
      <c r="AD27" s="3"/>
      <c r="AH27" s="3"/>
    </row>
    <row r="28" spans="1:36">
      <c r="A28" s="116" t="s">
        <v>66</v>
      </c>
      <c r="B28" s="106">
        <f>B25</f>
        <v>145204640.70030209</v>
      </c>
      <c r="C28" s="106">
        <f t="shared" ref="C28:U28" si="5">C25</f>
        <v>145075424.89865217</v>
      </c>
      <c r="D28" s="106">
        <f t="shared" si="5"/>
        <v>144168726.99676189</v>
      </c>
      <c r="E28" s="106">
        <f t="shared" si="5"/>
        <v>143805840.71583652</v>
      </c>
      <c r="F28" s="106">
        <f t="shared" si="5"/>
        <v>143146571.34565035</v>
      </c>
      <c r="G28" s="106">
        <f t="shared" si="5"/>
        <v>143093303.43548587</v>
      </c>
      <c r="H28" s="106">
        <f t="shared" si="5"/>
        <v>142468862.73097605</v>
      </c>
      <c r="I28" s="106">
        <f t="shared" si="5"/>
        <v>138038404.06283066</v>
      </c>
      <c r="J28" s="106">
        <f t="shared" si="5"/>
        <v>133216940.69830853</v>
      </c>
      <c r="K28" s="106">
        <f t="shared" si="5"/>
        <v>149859133.00631735</v>
      </c>
      <c r="L28" s="106">
        <f t="shared" si="5"/>
        <v>139403486.44830006</v>
      </c>
      <c r="M28" s="106">
        <f t="shared" si="5"/>
        <v>0</v>
      </c>
      <c r="N28" s="106">
        <f t="shared" si="5"/>
        <v>0</v>
      </c>
      <c r="O28" s="106">
        <f t="shared" si="5"/>
        <v>0</v>
      </c>
      <c r="P28" s="106">
        <f t="shared" si="5"/>
        <v>0</v>
      </c>
      <c r="Q28" s="106">
        <f t="shared" si="5"/>
        <v>0</v>
      </c>
      <c r="R28" s="106">
        <f t="shared" si="5"/>
        <v>0</v>
      </c>
      <c r="S28" s="106">
        <f t="shared" si="5"/>
        <v>0</v>
      </c>
      <c r="T28" s="106">
        <f t="shared" si="5"/>
        <v>0</v>
      </c>
      <c r="U28" s="106">
        <f t="shared" si="5"/>
        <v>0</v>
      </c>
      <c r="V28" s="106">
        <f t="shared" ref="V28:AJ28" si="6">V25</f>
        <v>0</v>
      </c>
      <c r="W28" s="106">
        <f t="shared" si="6"/>
        <v>0</v>
      </c>
      <c r="X28" s="106">
        <f t="shared" si="6"/>
        <v>0</v>
      </c>
      <c r="Y28" s="106">
        <f t="shared" si="6"/>
        <v>0</v>
      </c>
      <c r="Z28" s="106">
        <f t="shared" si="6"/>
        <v>0</v>
      </c>
      <c r="AA28" s="106">
        <f t="shared" si="6"/>
        <v>0</v>
      </c>
      <c r="AB28" s="106">
        <f t="shared" si="6"/>
        <v>0</v>
      </c>
      <c r="AC28" s="106">
        <f t="shared" si="6"/>
        <v>0</v>
      </c>
      <c r="AD28" s="106">
        <f t="shared" si="6"/>
        <v>0</v>
      </c>
      <c r="AE28" s="106">
        <f t="shared" si="6"/>
        <v>0</v>
      </c>
      <c r="AF28" s="106">
        <f t="shared" si="6"/>
        <v>0</v>
      </c>
      <c r="AG28" s="106">
        <f t="shared" si="6"/>
        <v>0</v>
      </c>
      <c r="AH28" s="106">
        <f t="shared" si="6"/>
        <v>0</v>
      </c>
      <c r="AI28" s="106">
        <f t="shared" si="6"/>
        <v>0</v>
      </c>
      <c r="AJ28" s="106">
        <f t="shared" si="6"/>
        <v>0</v>
      </c>
    </row>
    <row r="29" spans="1:36">
      <c r="A29" s="3" t="s">
        <v>104</v>
      </c>
      <c r="B29" s="5">
        <f t="shared" ref="B29:U29" si="7">B12+B13</f>
        <v>96189123.879632801</v>
      </c>
      <c r="C29" s="5">
        <f t="shared" si="7"/>
        <v>98383580.561069399</v>
      </c>
      <c r="D29" s="5">
        <f t="shared" si="7"/>
        <v>100312116.12960508</v>
      </c>
      <c r="E29" s="5">
        <f t="shared" si="7"/>
        <v>102640941.20441958</v>
      </c>
      <c r="F29" s="5">
        <f t="shared" si="7"/>
        <v>104736956.29115412</v>
      </c>
      <c r="G29" s="5">
        <f t="shared" si="7"/>
        <v>107482414.02739993</v>
      </c>
      <c r="H29" s="5">
        <f t="shared" si="7"/>
        <v>109741316.75112486</v>
      </c>
      <c r="I29" s="5">
        <f t="shared" si="7"/>
        <v>108875049.00873323</v>
      </c>
      <c r="J29" s="5">
        <f t="shared" si="7"/>
        <v>107831427.17566398</v>
      </c>
      <c r="K29" s="5">
        <f t="shared" si="7"/>
        <v>129758467.99613073</v>
      </c>
      <c r="L29" s="5">
        <f t="shared" si="7"/>
        <v>125260689.27936348</v>
      </c>
      <c r="M29" s="5">
        <f t="shared" si="7"/>
        <v>0</v>
      </c>
      <c r="N29" s="5">
        <f t="shared" si="7"/>
        <v>0</v>
      </c>
      <c r="O29" s="5">
        <f t="shared" si="7"/>
        <v>0</v>
      </c>
      <c r="P29" s="5">
        <f t="shared" si="7"/>
        <v>0</v>
      </c>
      <c r="Q29" s="5">
        <f t="shared" si="7"/>
        <v>0</v>
      </c>
      <c r="R29" s="5">
        <f t="shared" si="7"/>
        <v>0</v>
      </c>
      <c r="S29" s="5">
        <f t="shared" si="7"/>
        <v>0</v>
      </c>
      <c r="T29" s="5">
        <f t="shared" si="7"/>
        <v>0</v>
      </c>
      <c r="U29" s="5">
        <f t="shared" si="7"/>
        <v>0</v>
      </c>
      <c r="V29" s="5">
        <f t="shared" ref="V29:AJ29" si="8">V12+V13</f>
        <v>0</v>
      </c>
      <c r="W29" s="5">
        <f t="shared" si="8"/>
        <v>0</v>
      </c>
      <c r="X29" s="5">
        <f t="shared" si="8"/>
        <v>0</v>
      </c>
      <c r="Y29" s="5">
        <f t="shared" si="8"/>
        <v>0</v>
      </c>
      <c r="Z29" s="5">
        <f t="shared" si="8"/>
        <v>0</v>
      </c>
      <c r="AA29" s="5">
        <f t="shared" si="8"/>
        <v>0</v>
      </c>
      <c r="AB29" s="5">
        <f t="shared" si="8"/>
        <v>0</v>
      </c>
      <c r="AC29" s="5">
        <f t="shared" si="8"/>
        <v>0</v>
      </c>
      <c r="AD29" s="5">
        <f t="shared" si="8"/>
        <v>0</v>
      </c>
      <c r="AE29" s="5">
        <f t="shared" si="8"/>
        <v>0</v>
      </c>
      <c r="AF29" s="5">
        <f t="shared" si="8"/>
        <v>0</v>
      </c>
      <c r="AG29" s="5">
        <f t="shared" si="8"/>
        <v>0</v>
      </c>
      <c r="AH29" s="5">
        <f t="shared" si="8"/>
        <v>0</v>
      </c>
      <c r="AI29" s="5">
        <f t="shared" si="8"/>
        <v>0</v>
      </c>
      <c r="AJ29" s="5">
        <f t="shared" si="8"/>
        <v>0</v>
      </c>
    </row>
    <row r="30" spans="1:36">
      <c r="A30" s="3" t="s">
        <v>67</v>
      </c>
      <c r="B30" s="31">
        <f t="shared" ref="B30:U30" si="9">(B25-B23)+B14+B16+B15+B17</f>
        <v>8688886.0258156825</v>
      </c>
      <c r="C30" s="31">
        <f t="shared" si="9"/>
        <v>8308006.6631116681</v>
      </c>
      <c r="D30" s="31">
        <f t="shared" si="9"/>
        <v>7839834.5201208135</v>
      </c>
      <c r="E30" s="31">
        <f t="shared" si="9"/>
        <v>7397649.3519603983</v>
      </c>
      <c r="F30" s="31">
        <f t="shared" si="9"/>
        <v>6943698.2529480755</v>
      </c>
      <c r="G30" s="31">
        <f t="shared" si="9"/>
        <v>6485421.9743659059</v>
      </c>
      <c r="H30" s="31">
        <f t="shared" si="9"/>
        <v>6010673.1264552744</v>
      </c>
      <c r="I30" s="31">
        <f t="shared" si="9"/>
        <v>5407011.8921155157</v>
      </c>
      <c r="J30" s="31">
        <f t="shared" si="9"/>
        <v>4766588.7258061422</v>
      </c>
      <c r="K30" s="31">
        <f t="shared" si="9"/>
        <v>3978148.1416661907</v>
      </c>
      <c r="L30" s="31">
        <f t="shared" si="9"/>
        <v>2955061.6839843281</v>
      </c>
      <c r="M30" s="31">
        <f t="shared" si="9"/>
        <v>0</v>
      </c>
      <c r="N30" s="31">
        <f t="shared" si="9"/>
        <v>0</v>
      </c>
      <c r="O30" s="31">
        <f t="shared" si="9"/>
        <v>0</v>
      </c>
      <c r="P30" s="31">
        <f t="shared" si="9"/>
        <v>0</v>
      </c>
      <c r="Q30" s="31">
        <f t="shared" si="9"/>
        <v>0</v>
      </c>
      <c r="R30" s="31">
        <f t="shared" si="9"/>
        <v>0</v>
      </c>
      <c r="S30" s="31">
        <f t="shared" si="9"/>
        <v>0</v>
      </c>
      <c r="T30" s="31">
        <f t="shared" si="9"/>
        <v>0</v>
      </c>
      <c r="U30" s="31">
        <f t="shared" si="9"/>
        <v>0</v>
      </c>
      <c r="V30" s="31">
        <f t="shared" ref="V30:AJ30" si="10">(V25-V23)+V14+V16+V15+V17</f>
        <v>0</v>
      </c>
      <c r="W30" s="31">
        <f t="shared" si="10"/>
        <v>0</v>
      </c>
      <c r="X30" s="31">
        <f t="shared" si="10"/>
        <v>0</v>
      </c>
      <c r="Y30" s="31">
        <f t="shared" si="10"/>
        <v>0</v>
      </c>
      <c r="Z30" s="31">
        <f t="shared" si="10"/>
        <v>0</v>
      </c>
      <c r="AA30" s="31">
        <f t="shared" si="10"/>
        <v>0</v>
      </c>
      <c r="AB30" s="31">
        <f t="shared" si="10"/>
        <v>0</v>
      </c>
      <c r="AC30" s="31">
        <f t="shared" si="10"/>
        <v>0</v>
      </c>
      <c r="AD30" s="31">
        <f t="shared" si="10"/>
        <v>0</v>
      </c>
      <c r="AE30" s="31">
        <f t="shared" si="10"/>
        <v>0</v>
      </c>
      <c r="AF30" s="31">
        <f t="shared" si="10"/>
        <v>0</v>
      </c>
      <c r="AG30" s="31">
        <f t="shared" si="10"/>
        <v>0</v>
      </c>
      <c r="AH30" s="31">
        <f t="shared" si="10"/>
        <v>0</v>
      </c>
      <c r="AI30" s="31">
        <f t="shared" si="10"/>
        <v>0</v>
      </c>
      <c r="AJ30" s="31">
        <f t="shared" si="10"/>
        <v>0</v>
      </c>
    </row>
    <row r="31" spans="1:36">
      <c r="A31" s="39" t="s">
        <v>7</v>
      </c>
      <c r="B31" s="40">
        <f>B29+B30</f>
        <v>104878009.90544848</v>
      </c>
      <c r="C31" s="40">
        <f t="shared" ref="C31:U31" si="11">C29+C30</f>
        <v>106691587.22418107</v>
      </c>
      <c r="D31" s="40">
        <f t="shared" si="11"/>
        <v>108151950.6497259</v>
      </c>
      <c r="E31" s="40">
        <f t="shared" si="11"/>
        <v>110038590.55637997</v>
      </c>
      <c r="F31" s="40">
        <f t="shared" si="11"/>
        <v>111680654.54410219</v>
      </c>
      <c r="G31" s="40">
        <f t="shared" si="11"/>
        <v>113967836.00176583</v>
      </c>
      <c r="H31" s="40">
        <f t="shared" si="11"/>
        <v>115751989.87758014</v>
      </c>
      <c r="I31" s="40">
        <f t="shared" si="11"/>
        <v>114282060.90084875</v>
      </c>
      <c r="J31" s="40">
        <f t="shared" si="11"/>
        <v>112598015.90147012</v>
      </c>
      <c r="K31" s="40">
        <f t="shared" si="11"/>
        <v>133736616.13779692</v>
      </c>
      <c r="L31" s="40">
        <f t="shared" si="11"/>
        <v>128215750.96334781</v>
      </c>
      <c r="M31" s="40">
        <f t="shared" si="11"/>
        <v>0</v>
      </c>
      <c r="N31" s="40">
        <f t="shared" si="11"/>
        <v>0</v>
      </c>
      <c r="O31" s="40">
        <f t="shared" si="11"/>
        <v>0</v>
      </c>
      <c r="P31" s="40">
        <f t="shared" si="11"/>
        <v>0</v>
      </c>
      <c r="Q31" s="40">
        <f t="shared" si="11"/>
        <v>0</v>
      </c>
      <c r="R31" s="40">
        <f t="shared" si="11"/>
        <v>0</v>
      </c>
      <c r="S31" s="40">
        <f t="shared" si="11"/>
        <v>0</v>
      </c>
      <c r="T31" s="40">
        <f t="shared" si="11"/>
        <v>0</v>
      </c>
      <c r="U31" s="40">
        <f t="shared" si="11"/>
        <v>0</v>
      </c>
      <c r="V31" s="40">
        <f t="shared" ref="V31:AJ31" si="12">V29+V30</f>
        <v>0</v>
      </c>
      <c r="W31" s="40">
        <f t="shared" si="12"/>
        <v>0</v>
      </c>
      <c r="X31" s="40">
        <f t="shared" si="12"/>
        <v>0</v>
      </c>
      <c r="Y31" s="40">
        <f t="shared" si="12"/>
        <v>0</v>
      </c>
      <c r="Z31" s="40">
        <f t="shared" si="12"/>
        <v>0</v>
      </c>
      <c r="AA31" s="40">
        <f t="shared" si="12"/>
        <v>0</v>
      </c>
      <c r="AB31" s="40">
        <f t="shared" si="12"/>
        <v>0</v>
      </c>
      <c r="AC31" s="40">
        <f t="shared" si="12"/>
        <v>0</v>
      </c>
      <c r="AD31" s="40">
        <f t="shared" si="12"/>
        <v>0</v>
      </c>
      <c r="AE31" s="40">
        <f t="shared" si="12"/>
        <v>0</v>
      </c>
      <c r="AF31" s="40">
        <f t="shared" si="12"/>
        <v>0</v>
      </c>
      <c r="AG31" s="40">
        <f t="shared" si="12"/>
        <v>0</v>
      </c>
      <c r="AH31" s="40">
        <f t="shared" si="12"/>
        <v>0</v>
      </c>
      <c r="AI31" s="40">
        <f t="shared" si="12"/>
        <v>0</v>
      </c>
      <c r="AJ31" s="40">
        <f t="shared" si="12"/>
        <v>0</v>
      </c>
    </row>
    <row r="32" spans="1:36">
      <c r="A32" s="7" t="s">
        <v>103</v>
      </c>
      <c r="B32" s="32">
        <f t="shared" ref="B32:U32" si="13">B21</f>
        <v>40326630.794853613</v>
      </c>
      <c r="C32" s="32">
        <f t="shared" si="13"/>
        <v>38383837.674471073</v>
      </c>
      <c r="D32" s="32">
        <f t="shared" si="13"/>
        <v>36016776.347036004</v>
      </c>
      <c r="E32" s="32">
        <f t="shared" si="13"/>
        <v>33767250.159456544</v>
      </c>
      <c r="F32" s="32">
        <f t="shared" si="13"/>
        <v>31465916.801548157</v>
      </c>
      <c r="G32" s="32">
        <f t="shared" si="13"/>
        <v>29125467.433720034</v>
      </c>
      <c r="H32" s="32">
        <f t="shared" si="13"/>
        <v>26716872.853395931</v>
      </c>
      <c r="I32" s="32">
        <f t="shared" si="13"/>
        <v>23756343.161981925</v>
      </c>
      <c r="J32" s="32">
        <f t="shared" si="13"/>
        <v>20618924.796838392</v>
      </c>
      <c r="K32" s="32">
        <f t="shared" si="13"/>
        <v>16122516.868520433</v>
      </c>
      <c r="L32" s="32">
        <f t="shared" si="13"/>
        <v>11187735.484952254</v>
      </c>
      <c r="M32" s="32">
        <f t="shared" si="13"/>
        <v>0</v>
      </c>
      <c r="N32" s="32">
        <f t="shared" si="13"/>
        <v>0</v>
      </c>
      <c r="O32" s="32">
        <f t="shared" si="13"/>
        <v>0</v>
      </c>
      <c r="P32" s="32">
        <f t="shared" si="13"/>
        <v>0</v>
      </c>
      <c r="Q32" s="32">
        <f t="shared" si="13"/>
        <v>0</v>
      </c>
      <c r="R32" s="32">
        <f t="shared" si="13"/>
        <v>0</v>
      </c>
      <c r="S32" s="32">
        <f t="shared" si="13"/>
        <v>0</v>
      </c>
      <c r="T32" s="32">
        <f t="shared" si="13"/>
        <v>0</v>
      </c>
      <c r="U32" s="32">
        <f t="shared" si="13"/>
        <v>0</v>
      </c>
      <c r="V32" s="32">
        <f t="shared" ref="V32:AJ32" si="14">V21</f>
        <v>0</v>
      </c>
      <c r="W32" s="32">
        <f t="shared" si="14"/>
        <v>0</v>
      </c>
      <c r="X32" s="32">
        <f t="shared" si="14"/>
        <v>0</v>
      </c>
      <c r="Y32" s="32">
        <f t="shared" si="14"/>
        <v>0</v>
      </c>
      <c r="Z32" s="32">
        <f t="shared" si="14"/>
        <v>0</v>
      </c>
      <c r="AA32" s="32">
        <f t="shared" si="14"/>
        <v>0</v>
      </c>
      <c r="AB32" s="32">
        <f t="shared" si="14"/>
        <v>0</v>
      </c>
      <c r="AC32" s="32">
        <f t="shared" si="14"/>
        <v>0</v>
      </c>
      <c r="AD32" s="32">
        <f t="shared" si="14"/>
        <v>0</v>
      </c>
      <c r="AE32" s="32">
        <f t="shared" si="14"/>
        <v>0</v>
      </c>
      <c r="AF32" s="32">
        <f t="shared" si="14"/>
        <v>0</v>
      </c>
      <c r="AG32" s="32">
        <f t="shared" si="14"/>
        <v>0</v>
      </c>
      <c r="AH32" s="32">
        <f t="shared" si="14"/>
        <v>0</v>
      </c>
      <c r="AI32" s="32">
        <f t="shared" si="14"/>
        <v>0</v>
      </c>
      <c r="AJ32" s="32">
        <f t="shared" si="14"/>
        <v>0</v>
      </c>
    </row>
    <row r="33" spans="1:36">
      <c r="A33" s="36" t="s">
        <v>47</v>
      </c>
      <c r="B33" s="38">
        <f t="shared" ref="B33:U33" si="15">B20*WACD</f>
        <v>16596304.098452024</v>
      </c>
      <c r="C33" s="38">
        <f t="shared" si="15"/>
        <v>15796753.409720449</v>
      </c>
      <c r="D33" s="38">
        <f t="shared" si="15"/>
        <v>14822596.411342807</v>
      </c>
      <c r="E33" s="38">
        <f t="shared" si="15"/>
        <v>13896810.647676567</v>
      </c>
      <c r="F33" s="38">
        <f t="shared" si="15"/>
        <v>12949703.798258502</v>
      </c>
      <c r="G33" s="38">
        <f t="shared" si="15"/>
        <v>11986498.872136522</v>
      </c>
      <c r="H33" s="38">
        <f t="shared" si="15"/>
        <v>10995248.987952208</v>
      </c>
      <c r="I33" s="38">
        <f t="shared" si="15"/>
        <v>9776851.8622128181</v>
      </c>
      <c r="J33" s="38">
        <f t="shared" si="15"/>
        <v>8485656.7326996606</v>
      </c>
      <c r="K33" s="38">
        <f t="shared" si="15"/>
        <v>6635173.5195426922</v>
      </c>
      <c r="L33" s="38">
        <f t="shared" si="15"/>
        <v>4604279.0240985276</v>
      </c>
      <c r="M33" s="38">
        <f t="shared" si="15"/>
        <v>0</v>
      </c>
      <c r="N33" s="38">
        <f t="shared" si="15"/>
        <v>0</v>
      </c>
      <c r="O33" s="38">
        <f t="shared" si="15"/>
        <v>0</v>
      </c>
      <c r="P33" s="38">
        <f t="shared" si="15"/>
        <v>0</v>
      </c>
      <c r="Q33" s="38">
        <f t="shared" si="15"/>
        <v>0</v>
      </c>
      <c r="R33" s="38">
        <f t="shared" si="15"/>
        <v>0</v>
      </c>
      <c r="S33" s="38">
        <f t="shared" si="15"/>
        <v>0</v>
      </c>
      <c r="T33" s="38">
        <f t="shared" si="15"/>
        <v>0</v>
      </c>
      <c r="U33" s="38">
        <f t="shared" si="15"/>
        <v>0</v>
      </c>
      <c r="V33" s="38">
        <f t="shared" ref="V33:AJ33" si="16">V20*WACD</f>
        <v>0</v>
      </c>
      <c r="W33" s="38">
        <f t="shared" si="16"/>
        <v>0</v>
      </c>
      <c r="X33" s="38">
        <f t="shared" si="16"/>
        <v>0</v>
      </c>
      <c r="Y33" s="38">
        <f t="shared" si="16"/>
        <v>0</v>
      </c>
      <c r="Z33" s="38">
        <f t="shared" si="16"/>
        <v>0</v>
      </c>
      <c r="AA33" s="38">
        <f t="shared" si="16"/>
        <v>0</v>
      </c>
      <c r="AB33" s="38">
        <f t="shared" si="16"/>
        <v>0</v>
      </c>
      <c r="AC33" s="38">
        <f t="shared" si="16"/>
        <v>0</v>
      </c>
      <c r="AD33" s="38">
        <f t="shared" si="16"/>
        <v>0</v>
      </c>
      <c r="AE33" s="38">
        <f t="shared" si="16"/>
        <v>0</v>
      </c>
      <c r="AF33" s="38">
        <f t="shared" si="16"/>
        <v>0</v>
      </c>
      <c r="AG33" s="38">
        <f t="shared" si="16"/>
        <v>0</v>
      </c>
      <c r="AH33" s="38">
        <f t="shared" si="16"/>
        <v>0</v>
      </c>
      <c r="AI33" s="38">
        <f t="shared" si="16"/>
        <v>0</v>
      </c>
      <c r="AJ33" s="38">
        <f t="shared" si="16"/>
        <v>0</v>
      </c>
    </row>
    <row r="34" spans="1:36">
      <c r="A34" s="7" t="s">
        <v>69</v>
      </c>
      <c r="B34" s="32">
        <f>B32-B33</f>
        <v>23730326.696401589</v>
      </c>
      <c r="C34" s="32">
        <f>C32-C33</f>
        <v>22587084.264750622</v>
      </c>
      <c r="D34" s="32">
        <f t="shared" ref="D34:U34" si="17">D32-D33</f>
        <v>21194179.935693197</v>
      </c>
      <c r="E34" s="32">
        <f t="shared" si="17"/>
        <v>19870439.511779979</v>
      </c>
      <c r="F34" s="32">
        <f t="shared" si="17"/>
        <v>18516213.003289655</v>
      </c>
      <c r="G34" s="32">
        <f t="shared" si="17"/>
        <v>17138968.561583512</v>
      </c>
      <c r="H34" s="32">
        <f t="shared" si="17"/>
        <v>15721623.865443723</v>
      </c>
      <c r="I34" s="32">
        <f t="shared" si="17"/>
        <v>13979491.299769107</v>
      </c>
      <c r="J34" s="32">
        <f t="shared" si="17"/>
        <v>12133268.064138731</v>
      </c>
      <c r="K34" s="32">
        <f t="shared" si="17"/>
        <v>9487343.3489777409</v>
      </c>
      <c r="L34" s="32">
        <f t="shared" si="17"/>
        <v>6583456.4608537266</v>
      </c>
      <c r="M34" s="32">
        <f t="shared" si="17"/>
        <v>0</v>
      </c>
      <c r="N34" s="32">
        <f t="shared" si="17"/>
        <v>0</v>
      </c>
      <c r="O34" s="32">
        <f t="shared" si="17"/>
        <v>0</v>
      </c>
      <c r="P34" s="32">
        <f t="shared" si="17"/>
        <v>0</v>
      </c>
      <c r="Q34" s="32">
        <f t="shared" si="17"/>
        <v>0</v>
      </c>
      <c r="R34" s="32">
        <f t="shared" si="17"/>
        <v>0</v>
      </c>
      <c r="S34" s="32">
        <f t="shared" si="17"/>
        <v>0</v>
      </c>
      <c r="T34" s="32">
        <f t="shared" si="17"/>
        <v>0</v>
      </c>
      <c r="U34" s="32">
        <f t="shared" si="17"/>
        <v>0</v>
      </c>
      <c r="V34" s="32">
        <f t="shared" ref="V34:AJ34" si="18">V32-V33</f>
        <v>0</v>
      </c>
      <c r="W34" s="32">
        <f t="shared" si="18"/>
        <v>0</v>
      </c>
      <c r="X34" s="32">
        <f t="shared" si="18"/>
        <v>0</v>
      </c>
      <c r="Y34" s="32">
        <f t="shared" si="18"/>
        <v>0</v>
      </c>
      <c r="Z34" s="32">
        <f t="shared" si="18"/>
        <v>0</v>
      </c>
      <c r="AA34" s="32">
        <f t="shared" si="18"/>
        <v>0</v>
      </c>
      <c r="AB34" s="32">
        <f t="shared" si="18"/>
        <v>0</v>
      </c>
      <c r="AC34" s="32">
        <f t="shared" si="18"/>
        <v>0</v>
      </c>
      <c r="AD34" s="32">
        <f t="shared" si="18"/>
        <v>0</v>
      </c>
      <c r="AE34" s="32">
        <f t="shared" si="18"/>
        <v>0</v>
      </c>
      <c r="AF34" s="32">
        <f t="shared" si="18"/>
        <v>0</v>
      </c>
      <c r="AG34" s="32">
        <f t="shared" si="18"/>
        <v>0</v>
      </c>
      <c r="AH34" s="32">
        <f t="shared" si="18"/>
        <v>0</v>
      </c>
      <c r="AI34" s="32">
        <f t="shared" si="18"/>
        <v>0</v>
      </c>
      <c r="AJ34" s="32">
        <f t="shared" si="18"/>
        <v>0</v>
      </c>
    </row>
    <row r="35" spans="1:36">
      <c r="A35" s="36" t="s">
        <v>68</v>
      </c>
      <c r="B35" s="37">
        <f t="shared" ref="B35:U35" si="19">B20*EquityWeighting</f>
        <v>243387966.11693934</v>
      </c>
      <c r="C35" s="37">
        <f t="shared" si="19"/>
        <v>231662402.71539095</v>
      </c>
      <c r="D35" s="37">
        <f t="shared" si="19"/>
        <v>217376204.46864811</v>
      </c>
      <c r="E35" s="37">
        <f t="shared" si="19"/>
        <v>203799379.60799974</v>
      </c>
      <c r="F35" s="37">
        <f t="shared" si="19"/>
        <v>189909876.95681694</v>
      </c>
      <c r="G35" s="37">
        <f t="shared" si="19"/>
        <v>175784292.93931803</v>
      </c>
      <c r="H35" s="37">
        <f t="shared" si="19"/>
        <v>161247424.26096123</v>
      </c>
      <c r="I35" s="37">
        <f t="shared" si="19"/>
        <v>143379397.94634977</v>
      </c>
      <c r="J35" s="37">
        <f t="shared" si="19"/>
        <v>124443775.01680745</v>
      </c>
      <c r="K35" s="37">
        <f t="shared" si="19"/>
        <v>97306085.630540907</v>
      </c>
      <c r="L35" s="37">
        <f t="shared" si="19"/>
        <v>67522630.367730513</v>
      </c>
      <c r="M35" s="37">
        <f t="shared" si="19"/>
        <v>0</v>
      </c>
      <c r="N35" s="37">
        <f t="shared" si="19"/>
        <v>0</v>
      </c>
      <c r="O35" s="37">
        <f t="shared" si="19"/>
        <v>0</v>
      </c>
      <c r="P35" s="37">
        <f t="shared" si="19"/>
        <v>0</v>
      </c>
      <c r="Q35" s="37">
        <f t="shared" si="19"/>
        <v>0</v>
      </c>
      <c r="R35" s="37">
        <f t="shared" si="19"/>
        <v>0</v>
      </c>
      <c r="S35" s="37">
        <f t="shared" si="19"/>
        <v>0</v>
      </c>
      <c r="T35" s="37">
        <f t="shared" si="19"/>
        <v>0</v>
      </c>
      <c r="U35" s="37">
        <f t="shared" si="19"/>
        <v>0</v>
      </c>
      <c r="V35" s="37">
        <f t="shared" ref="V35:AJ35" si="20">V20*EquityWeighting</f>
        <v>0</v>
      </c>
      <c r="W35" s="37">
        <f t="shared" si="20"/>
        <v>0</v>
      </c>
      <c r="X35" s="37">
        <f t="shared" si="20"/>
        <v>0</v>
      </c>
      <c r="Y35" s="37">
        <f t="shared" si="20"/>
        <v>0</v>
      </c>
      <c r="Z35" s="37">
        <f t="shared" si="20"/>
        <v>0</v>
      </c>
      <c r="AA35" s="37">
        <f t="shared" si="20"/>
        <v>0</v>
      </c>
      <c r="AB35" s="37">
        <f t="shared" si="20"/>
        <v>0</v>
      </c>
      <c r="AC35" s="37">
        <f t="shared" si="20"/>
        <v>0</v>
      </c>
      <c r="AD35" s="37">
        <f t="shared" si="20"/>
        <v>0</v>
      </c>
      <c r="AE35" s="37">
        <f t="shared" si="20"/>
        <v>0</v>
      </c>
      <c r="AF35" s="37">
        <f t="shared" si="20"/>
        <v>0</v>
      </c>
      <c r="AG35" s="37">
        <f t="shared" si="20"/>
        <v>0</v>
      </c>
      <c r="AH35" s="37">
        <f t="shared" si="20"/>
        <v>0</v>
      </c>
      <c r="AI35" s="37">
        <f t="shared" si="20"/>
        <v>0</v>
      </c>
      <c r="AJ35" s="37">
        <f t="shared" si="20"/>
        <v>0</v>
      </c>
    </row>
    <row r="36" spans="1:36">
      <c r="A36" s="7" t="s">
        <v>102</v>
      </c>
      <c r="B36" s="34">
        <f>B34/B35</f>
        <v>9.7500000000000017E-2</v>
      </c>
      <c r="C36" s="34">
        <f>C34/C35</f>
        <v>9.7500000000000017E-2</v>
      </c>
      <c r="D36" s="34">
        <f t="shared" ref="D36:U36" si="21">D34/D35</f>
        <v>9.7500000000000031E-2</v>
      </c>
      <c r="E36" s="34">
        <f t="shared" si="21"/>
        <v>9.7500000000000017E-2</v>
      </c>
      <c r="F36" s="34">
        <f t="shared" si="21"/>
        <v>9.7500000000000017E-2</v>
      </c>
      <c r="G36" s="34">
        <f t="shared" si="21"/>
        <v>9.7500000000000017E-2</v>
      </c>
      <c r="H36" s="34">
        <f t="shared" si="21"/>
        <v>9.7500000000000017E-2</v>
      </c>
      <c r="I36" s="34">
        <f t="shared" si="21"/>
        <v>9.7500000000000031E-2</v>
      </c>
      <c r="J36" s="34">
        <f t="shared" si="21"/>
        <v>9.7500000000000031E-2</v>
      </c>
      <c r="K36" s="34">
        <f t="shared" si="21"/>
        <v>9.7500000000000031E-2</v>
      </c>
      <c r="L36" s="34">
        <f t="shared" si="21"/>
        <v>9.7500000000000017E-2</v>
      </c>
      <c r="M36" s="34" t="e">
        <f t="shared" si="21"/>
        <v>#DIV/0!</v>
      </c>
      <c r="N36" s="34" t="e">
        <f t="shared" si="21"/>
        <v>#DIV/0!</v>
      </c>
      <c r="O36" s="34" t="e">
        <f t="shared" si="21"/>
        <v>#DIV/0!</v>
      </c>
      <c r="P36" s="34" t="e">
        <f t="shared" si="21"/>
        <v>#DIV/0!</v>
      </c>
      <c r="Q36" s="34" t="e">
        <f t="shared" si="21"/>
        <v>#DIV/0!</v>
      </c>
      <c r="R36" s="34" t="e">
        <f t="shared" si="21"/>
        <v>#DIV/0!</v>
      </c>
      <c r="S36" s="34" t="e">
        <f t="shared" si="21"/>
        <v>#DIV/0!</v>
      </c>
      <c r="T36" s="34" t="e">
        <f t="shared" si="21"/>
        <v>#DIV/0!</v>
      </c>
      <c r="U36" s="34" t="e">
        <f t="shared" si="21"/>
        <v>#DIV/0!</v>
      </c>
      <c r="V36" s="34" t="e">
        <f t="shared" ref="V36:AJ36" si="22">V34/V35</f>
        <v>#DIV/0!</v>
      </c>
      <c r="W36" s="34" t="e">
        <f t="shared" si="22"/>
        <v>#DIV/0!</v>
      </c>
      <c r="X36" s="34" t="e">
        <f t="shared" si="22"/>
        <v>#DIV/0!</v>
      </c>
      <c r="Y36" s="34" t="e">
        <f t="shared" si="22"/>
        <v>#DIV/0!</v>
      </c>
      <c r="Z36" s="34" t="e">
        <f t="shared" si="22"/>
        <v>#DIV/0!</v>
      </c>
      <c r="AA36" s="34" t="e">
        <f t="shared" si="22"/>
        <v>#DIV/0!</v>
      </c>
      <c r="AB36" s="34" t="e">
        <f t="shared" si="22"/>
        <v>#DIV/0!</v>
      </c>
      <c r="AC36" s="34" t="e">
        <f t="shared" si="22"/>
        <v>#DIV/0!</v>
      </c>
      <c r="AD36" s="34" t="e">
        <f t="shared" si="22"/>
        <v>#DIV/0!</v>
      </c>
      <c r="AE36" s="34" t="e">
        <f t="shared" si="22"/>
        <v>#DIV/0!</v>
      </c>
      <c r="AF36" s="34" t="e">
        <f t="shared" si="22"/>
        <v>#DIV/0!</v>
      </c>
      <c r="AG36" s="34" t="e">
        <f t="shared" si="22"/>
        <v>#DIV/0!</v>
      </c>
      <c r="AH36" s="34" t="e">
        <f t="shared" si="22"/>
        <v>#DIV/0!</v>
      </c>
      <c r="AI36" s="34" t="e">
        <f t="shared" si="22"/>
        <v>#DIV/0!</v>
      </c>
      <c r="AJ36" s="34" t="e">
        <f t="shared" si="22"/>
        <v>#DIV/0!</v>
      </c>
    </row>
    <row r="37" spans="1:36">
      <c r="B37" s="3" t="b">
        <f t="shared" ref="B37:U37" si="23">B36=ROE</f>
        <v>1</v>
      </c>
      <c r="C37" s="3" t="b">
        <f t="shared" si="23"/>
        <v>1</v>
      </c>
      <c r="D37" s="3" t="b">
        <f t="shared" si="23"/>
        <v>1</v>
      </c>
      <c r="E37" s="3" t="b">
        <f t="shared" si="23"/>
        <v>1</v>
      </c>
      <c r="F37" s="3" t="b">
        <f t="shared" si="23"/>
        <v>1</v>
      </c>
      <c r="G37" s="3" t="b">
        <f t="shared" si="23"/>
        <v>1</v>
      </c>
      <c r="H37" s="3" t="b">
        <f t="shared" si="23"/>
        <v>1</v>
      </c>
      <c r="I37" s="3" t="b">
        <f t="shared" si="23"/>
        <v>1</v>
      </c>
      <c r="J37" s="3" t="b">
        <f t="shared" si="23"/>
        <v>1</v>
      </c>
      <c r="K37" s="3" t="b">
        <f t="shared" si="23"/>
        <v>1</v>
      </c>
      <c r="L37" s="3" t="b">
        <f t="shared" si="23"/>
        <v>1</v>
      </c>
      <c r="M37" s="3" t="e">
        <f t="shared" si="23"/>
        <v>#DIV/0!</v>
      </c>
      <c r="N37" s="3" t="e">
        <f t="shared" si="23"/>
        <v>#DIV/0!</v>
      </c>
      <c r="O37" s="3" t="e">
        <f t="shared" si="23"/>
        <v>#DIV/0!</v>
      </c>
      <c r="P37" s="3" t="e">
        <f t="shared" si="23"/>
        <v>#DIV/0!</v>
      </c>
      <c r="Q37" s="3" t="e">
        <f t="shared" si="23"/>
        <v>#DIV/0!</v>
      </c>
      <c r="R37" s="3" t="e">
        <f t="shared" si="23"/>
        <v>#DIV/0!</v>
      </c>
      <c r="S37" s="3" t="e">
        <f t="shared" si="23"/>
        <v>#DIV/0!</v>
      </c>
      <c r="T37" s="3" t="e">
        <f t="shared" si="23"/>
        <v>#DIV/0!</v>
      </c>
      <c r="U37" s="3" t="e">
        <f t="shared" si="23"/>
        <v>#DIV/0!</v>
      </c>
      <c r="V37" s="3" t="e">
        <f t="shared" ref="V37:AJ37" si="24">V36=ROE</f>
        <v>#DIV/0!</v>
      </c>
      <c r="W37" s="3" t="e">
        <f t="shared" si="24"/>
        <v>#DIV/0!</v>
      </c>
      <c r="X37" s="3" t="e">
        <f t="shared" si="24"/>
        <v>#DIV/0!</v>
      </c>
      <c r="Y37" s="3" t="e">
        <f t="shared" si="24"/>
        <v>#DIV/0!</v>
      </c>
      <c r="Z37" s="3" t="e">
        <f t="shared" si="24"/>
        <v>#DIV/0!</v>
      </c>
      <c r="AA37" s="3" t="e">
        <f t="shared" si="24"/>
        <v>#DIV/0!</v>
      </c>
      <c r="AB37" s="3" t="e">
        <f t="shared" si="24"/>
        <v>#DIV/0!</v>
      </c>
      <c r="AC37" s="3" t="e">
        <f t="shared" si="24"/>
        <v>#DIV/0!</v>
      </c>
      <c r="AD37" s="3" t="e">
        <f t="shared" si="24"/>
        <v>#DIV/0!</v>
      </c>
      <c r="AE37" s="3" t="e">
        <f t="shared" si="24"/>
        <v>#DIV/0!</v>
      </c>
      <c r="AF37" s="3" t="e">
        <f t="shared" si="24"/>
        <v>#DIV/0!</v>
      </c>
      <c r="AG37" s="3" t="e">
        <f t="shared" si="24"/>
        <v>#DIV/0!</v>
      </c>
      <c r="AH37" s="3" t="e">
        <f t="shared" si="24"/>
        <v>#DIV/0!</v>
      </c>
      <c r="AI37" s="3" t="e">
        <f t="shared" si="24"/>
        <v>#DIV/0!</v>
      </c>
      <c r="AJ37" s="3" t="e">
        <f t="shared" si="24"/>
        <v>#DIV/0!</v>
      </c>
    </row>
    <row r="38" spans="1:36">
      <c r="A38" s="7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</row>
    <row r="39" spans="1:36">
      <c r="A39" s="7" t="s">
        <v>109</v>
      </c>
      <c r="B39" s="31">
        <f>B12</f>
        <v>43204519.166640431</v>
      </c>
      <c r="C39" s="31">
        <f t="shared" ref="C39:U39" si="25">C12</f>
        <v>43352918.941598848</v>
      </c>
      <c r="D39" s="31">
        <f t="shared" si="25"/>
        <v>43692472.219697237</v>
      </c>
      <c r="E39" s="31">
        <f t="shared" si="25"/>
        <v>44214190.529468328</v>
      </c>
      <c r="F39" s="31">
        <f t="shared" si="25"/>
        <v>44485495.176227599</v>
      </c>
      <c r="G39" s="31">
        <f t="shared" si="25"/>
        <v>45367563.474692017</v>
      </c>
      <c r="H39" s="31">
        <f t="shared" si="25"/>
        <v>45756868.614511713</v>
      </c>
      <c r="I39" s="31">
        <f t="shared" si="25"/>
        <v>43659904.243258968</v>
      </c>
      <c r="J39" s="31">
        <f t="shared" si="25"/>
        <v>41555204.212214008</v>
      </c>
      <c r="K39" s="31">
        <f t="shared" si="25"/>
        <v>38043180.565587014</v>
      </c>
      <c r="L39" s="31">
        <f t="shared" si="25"/>
        <v>33545401.848819755</v>
      </c>
      <c r="M39" s="31">
        <f t="shared" si="25"/>
        <v>0</v>
      </c>
      <c r="N39" s="31">
        <f t="shared" si="25"/>
        <v>0</v>
      </c>
      <c r="O39" s="31">
        <f t="shared" si="25"/>
        <v>0</v>
      </c>
      <c r="P39" s="31">
        <f t="shared" si="25"/>
        <v>0</v>
      </c>
      <c r="Q39" s="31">
        <f t="shared" si="25"/>
        <v>0</v>
      </c>
      <c r="R39" s="31">
        <f t="shared" si="25"/>
        <v>0</v>
      </c>
      <c r="S39" s="31">
        <f t="shared" si="25"/>
        <v>0</v>
      </c>
      <c r="T39" s="31">
        <f t="shared" si="25"/>
        <v>0</v>
      </c>
      <c r="U39" s="31">
        <f t="shared" si="25"/>
        <v>0</v>
      </c>
      <c r="V39" s="31">
        <f t="shared" ref="V39:AJ39" si="26">V12</f>
        <v>0</v>
      </c>
      <c r="W39" s="31">
        <f t="shared" si="26"/>
        <v>0</v>
      </c>
      <c r="X39" s="31">
        <f t="shared" si="26"/>
        <v>0</v>
      </c>
      <c r="Y39" s="31">
        <f t="shared" si="26"/>
        <v>0</v>
      </c>
      <c r="Z39" s="31">
        <f t="shared" si="26"/>
        <v>0</v>
      </c>
      <c r="AA39" s="31">
        <f t="shared" si="26"/>
        <v>0</v>
      </c>
      <c r="AB39" s="31">
        <f t="shared" si="26"/>
        <v>0</v>
      </c>
      <c r="AC39" s="31">
        <f t="shared" si="26"/>
        <v>0</v>
      </c>
      <c r="AD39" s="31">
        <f t="shared" si="26"/>
        <v>0</v>
      </c>
      <c r="AE39" s="31">
        <f t="shared" si="26"/>
        <v>0</v>
      </c>
      <c r="AF39" s="31">
        <f t="shared" si="26"/>
        <v>0</v>
      </c>
      <c r="AG39" s="31">
        <f t="shared" si="26"/>
        <v>0</v>
      </c>
      <c r="AH39" s="31">
        <f t="shared" si="26"/>
        <v>0</v>
      </c>
      <c r="AI39" s="31">
        <f t="shared" si="26"/>
        <v>0</v>
      </c>
      <c r="AJ39" s="31">
        <f t="shared" si="26"/>
        <v>0</v>
      </c>
    </row>
    <row r="40" spans="1:36">
      <c r="A40" s="7" t="s">
        <v>110</v>
      </c>
      <c r="B40" s="31">
        <f>B13</f>
        <v>52984604.71299237</v>
      </c>
      <c r="C40" s="31">
        <f t="shared" ref="C40:U40" si="27">C13</f>
        <v>55030661.619470544</v>
      </c>
      <c r="D40" s="31">
        <f t="shared" si="27"/>
        <v>56619643.909907855</v>
      </c>
      <c r="E40" s="31">
        <f t="shared" si="27"/>
        <v>58426750.674951255</v>
      </c>
      <c r="F40" s="31">
        <f t="shared" si="27"/>
        <v>60251461.11492651</v>
      </c>
      <c r="G40" s="31">
        <f t="shared" si="27"/>
        <v>62114850.552707918</v>
      </c>
      <c r="H40" s="31">
        <f t="shared" si="27"/>
        <v>63984448.136613153</v>
      </c>
      <c r="I40" s="31">
        <f t="shared" si="27"/>
        <v>65215144.76547426</v>
      </c>
      <c r="J40" s="31">
        <f t="shared" si="27"/>
        <v>66276222.96344997</v>
      </c>
      <c r="K40" s="31">
        <f t="shared" si="27"/>
        <v>91715287.430543721</v>
      </c>
      <c r="L40" s="31">
        <f t="shared" si="27"/>
        <v>91715287.430543721</v>
      </c>
      <c r="M40" s="31">
        <f t="shared" si="27"/>
        <v>0</v>
      </c>
      <c r="N40" s="31">
        <f t="shared" si="27"/>
        <v>0</v>
      </c>
      <c r="O40" s="31">
        <f t="shared" si="27"/>
        <v>0</v>
      </c>
      <c r="P40" s="31">
        <f t="shared" si="27"/>
        <v>0</v>
      </c>
      <c r="Q40" s="31">
        <f t="shared" si="27"/>
        <v>0</v>
      </c>
      <c r="R40" s="31">
        <f t="shared" si="27"/>
        <v>0</v>
      </c>
      <c r="S40" s="31">
        <f t="shared" si="27"/>
        <v>0</v>
      </c>
      <c r="T40" s="31">
        <f t="shared" si="27"/>
        <v>0</v>
      </c>
      <c r="U40" s="31">
        <f t="shared" si="27"/>
        <v>0</v>
      </c>
      <c r="V40" s="31">
        <f t="shared" ref="V40:AJ40" si="28">V13</f>
        <v>0</v>
      </c>
      <c r="W40" s="31">
        <f t="shared" si="28"/>
        <v>0</v>
      </c>
      <c r="X40" s="31">
        <f t="shared" si="28"/>
        <v>0</v>
      </c>
      <c r="Y40" s="31">
        <f t="shared" si="28"/>
        <v>0</v>
      </c>
      <c r="Z40" s="31">
        <f t="shared" si="28"/>
        <v>0</v>
      </c>
      <c r="AA40" s="31">
        <f t="shared" si="28"/>
        <v>0</v>
      </c>
      <c r="AB40" s="31">
        <f t="shared" si="28"/>
        <v>0</v>
      </c>
      <c r="AC40" s="31">
        <f t="shared" si="28"/>
        <v>0</v>
      </c>
      <c r="AD40" s="31">
        <f t="shared" si="28"/>
        <v>0</v>
      </c>
      <c r="AE40" s="31">
        <f t="shared" si="28"/>
        <v>0</v>
      </c>
      <c r="AF40" s="31">
        <f t="shared" si="28"/>
        <v>0</v>
      </c>
      <c r="AG40" s="31">
        <f t="shared" si="28"/>
        <v>0</v>
      </c>
      <c r="AH40" s="31">
        <f t="shared" si="28"/>
        <v>0</v>
      </c>
      <c r="AI40" s="31">
        <f t="shared" si="28"/>
        <v>0</v>
      </c>
      <c r="AJ40" s="31">
        <f t="shared" si="28"/>
        <v>0</v>
      </c>
    </row>
    <row r="41" spans="1:36">
      <c r="A41" s="7" t="s">
        <v>112</v>
      </c>
      <c r="B41" s="5">
        <f>B25-SUM(B39:B40,B42)</f>
        <v>8688886.0258156955</v>
      </c>
      <c r="C41" s="5">
        <f t="shared" ref="C41:U41" si="29">C25-SUM(C39:C40,C42)</f>
        <v>8308006.6631116867</v>
      </c>
      <c r="D41" s="5">
        <f t="shared" si="29"/>
        <v>7839834.5201207995</v>
      </c>
      <c r="E41" s="5">
        <f t="shared" si="29"/>
        <v>7397649.3519603908</v>
      </c>
      <c r="F41" s="5">
        <f t="shared" si="29"/>
        <v>6943698.2529480755</v>
      </c>
      <c r="G41" s="5">
        <f t="shared" si="29"/>
        <v>6485421.9743659198</v>
      </c>
      <c r="H41" s="5">
        <f t="shared" si="29"/>
        <v>6010673.1264552474</v>
      </c>
      <c r="I41" s="5">
        <f t="shared" si="29"/>
        <v>5407011.8921155035</v>
      </c>
      <c r="J41" s="5">
        <f t="shared" si="29"/>
        <v>4766588.7258061618</v>
      </c>
      <c r="K41" s="5">
        <f t="shared" si="29"/>
        <v>3978148.1416661739</v>
      </c>
      <c r="L41" s="5">
        <f t="shared" si="29"/>
        <v>2955061.6839843392</v>
      </c>
      <c r="M41" s="5">
        <f t="shared" si="29"/>
        <v>0</v>
      </c>
      <c r="N41" s="5">
        <f t="shared" si="29"/>
        <v>0</v>
      </c>
      <c r="O41" s="5">
        <f t="shared" si="29"/>
        <v>0</v>
      </c>
      <c r="P41" s="5">
        <f t="shared" si="29"/>
        <v>0</v>
      </c>
      <c r="Q41" s="5">
        <f t="shared" si="29"/>
        <v>0</v>
      </c>
      <c r="R41" s="5">
        <f t="shared" si="29"/>
        <v>0</v>
      </c>
      <c r="S41" s="5">
        <f t="shared" si="29"/>
        <v>0</v>
      </c>
      <c r="T41" s="5">
        <f t="shared" si="29"/>
        <v>0</v>
      </c>
      <c r="U41" s="5">
        <f t="shared" si="29"/>
        <v>0</v>
      </c>
      <c r="V41" s="5">
        <f t="shared" ref="V41:AJ41" si="30">V25-SUM(V39:V40,V42)</f>
        <v>0</v>
      </c>
      <c r="W41" s="5">
        <f t="shared" si="30"/>
        <v>0</v>
      </c>
      <c r="X41" s="5">
        <f t="shared" si="30"/>
        <v>0</v>
      </c>
      <c r="Y41" s="5">
        <f t="shared" si="30"/>
        <v>0</v>
      </c>
      <c r="Z41" s="5">
        <f t="shared" si="30"/>
        <v>0</v>
      </c>
      <c r="AA41" s="5">
        <f t="shared" si="30"/>
        <v>0</v>
      </c>
      <c r="AB41" s="5">
        <f t="shared" si="30"/>
        <v>0</v>
      </c>
      <c r="AC41" s="5">
        <f t="shared" si="30"/>
        <v>0</v>
      </c>
      <c r="AD41" s="5">
        <f t="shared" si="30"/>
        <v>0</v>
      </c>
      <c r="AE41" s="5">
        <f t="shared" si="30"/>
        <v>0</v>
      </c>
      <c r="AF41" s="5">
        <f t="shared" si="30"/>
        <v>0</v>
      </c>
      <c r="AG41" s="5">
        <f t="shared" si="30"/>
        <v>0</v>
      </c>
      <c r="AH41" s="5">
        <f t="shared" si="30"/>
        <v>0</v>
      </c>
      <c r="AI41" s="5">
        <f t="shared" si="30"/>
        <v>0</v>
      </c>
      <c r="AJ41" s="5">
        <f t="shared" si="30"/>
        <v>0</v>
      </c>
    </row>
    <row r="42" spans="1:36">
      <c r="A42" s="7" t="s">
        <v>111</v>
      </c>
      <c r="B42" s="42">
        <f>B21</f>
        <v>40326630.794853613</v>
      </c>
      <c r="C42" s="42">
        <f t="shared" ref="C42:U42" si="31">C21</f>
        <v>38383837.674471073</v>
      </c>
      <c r="D42" s="42">
        <f t="shared" si="31"/>
        <v>36016776.347036004</v>
      </c>
      <c r="E42" s="42">
        <f t="shared" si="31"/>
        <v>33767250.159456544</v>
      </c>
      <c r="F42" s="42">
        <f t="shared" si="31"/>
        <v>31465916.801548157</v>
      </c>
      <c r="G42" s="42">
        <f t="shared" si="31"/>
        <v>29125467.433720034</v>
      </c>
      <c r="H42" s="42">
        <f t="shared" si="31"/>
        <v>26716872.853395931</v>
      </c>
      <c r="I42" s="42">
        <f t="shared" si="31"/>
        <v>23756343.161981925</v>
      </c>
      <c r="J42" s="42">
        <f t="shared" si="31"/>
        <v>20618924.796838392</v>
      </c>
      <c r="K42" s="42">
        <f t="shared" si="31"/>
        <v>16122516.868520433</v>
      </c>
      <c r="L42" s="42">
        <f t="shared" si="31"/>
        <v>11187735.484952254</v>
      </c>
      <c r="M42" s="42">
        <f t="shared" si="31"/>
        <v>0</v>
      </c>
      <c r="N42" s="42">
        <f t="shared" si="31"/>
        <v>0</v>
      </c>
      <c r="O42" s="42">
        <f t="shared" si="31"/>
        <v>0</v>
      </c>
      <c r="P42" s="42">
        <f t="shared" si="31"/>
        <v>0</v>
      </c>
      <c r="Q42" s="42">
        <f t="shared" si="31"/>
        <v>0</v>
      </c>
      <c r="R42" s="42">
        <f t="shared" si="31"/>
        <v>0</v>
      </c>
      <c r="S42" s="42">
        <f t="shared" si="31"/>
        <v>0</v>
      </c>
      <c r="T42" s="42">
        <f t="shared" si="31"/>
        <v>0</v>
      </c>
      <c r="U42" s="42">
        <f t="shared" si="31"/>
        <v>0</v>
      </c>
      <c r="V42" s="42">
        <f t="shared" ref="V42:AJ42" si="32">V21</f>
        <v>0</v>
      </c>
      <c r="W42" s="42">
        <f t="shared" si="32"/>
        <v>0</v>
      </c>
      <c r="X42" s="42">
        <f t="shared" si="32"/>
        <v>0</v>
      </c>
      <c r="Y42" s="42">
        <f t="shared" si="32"/>
        <v>0</v>
      </c>
      <c r="Z42" s="42">
        <f t="shared" si="32"/>
        <v>0</v>
      </c>
      <c r="AA42" s="42">
        <f t="shared" si="32"/>
        <v>0</v>
      </c>
      <c r="AB42" s="42">
        <f t="shared" si="32"/>
        <v>0</v>
      </c>
      <c r="AC42" s="42">
        <f t="shared" si="32"/>
        <v>0</v>
      </c>
      <c r="AD42" s="42">
        <f t="shared" si="32"/>
        <v>0</v>
      </c>
      <c r="AE42" s="42">
        <f t="shared" si="32"/>
        <v>0</v>
      </c>
      <c r="AF42" s="42">
        <f t="shared" si="32"/>
        <v>0</v>
      </c>
      <c r="AG42" s="42">
        <f t="shared" si="32"/>
        <v>0</v>
      </c>
      <c r="AH42" s="42">
        <f t="shared" si="32"/>
        <v>0</v>
      </c>
      <c r="AI42" s="42">
        <f t="shared" si="32"/>
        <v>0</v>
      </c>
      <c r="AJ42" s="42">
        <f t="shared" si="32"/>
        <v>0</v>
      </c>
    </row>
    <row r="43" spans="1:36">
      <c r="B43" s="32">
        <f>SUM(B39:B42)-B25</f>
        <v>0</v>
      </c>
      <c r="C43" s="32">
        <f t="shared" ref="C43:U43" si="33">SUM(C39:C42)-C25</f>
        <v>0</v>
      </c>
      <c r="D43" s="32">
        <f t="shared" si="33"/>
        <v>0</v>
      </c>
      <c r="E43" s="32">
        <f t="shared" si="33"/>
        <v>0</v>
      </c>
      <c r="F43" s="32">
        <f t="shared" si="33"/>
        <v>0</v>
      </c>
      <c r="G43" s="32">
        <f t="shared" si="33"/>
        <v>0</v>
      </c>
      <c r="H43" s="32">
        <f t="shared" si="33"/>
        <v>0</v>
      </c>
      <c r="I43" s="32">
        <f t="shared" si="33"/>
        <v>0</v>
      </c>
      <c r="J43" s="32">
        <f t="shared" si="33"/>
        <v>0</v>
      </c>
      <c r="K43" s="32">
        <f t="shared" si="33"/>
        <v>0</v>
      </c>
      <c r="L43" s="32">
        <f t="shared" si="33"/>
        <v>0</v>
      </c>
      <c r="M43" s="32">
        <f t="shared" si="33"/>
        <v>0</v>
      </c>
      <c r="N43" s="32">
        <f t="shared" si="33"/>
        <v>0</v>
      </c>
      <c r="O43" s="32">
        <f t="shared" si="33"/>
        <v>0</v>
      </c>
      <c r="P43" s="32">
        <f t="shared" si="33"/>
        <v>0</v>
      </c>
      <c r="Q43" s="32">
        <f t="shared" si="33"/>
        <v>0</v>
      </c>
      <c r="R43" s="32">
        <f t="shared" si="33"/>
        <v>0</v>
      </c>
      <c r="S43" s="32">
        <f t="shared" si="33"/>
        <v>0</v>
      </c>
      <c r="T43" s="32">
        <f t="shared" si="33"/>
        <v>0</v>
      </c>
      <c r="U43" s="32">
        <f t="shared" si="33"/>
        <v>0</v>
      </c>
      <c r="V43" s="32">
        <f t="shared" ref="V43:AJ43" si="34">SUM(V39:V42)-V25</f>
        <v>0</v>
      </c>
      <c r="W43" s="32">
        <f t="shared" si="34"/>
        <v>0</v>
      </c>
      <c r="X43" s="32">
        <f t="shared" si="34"/>
        <v>0</v>
      </c>
      <c r="Y43" s="32">
        <f t="shared" si="34"/>
        <v>0</v>
      </c>
      <c r="Z43" s="32">
        <f t="shared" si="34"/>
        <v>0</v>
      </c>
      <c r="AA43" s="32">
        <f t="shared" si="34"/>
        <v>0</v>
      </c>
      <c r="AB43" s="32">
        <f t="shared" si="34"/>
        <v>0</v>
      </c>
      <c r="AC43" s="32">
        <f t="shared" si="34"/>
        <v>0</v>
      </c>
      <c r="AD43" s="32">
        <f t="shared" si="34"/>
        <v>0</v>
      </c>
      <c r="AE43" s="32">
        <f t="shared" si="34"/>
        <v>0</v>
      </c>
      <c r="AF43" s="32">
        <f t="shared" si="34"/>
        <v>0</v>
      </c>
      <c r="AG43" s="32">
        <f t="shared" si="34"/>
        <v>0</v>
      </c>
      <c r="AH43" s="32">
        <f t="shared" si="34"/>
        <v>0</v>
      </c>
      <c r="AI43" s="32">
        <f t="shared" si="34"/>
        <v>0</v>
      </c>
      <c r="AJ43" s="32">
        <f t="shared" si="34"/>
        <v>0</v>
      </c>
    </row>
  </sheetData>
  <mergeCells count="2">
    <mergeCell ref="A1:J1"/>
    <mergeCell ref="A2:J2"/>
  </mergeCells>
  <phoneticPr fontId="2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AL28"/>
  <sheetViews>
    <sheetView workbookViewId="0">
      <selection activeCell="G32" sqref="G32"/>
    </sheetView>
  </sheetViews>
  <sheetFormatPr defaultRowHeight="12.5"/>
  <cols>
    <col min="1" max="1" width="5" style="1" bestFit="1" customWidth="1"/>
    <col min="2" max="2" width="5.26953125" style="1" customWidth="1"/>
    <col min="3" max="3" width="40.54296875" style="1" bestFit="1" customWidth="1"/>
    <col min="4" max="14" width="13.90625" style="1" bestFit="1" customWidth="1"/>
    <col min="15" max="24" width="12.81640625" style="1" bestFit="1" customWidth="1"/>
    <col min="25" max="16384" width="8.7265625" style="1"/>
  </cols>
  <sheetData>
    <row r="1" spans="1:38">
      <c r="A1" s="1" t="s">
        <v>53</v>
      </c>
    </row>
    <row r="2" spans="1:38" ht="13">
      <c r="A2" s="50" t="s">
        <v>41</v>
      </c>
      <c r="B2" s="50"/>
      <c r="C2" s="50"/>
      <c r="D2" s="244" t="str">
        <f>'Retail Rev Req'!B3</f>
        <v>Year 1</v>
      </c>
      <c r="E2" s="244" t="str">
        <f>'Retail Rev Req'!C3</f>
        <v>Year 2</v>
      </c>
      <c r="F2" s="244" t="str">
        <f>'Retail Rev Req'!D3</f>
        <v>Year 3</v>
      </c>
      <c r="G2" s="244" t="str">
        <f>'Retail Rev Req'!E3</f>
        <v>Year 4</v>
      </c>
      <c r="H2" s="244" t="str">
        <f>'Retail Rev Req'!F3</f>
        <v>Year 5</v>
      </c>
      <c r="I2" s="244" t="str">
        <f>'Retail Rev Req'!G3</f>
        <v>Year 6</v>
      </c>
      <c r="J2" s="244" t="str">
        <f>'Retail Rev Req'!H3</f>
        <v>Year 7</v>
      </c>
      <c r="K2" s="244" t="str">
        <f>'Retail Rev Req'!I3</f>
        <v>Year 8</v>
      </c>
      <c r="L2" s="244" t="str">
        <f>'Retail Rev Req'!J3</f>
        <v>Year 9</v>
      </c>
      <c r="M2" s="244" t="str">
        <f>'Retail Rev Req'!K3</f>
        <v>Year 10</v>
      </c>
      <c r="N2" s="244" t="str">
        <f>'Retail Rev Req'!L3</f>
        <v>Year 11</v>
      </c>
      <c r="O2" s="244" t="str">
        <f>'Retail Rev Req'!M3</f>
        <v>Year 12</v>
      </c>
      <c r="P2" s="244" t="str">
        <f>'Retail Rev Req'!N3</f>
        <v>Year 13</v>
      </c>
      <c r="Q2" s="244" t="str">
        <f>'Retail Rev Req'!O3</f>
        <v>Year 14</v>
      </c>
      <c r="R2" s="244" t="str">
        <f>'Retail Rev Req'!P3</f>
        <v>Year 15</v>
      </c>
      <c r="S2" s="244" t="str">
        <f>'Retail Rev Req'!Q3</f>
        <v>Year 16</v>
      </c>
      <c r="T2" s="244" t="str">
        <f>'Retail Rev Req'!R3</f>
        <v>Year 17</v>
      </c>
      <c r="U2" s="244" t="str">
        <f>'Retail Rev Req'!S3</f>
        <v>Year 18</v>
      </c>
      <c r="V2" s="244" t="str">
        <f>'Retail Rev Req'!T3</f>
        <v>Year 19</v>
      </c>
      <c r="W2" s="244" t="str">
        <f>'Retail Rev Req'!U3</f>
        <v>Year 20</v>
      </c>
      <c r="X2" s="244" t="str">
        <f>'Retail Rev Req'!V3</f>
        <v>Year 21</v>
      </c>
      <c r="Y2" s="244" t="str">
        <f>'Retail Rev Req'!W3</f>
        <v>Year 22</v>
      </c>
      <c r="Z2" s="244" t="str">
        <f>'Retail Rev Req'!X3</f>
        <v>Year 23</v>
      </c>
      <c r="AA2" s="244" t="str">
        <f>'Retail Rev Req'!Y3</f>
        <v>Year 24</v>
      </c>
      <c r="AB2" s="244" t="str">
        <f>'Retail Rev Req'!Z3</f>
        <v>Year 25</v>
      </c>
      <c r="AC2" s="244" t="str">
        <f>'Retail Rev Req'!AA3</f>
        <v>Year 26</v>
      </c>
      <c r="AD2" s="244" t="str">
        <f>'Retail Rev Req'!AB3</f>
        <v>Year 27</v>
      </c>
      <c r="AE2" s="244" t="str">
        <f>'Retail Rev Req'!AC3</f>
        <v>Year 28</v>
      </c>
      <c r="AF2" s="244" t="str">
        <f>'Retail Rev Req'!AD3</f>
        <v>Year 29</v>
      </c>
      <c r="AG2" s="244" t="str">
        <f>'Retail Rev Req'!AE3</f>
        <v>Year 30</v>
      </c>
      <c r="AH2" s="244" t="str">
        <f>'Retail Rev Req'!AF3</f>
        <v>Year 31</v>
      </c>
      <c r="AI2" s="244" t="str">
        <f>'Retail Rev Req'!AG3</f>
        <v>Year 32</v>
      </c>
      <c r="AJ2" s="244" t="str">
        <f>'Retail Rev Req'!AH3</f>
        <v>Year 33</v>
      </c>
      <c r="AK2" s="244" t="str">
        <f>'Retail Rev Req'!AI3</f>
        <v>Year 34</v>
      </c>
      <c r="AL2" s="244" t="str">
        <f>'Retail Rev Req'!AJ3</f>
        <v>Year 35</v>
      </c>
    </row>
    <row r="3" spans="1:38" ht="13">
      <c r="A3" s="51" t="s">
        <v>42</v>
      </c>
      <c r="B3" s="51"/>
      <c r="C3" s="51" t="s">
        <v>43</v>
      </c>
      <c r="D3" s="245">
        <f>'Retail Rev Req'!B4</f>
        <v>2029</v>
      </c>
      <c r="E3" s="245">
        <f>'Retail Rev Req'!C4</f>
        <v>2030</v>
      </c>
      <c r="F3" s="245">
        <f>'Retail Rev Req'!D4</f>
        <v>2031</v>
      </c>
      <c r="G3" s="245">
        <f>'Retail Rev Req'!E4</f>
        <v>2032</v>
      </c>
      <c r="H3" s="245">
        <f>'Retail Rev Req'!F4</f>
        <v>2033</v>
      </c>
      <c r="I3" s="245">
        <f>'Retail Rev Req'!G4</f>
        <v>2034</v>
      </c>
      <c r="J3" s="245">
        <f>'Retail Rev Req'!H4</f>
        <v>2035</v>
      </c>
      <c r="K3" s="245">
        <f>'Retail Rev Req'!I4</f>
        <v>2036</v>
      </c>
      <c r="L3" s="245">
        <f>'Retail Rev Req'!J4</f>
        <v>2037</v>
      </c>
      <c r="M3" s="245">
        <f>'Retail Rev Req'!K4</f>
        <v>2038</v>
      </c>
      <c r="N3" s="245">
        <f>'Retail Rev Req'!L4</f>
        <v>2039</v>
      </c>
      <c r="O3" s="245">
        <f>'Retail Rev Req'!M4</f>
        <v>0</v>
      </c>
      <c r="P3" s="245">
        <f>'Retail Rev Req'!N4</f>
        <v>0</v>
      </c>
      <c r="Q3" s="245">
        <f>'Retail Rev Req'!O4</f>
        <v>0</v>
      </c>
      <c r="R3" s="245">
        <f>'Retail Rev Req'!P4</f>
        <v>0</v>
      </c>
      <c r="S3" s="245">
        <f>'Retail Rev Req'!Q4</f>
        <v>0</v>
      </c>
      <c r="T3" s="245">
        <f>'Retail Rev Req'!R4</f>
        <v>0</v>
      </c>
      <c r="U3" s="245">
        <f>'Retail Rev Req'!S4</f>
        <v>0</v>
      </c>
      <c r="V3" s="245">
        <f>'Retail Rev Req'!T4</f>
        <v>0</v>
      </c>
      <c r="W3" s="245">
        <f>'Retail Rev Req'!U4</f>
        <v>0</v>
      </c>
      <c r="X3" s="245">
        <f>'Retail Rev Req'!V4</f>
        <v>0</v>
      </c>
      <c r="Y3" s="245">
        <f>'Retail Rev Req'!W4</f>
        <v>0</v>
      </c>
      <c r="Z3" s="245">
        <f>'Retail Rev Req'!X4</f>
        <v>0</v>
      </c>
      <c r="AA3" s="245">
        <f>'Retail Rev Req'!Y4</f>
        <v>0</v>
      </c>
      <c r="AB3" s="245">
        <f>'Retail Rev Req'!Z4</f>
        <v>0</v>
      </c>
      <c r="AC3" s="245">
        <f>'Retail Rev Req'!AA4</f>
        <v>0</v>
      </c>
      <c r="AD3" s="245">
        <f>'Retail Rev Req'!AB4</f>
        <v>0</v>
      </c>
      <c r="AE3" s="245">
        <f>'Retail Rev Req'!AC4</f>
        <v>0</v>
      </c>
      <c r="AF3" s="245">
        <f>'Retail Rev Req'!AD4</f>
        <v>0</v>
      </c>
      <c r="AG3" s="245">
        <f>'Retail Rev Req'!AE4</f>
        <v>0</v>
      </c>
      <c r="AH3" s="245">
        <f>'Retail Rev Req'!AF4</f>
        <v>0</v>
      </c>
      <c r="AI3" s="245">
        <f>'Retail Rev Req'!AG4</f>
        <v>0</v>
      </c>
      <c r="AJ3" s="245">
        <f>'Retail Rev Req'!AH4</f>
        <v>0</v>
      </c>
      <c r="AK3" s="245">
        <f>'Retail Rev Req'!AI4</f>
        <v>0</v>
      </c>
      <c r="AL3" s="245">
        <f>'Retail Rev Req'!AJ4</f>
        <v>0</v>
      </c>
    </row>
    <row r="4" spans="1:38" ht="13">
      <c r="A4" s="246">
        <v>1</v>
      </c>
      <c r="B4" s="33"/>
      <c r="C4" s="33" t="s">
        <v>105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</row>
    <row r="5" spans="1:38">
      <c r="A5" s="33"/>
      <c r="B5" s="33"/>
      <c r="C5" s="33"/>
    </row>
    <row r="6" spans="1:38">
      <c r="A6" s="248">
        <v>2</v>
      </c>
      <c r="B6" s="33"/>
      <c r="C6" s="33" t="s">
        <v>44</v>
      </c>
      <c r="D6" s="247">
        <f>'OPCO Rev Req'!B13</f>
        <v>43204519.166640431</v>
      </c>
      <c r="E6" s="247">
        <f>'OPCO Rev Req'!C13</f>
        <v>43352918.941598848</v>
      </c>
      <c r="F6" s="247">
        <f>'OPCO Rev Req'!D13</f>
        <v>43692472.219697237</v>
      </c>
      <c r="G6" s="247">
        <f>'OPCO Rev Req'!E13</f>
        <v>44214190.529468328</v>
      </c>
      <c r="H6" s="247">
        <f>'OPCO Rev Req'!F13</f>
        <v>44485495.176227599</v>
      </c>
      <c r="I6" s="247">
        <f>'OPCO Rev Req'!G13</f>
        <v>45367563.474692017</v>
      </c>
      <c r="J6" s="247">
        <f>'OPCO Rev Req'!H13</f>
        <v>45756868.614511713</v>
      </c>
      <c r="K6" s="247">
        <f>'OPCO Rev Req'!I13</f>
        <v>43659904.243258968</v>
      </c>
      <c r="L6" s="247">
        <f>'OPCO Rev Req'!J13</f>
        <v>41555204.212214008</v>
      </c>
      <c r="M6" s="247">
        <f>'OPCO Rev Req'!K13</f>
        <v>38043180.565587014</v>
      </c>
      <c r="N6" s="247">
        <f>'OPCO Rev Req'!L13</f>
        <v>33545401.848819755</v>
      </c>
      <c r="O6" s="247">
        <f>'OPCO Rev Req'!M13</f>
        <v>0</v>
      </c>
      <c r="P6" s="247">
        <f>'OPCO Rev Req'!N13</f>
        <v>0</v>
      </c>
      <c r="Q6" s="247">
        <f>'OPCO Rev Req'!O13</f>
        <v>0</v>
      </c>
      <c r="R6" s="247">
        <f>'OPCO Rev Req'!P13</f>
        <v>0</v>
      </c>
      <c r="S6" s="247">
        <f>'OPCO Rev Req'!Q13</f>
        <v>0</v>
      </c>
      <c r="T6" s="247">
        <f>'OPCO Rev Req'!R13</f>
        <v>0</v>
      </c>
      <c r="U6" s="247">
        <f>'OPCO Rev Req'!S13</f>
        <v>0</v>
      </c>
      <c r="V6" s="247">
        <f>'OPCO Rev Req'!T13</f>
        <v>0</v>
      </c>
      <c r="W6" s="247">
        <f>'OPCO Rev Req'!U13</f>
        <v>0</v>
      </c>
      <c r="X6" s="247">
        <f>'OPCO Rev Req'!V13</f>
        <v>0</v>
      </c>
      <c r="Y6" s="247">
        <f>'OPCO Rev Req'!W13</f>
        <v>0</v>
      </c>
      <c r="Z6" s="247">
        <f>'OPCO Rev Req'!X13</f>
        <v>0</v>
      </c>
      <c r="AA6" s="247">
        <f>'OPCO Rev Req'!Y13</f>
        <v>0</v>
      </c>
      <c r="AB6" s="247">
        <f>'OPCO Rev Req'!Z13</f>
        <v>0</v>
      </c>
      <c r="AC6" s="247">
        <f>'OPCO Rev Req'!AA13</f>
        <v>0</v>
      </c>
      <c r="AD6" s="247">
        <f>'OPCO Rev Req'!AB13</f>
        <v>0</v>
      </c>
      <c r="AE6" s="247">
        <f>'OPCO Rev Req'!AC13</f>
        <v>0</v>
      </c>
      <c r="AF6" s="247">
        <f>'OPCO Rev Req'!AD13</f>
        <v>0</v>
      </c>
      <c r="AG6" s="247">
        <f>'OPCO Rev Req'!AE13</f>
        <v>0</v>
      </c>
      <c r="AH6" s="247">
        <f>'OPCO Rev Req'!AF13</f>
        <v>0</v>
      </c>
      <c r="AI6" s="247">
        <f>'OPCO Rev Req'!AG13</f>
        <v>0</v>
      </c>
      <c r="AJ6" s="247">
        <f>'OPCO Rev Req'!AH13</f>
        <v>0</v>
      </c>
      <c r="AK6" s="247">
        <f>'OPCO Rev Req'!AI13</f>
        <v>0</v>
      </c>
      <c r="AL6" s="247">
        <f>'OPCO Rev Req'!AJ13</f>
        <v>0</v>
      </c>
    </row>
    <row r="7" spans="1:38">
      <c r="A7" s="248">
        <v>3</v>
      </c>
      <c r="B7" s="33"/>
      <c r="C7" s="33" t="s">
        <v>45</v>
      </c>
      <c r="D7" s="247">
        <f>'OPCO Rev Req'!B14</f>
        <v>52984604.71299237</v>
      </c>
      <c r="E7" s="247">
        <f>'OPCO Rev Req'!C14</f>
        <v>55030661.619470544</v>
      </c>
      <c r="F7" s="247">
        <f>'OPCO Rev Req'!D14</f>
        <v>56619643.909907855</v>
      </c>
      <c r="G7" s="247">
        <f>'OPCO Rev Req'!E14</f>
        <v>58426750.674951255</v>
      </c>
      <c r="H7" s="247">
        <f>'OPCO Rev Req'!F14</f>
        <v>60251461.11492651</v>
      </c>
      <c r="I7" s="247">
        <f>'OPCO Rev Req'!G14</f>
        <v>62114850.552707918</v>
      </c>
      <c r="J7" s="247">
        <f>'OPCO Rev Req'!H14</f>
        <v>63984448.136613153</v>
      </c>
      <c r="K7" s="247">
        <f>'OPCO Rev Req'!I14</f>
        <v>65215144.76547426</v>
      </c>
      <c r="L7" s="247">
        <f>'OPCO Rev Req'!J14</f>
        <v>66276222.96344997</v>
      </c>
      <c r="M7" s="247">
        <f>'OPCO Rev Req'!K14</f>
        <v>91715287.430543721</v>
      </c>
      <c r="N7" s="247">
        <f>'OPCO Rev Req'!L14</f>
        <v>91715287.430543721</v>
      </c>
      <c r="O7" s="247">
        <f>'OPCO Rev Req'!M14</f>
        <v>0</v>
      </c>
      <c r="P7" s="247">
        <f>'OPCO Rev Req'!N14</f>
        <v>0</v>
      </c>
      <c r="Q7" s="247">
        <f>'OPCO Rev Req'!O14</f>
        <v>0</v>
      </c>
      <c r="R7" s="247">
        <f>'OPCO Rev Req'!P14</f>
        <v>0</v>
      </c>
      <c r="S7" s="247">
        <f>'OPCO Rev Req'!Q14</f>
        <v>0</v>
      </c>
      <c r="T7" s="247">
        <f>'OPCO Rev Req'!R14</f>
        <v>0</v>
      </c>
      <c r="U7" s="247">
        <f>'OPCO Rev Req'!S14</f>
        <v>0</v>
      </c>
      <c r="V7" s="247">
        <f>'OPCO Rev Req'!T14</f>
        <v>0</v>
      </c>
      <c r="W7" s="247">
        <f>'OPCO Rev Req'!U14</f>
        <v>0</v>
      </c>
      <c r="X7" s="247">
        <f>'OPCO Rev Req'!V14</f>
        <v>0</v>
      </c>
      <c r="Y7" s="247">
        <f>'OPCO Rev Req'!W14</f>
        <v>0</v>
      </c>
      <c r="Z7" s="247">
        <f>'OPCO Rev Req'!X14</f>
        <v>0</v>
      </c>
      <c r="AA7" s="247">
        <f>'OPCO Rev Req'!Y14</f>
        <v>0</v>
      </c>
      <c r="AB7" s="247">
        <f>'OPCO Rev Req'!Z14</f>
        <v>0</v>
      </c>
      <c r="AC7" s="247">
        <f>'OPCO Rev Req'!AA14</f>
        <v>0</v>
      </c>
      <c r="AD7" s="247">
        <f>'OPCO Rev Req'!AB14</f>
        <v>0</v>
      </c>
      <c r="AE7" s="247">
        <f>'OPCO Rev Req'!AC14</f>
        <v>0</v>
      </c>
      <c r="AF7" s="247">
        <f>'OPCO Rev Req'!AD14</f>
        <v>0</v>
      </c>
      <c r="AG7" s="247">
        <f>'OPCO Rev Req'!AE14</f>
        <v>0</v>
      </c>
      <c r="AH7" s="247">
        <f>'OPCO Rev Req'!AF14</f>
        <v>0</v>
      </c>
      <c r="AI7" s="247">
        <f>'OPCO Rev Req'!AG14</f>
        <v>0</v>
      </c>
      <c r="AJ7" s="247">
        <f>'OPCO Rev Req'!AH14</f>
        <v>0</v>
      </c>
      <c r="AK7" s="247">
        <f>'OPCO Rev Req'!AI14</f>
        <v>0</v>
      </c>
      <c r="AL7" s="247">
        <f>'OPCO Rev Req'!AJ14</f>
        <v>0</v>
      </c>
    </row>
    <row r="8" spans="1:38">
      <c r="A8" s="248">
        <v>4</v>
      </c>
      <c r="B8" s="33"/>
      <c r="C8" s="33" t="s">
        <v>46</v>
      </c>
    </row>
    <row r="9" spans="1:38">
      <c r="A9" s="248">
        <v>5</v>
      </c>
      <c r="B9" s="33"/>
      <c r="C9" s="33" t="s">
        <v>47</v>
      </c>
      <c r="D9" s="230">
        <f>'OPCO Rev Req'!B23*(WACD)</f>
        <v>16596304.098452024</v>
      </c>
      <c r="E9" s="230">
        <f>'OPCO Rev Req'!C23*(WACD)</f>
        <v>15796753.409720449</v>
      </c>
      <c r="F9" s="230">
        <f>'OPCO Rev Req'!D23*(WACD)</f>
        <v>14822596.411342807</v>
      </c>
      <c r="G9" s="230">
        <f>'OPCO Rev Req'!E23*(WACD)</f>
        <v>13896810.647676567</v>
      </c>
      <c r="H9" s="230">
        <f>'OPCO Rev Req'!F23*(WACD)</f>
        <v>12949703.798258502</v>
      </c>
      <c r="I9" s="230">
        <f>'OPCO Rev Req'!G23*(WACD)</f>
        <v>11986498.872136522</v>
      </c>
      <c r="J9" s="230">
        <f>'OPCO Rev Req'!H23*(WACD)</f>
        <v>10995248.987952208</v>
      </c>
      <c r="K9" s="230">
        <f>'OPCO Rev Req'!I23*(WACD)</f>
        <v>9776851.8622128181</v>
      </c>
      <c r="L9" s="230">
        <f>'OPCO Rev Req'!J23*(WACD)</f>
        <v>8485656.7326996606</v>
      </c>
      <c r="M9" s="230">
        <f>'OPCO Rev Req'!K23*(WACD)</f>
        <v>6635173.5195426922</v>
      </c>
      <c r="N9" s="230">
        <f>'OPCO Rev Req'!L23*(WACD)</f>
        <v>4604279.0240985276</v>
      </c>
      <c r="O9" s="230">
        <f>'OPCO Rev Req'!M23*(WACD)</f>
        <v>0</v>
      </c>
      <c r="P9" s="230">
        <f>'OPCO Rev Req'!N23*(WACD)</f>
        <v>0</v>
      </c>
      <c r="Q9" s="230">
        <f>'OPCO Rev Req'!O23*(WACD)</f>
        <v>0</v>
      </c>
      <c r="R9" s="230">
        <f>'OPCO Rev Req'!P23*(WACD)</f>
        <v>0</v>
      </c>
      <c r="S9" s="230">
        <f>'OPCO Rev Req'!Q23*(WACD)</f>
        <v>0</v>
      </c>
      <c r="T9" s="230">
        <f>'OPCO Rev Req'!R23*(WACD)</f>
        <v>0</v>
      </c>
      <c r="U9" s="230">
        <f>'OPCO Rev Req'!S23*(WACD)</f>
        <v>0</v>
      </c>
      <c r="V9" s="230">
        <f>'OPCO Rev Req'!T23*(WACD)</f>
        <v>0</v>
      </c>
      <c r="W9" s="230">
        <f>'OPCO Rev Req'!U23*(WACD)</f>
        <v>0</v>
      </c>
      <c r="X9" s="230">
        <f>'OPCO Rev Req'!V23*(WACD)</f>
        <v>0</v>
      </c>
      <c r="Y9" s="230">
        <f>'OPCO Rev Req'!W23*(WACD)</f>
        <v>0</v>
      </c>
      <c r="Z9" s="230">
        <f>'OPCO Rev Req'!X23*(WACD)</f>
        <v>0</v>
      </c>
      <c r="AA9" s="230">
        <f>'OPCO Rev Req'!Y23*(WACD)</f>
        <v>0</v>
      </c>
      <c r="AB9" s="230">
        <f>'OPCO Rev Req'!Z23*(WACD)</f>
        <v>0</v>
      </c>
      <c r="AC9" s="230">
        <f>'OPCO Rev Req'!AA23*(WACD)</f>
        <v>0</v>
      </c>
      <c r="AD9" s="230">
        <f>'OPCO Rev Req'!AB23*(WACD)</f>
        <v>0</v>
      </c>
      <c r="AE9" s="230">
        <f>'OPCO Rev Req'!AC23*(WACD)</f>
        <v>0</v>
      </c>
      <c r="AF9" s="230">
        <f>'OPCO Rev Req'!AD23*(WACD)</f>
        <v>0</v>
      </c>
      <c r="AG9" s="230">
        <f>'OPCO Rev Req'!AE23*(WACD)</f>
        <v>0</v>
      </c>
      <c r="AH9" s="230">
        <f>'OPCO Rev Req'!AF23*(WACD)</f>
        <v>0</v>
      </c>
      <c r="AI9" s="230">
        <f>'OPCO Rev Req'!AG23*(WACD)</f>
        <v>0</v>
      </c>
      <c r="AJ9" s="230">
        <f>'OPCO Rev Req'!AH23*(WACD)</f>
        <v>0</v>
      </c>
      <c r="AK9" s="230">
        <f>'OPCO Rev Req'!AI23*(WACD)</f>
        <v>0</v>
      </c>
      <c r="AL9" s="230">
        <f>'OPCO Rev Req'!AJ23*(WACD)</f>
        <v>0</v>
      </c>
    </row>
    <row r="10" spans="1:38">
      <c r="A10" s="248"/>
      <c r="B10" s="33"/>
      <c r="C10" s="33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</row>
    <row r="11" spans="1:38" ht="13">
      <c r="A11" s="246">
        <v>6</v>
      </c>
      <c r="B11" s="33"/>
      <c r="C11" s="249" t="s">
        <v>48</v>
      </c>
      <c r="D11" s="250">
        <f>D4-D6-D7-D8-D9</f>
        <v>-112785427.97808483</v>
      </c>
      <c r="E11" s="250">
        <f>E4-E6-E7-E8-E9</f>
        <v>-114180333.97078985</v>
      </c>
      <c r="F11" s="250">
        <f>F4-F6-F7-F8-F9</f>
        <v>-115134712.54094788</v>
      </c>
      <c r="G11" s="250">
        <f>G4-G6-G7-G8-G9</f>
        <v>-116537751.85209616</v>
      </c>
      <c r="H11" s="250">
        <f t="shared" ref="H11:X11" si="0">H4-H6-H7-H8-H9</f>
        <v>-117686660.08941261</v>
      </c>
      <c r="I11" s="250">
        <f t="shared" si="0"/>
        <v>-119468912.89953645</v>
      </c>
      <c r="J11" s="250">
        <f t="shared" si="0"/>
        <v>-120736565.73907706</v>
      </c>
      <c r="K11" s="250">
        <f t="shared" si="0"/>
        <v>-118651900.87094605</v>
      </c>
      <c r="L11" s="250">
        <f t="shared" si="0"/>
        <v>-116317083.90836364</v>
      </c>
      <c r="M11" s="250">
        <f t="shared" si="0"/>
        <v>-136393641.51567343</v>
      </c>
      <c r="N11" s="250">
        <f t="shared" si="0"/>
        <v>-129864968.30346201</v>
      </c>
      <c r="O11" s="250">
        <f t="shared" si="0"/>
        <v>0</v>
      </c>
      <c r="P11" s="250">
        <f t="shared" si="0"/>
        <v>0</v>
      </c>
      <c r="Q11" s="250">
        <f t="shared" si="0"/>
        <v>0</v>
      </c>
      <c r="R11" s="250">
        <f t="shared" si="0"/>
        <v>0</v>
      </c>
      <c r="S11" s="250">
        <f t="shared" si="0"/>
        <v>0</v>
      </c>
      <c r="T11" s="250">
        <f t="shared" si="0"/>
        <v>0</v>
      </c>
      <c r="U11" s="250">
        <f t="shared" si="0"/>
        <v>0</v>
      </c>
      <c r="V11" s="250">
        <f t="shared" si="0"/>
        <v>0</v>
      </c>
      <c r="W11" s="250">
        <f t="shared" si="0"/>
        <v>0</v>
      </c>
      <c r="X11" s="250">
        <f t="shared" si="0"/>
        <v>0</v>
      </c>
      <c r="Y11" s="250">
        <f t="shared" ref="Y11:AK11" si="1">Y4-Y6-Y7-Y8-Y9</f>
        <v>0</v>
      </c>
      <c r="Z11" s="250">
        <f t="shared" si="1"/>
        <v>0</v>
      </c>
      <c r="AA11" s="250">
        <f t="shared" si="1"/>
        <v>0</v>
      </c>
      <c r="AB11" s="250">
        <f t="shared" si="1"/>
        <v>0</v>
      </c>
      <c r="AC11" s="250">
        <f t="shared" si="1"/>
        <v>0</v>
      </c>
      <c r="AD11" s="250">
        <f t="shared" si="1"/>
        <v>0</v>
      </c>
      <c r="AE11" s="250">
        <f t="shared" si="1"/>
        <v>0</v>
      </c>
      <c r="AF11" s="250">
        <f t="shared" si="1"/>
        <v>0</v>
      </c>
      <c r="AG11" s="250">
        <f t="shared" si="1"/>
        <v>0</v>
      </c>
      <c r="AH11" s="250">
        <f t="shared" si="1"/>
        <v>0</v>
      </c>
      <c r="AI11" s="250">
        <f t="shared" si="1"/>
        <v>0</v>
      </c>
      <c r="AJ11" s="250">
        <f t="shared" si="1"/>
        <v>0</v>
      </c>
      <c r="AK11" s="250">
        <f t="shared" si="1"/>
        <v>0</v>
      </c>
      <c r="AL11" s="250">
        <f>AL4-AL6-AL7-AL8-AL9</f>
        <v>0</v>
      </c>
    </row>
    <row r="12" spans="1:38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</row>
    <row r="13" spans="1:38" ht="12" customHeight="1">
      <c r="A13" s="248">
        <v>7</v>
      </c>
      <c r="B13" s="33"/>
      <c r="C13" s="33" t="s">
        <v>6</v>
      </c>
    </row>
    <row r="14" spans="1:38">
      <c r="A14" s="248">
        <v>8</v>
      </c>
      <c r="B14" s="33"/>
      <c r="C14" s="33" t="s">
        <v>49</v>
      </c>
      <c r="D14" s="247">
        <f>-('Rate Base - coal'!C59-'Rate Base - coal'!C19)*1000</f>
        <v>29141532.592145804</v>
      </c>
      <c r="E14" s="247">
        <f>-('Rate Base - coal'!D59-'Rate Base - coal'!D19)*1000</f>
        <v>8210432.6407843251</v>
      </c>
      <c r="F14" s="247">
        <f>-('Rate Base - coal'!E59-'Rate Base - coal'!E19)*1000</f>
        <v>11678759.022029147</v>
      </c>
      <c r="G14" s="247">
        <f>-('Rate Base - coal'!F59-'Rate Base - coal'!F19)*1000</f>
        <v>15323358.018916653</v>
      </c>
      <c r="H14" s="247">
        <f>-('Rate Base - coal'!G59-'Rate Base - coal'!G19)*1000</f>
        <v>18750979.969728921</v>
      </c>
      <c r="I14" s="247">
        <f>-('Rate Base - coal'!H59-'Rate Base - coal'!H19)*1000</f>
        <v>22064340.606592443</v>
      </c>
      <c r="J14" s="247">
        <f>-('Rate Base - coal'!I59-'Rate Base - coal'!I19)*1000</f>
        <v>25261779.680674497</v>
      </c>
      <c r="K14" s="247">
        <f>-('Rate Base - coal'!J59-'Rate Base - coal'!J19)*1000</f>
        <v>28551665.527873076</v>
      </c>
      <c r="L14" s="247">
        <f>-('Rate Base - coal'!K59-'Rate Base - coal'!K19)*1000</f>
        <v>30587609.68930582</v>
      </c>
      <c r="M14" s="247">
        <f>-('Rate Base - coal'!L59-'Rate Base - coal'!L19)*1000</f>
        <v>56513289.094301559</v>
      </c>
      <c r="N14" s="247">
        <f>-('Rate Base - coal'!M59-'Rate Base - coal'!M19)*1000</f>
        <v>56884717.350533351</v>
      </c>
      <c r="O14" s="247">
        <f>-('Rate Base - coal'!N59-'Rate Base - coal'!N19)*1000</f>
        <v>57168967.510102294</v>
      </c>
      <c r="P14" s="247">
        <f>-('Rate Base - coal'!O59-'Rate Base - coal'!O19)*1000</f>
        <v>0</v>
      </c>
      <c r="Q14" s="247">
        <f>-('Rate Base - coal'!P59-'Rate Base - coal'!P19)*1000</f>
        <v>0</v>
      </c>
      <c r="R14" s="247">
        <f>-('Rate Base - coal'!Q59-'Rate Base - coal'!Q19)*1000</f>
        <v>0</v>
      </c>
      <c r="S14" s="247">
        <f>-('Rate Base - coal'!R59-'Rate Base - coal'!R19)*1000</f>
        <v>0</v>
      </c>
      <c r="T14" s="247">
        <f>-('Rate Base - coal'!S59-'Rate Base - coal'!S19)*1000</f>
        <v>0</v>
      </c>
      <c r="U14" s="247">
        <f>-('Rate Base - coal'!T59-'Rate Base - coal'!T19)*1000</f>
        <v>0</v>
      </c>
      <c r="V14" s="247">
        <f>-('Rate Base - coal'!U59-'Rate Base - coal'!U19)*1000</f>
        <v>0</v>
      </c>
      <c r="W14" s="247">
        <f>-('Rate Base - coal'!V59-'Rate Base - coal'!V19)*1000</f>
        <v>0</v>
      </c>
      <c r="X14" s="247">
        <f>-('Rate Base - coal'!W59-'Rate Base - coal'!W19)*1000</f>
        <v>0</v>
      </c>
      <c r="Y14" s="247">
        <f>-('Rate Base - coal'!X59-'Rate Base - coal'!X19)*1000</f>
        <v>0</v>
      </c>
      <c r="Z14" s="247">
        <f>-('Rate Base - coal'!Y59-'Rate Base - coal'!Y19)*1000</f>
        <v>0</v>
      </c>
      <c r="AA14" s="247">
        <f>-('Rate Base - coal'!Z59-'Rate Base - coal'!Z19)*1000</f>
        <v>0</v>
      </c>
      <c r="AB14" s="247">
        <f>-('Rate Base - coal'!AA59-'Rate Base - coal'!AA19)*1000</f>
        <v>0</v>
      </c>
      <c r="AC14" s="247">
        <f>-('Rate Base - coal'!AB59-'Rate Base - coal'!AB19)*1000</f>
        <v>0</v>
      </c>
      <c r="AD14" s="247">
        <f>-('Rate Base - coal'!AC59-'Rate Base - coal'!AC19)*1000</f>
        <v>0</v>
      </c>
      <c r="AE14" s="247">
        <f>-('Rate Base - coal'!AD59-'Rate Base - coal'!AD19)*1000</f>
        <v>0</v>
      </c>
      <c r="AF14" s="247">
        <f>-('Rate Base - coal'!AE59-'Rate Base - coal'!AE19)*1000</f>
        <v>0</v>
      </c>
      <c r="AG14" s="247">
        <f>-('Rate Base - coal'!AF59-'Rate Base - coal'!AF19)*1000</f>
        <v>0</v>
      </c>
      <c r="AH14" s="247">
        <f>-('Rate Base - coal'!AG59-'Rate Base - coal'!AG19)*1000</f>
        <v>0</v>
      </c>
      <c r="AI14" s="247">
        <f>-('Rate Base - coal'!AH59-'Rate Base - coal'!AH19)*1000</f>
        <v>0</v>
      </c>
      <c r="AJ14" s="247">
        <f>-('Rate Base - coal'!AI59-'Rate Base - coal'!AI19)*1000</f>
        <v>0</v>
      </c>
      <c r="AK14" s="247">
        <f>-('Rate Base - coal'!AJ59-'Rate Base - coal'!AJ19)*1000</f>
        <v>0</v>
      </c>
      <c r="AL14" s="247">
        <f>-('Rate Base - coal'!AK59-'Rate Base - coal'!AK19)*1000</f>
        <v>0</v>
      </c>
    </row>
    <row r="15" spans="1:38">
      <c r="A15" s="33"/>
      <c r="B15" s="33"/>
      <c r="C15" s="33"/>
    </row>
    <row r="16" spans="1:38">
      <c r="A16" s="248">
        <v>9</v>
      </c>
      <c r="B16" s="33"/>
      <c r="C16" s="33" t="s">
        <v>50</v>
      </c>
      <c r="D16" s="251">
        <f>SUM(D11:D14)</f>
        <v>-83643895.385939032</v>
      </c>
      <c r="E16" s="251">
        <f>SUM(E11:E14)</f>
        <v>-105969901.33000553</v>
      </c>
      <c r="F16" s="251">
        <f>SUM(F11:F14)</f>
        <v>-103455953.51891874</v>
      </c>
      <c r="G16" s="251">
        <f>SUM(G11:G14)</f>
        <v>-101214393.8331795</v>
      </c>
      <c r="H16" s="251">
        <f t="shared" ref="H16:X16" si="2">SUM(H11:H14)</f>
        <v>-98935680.119683698</v>
      </c>
      <c r="I16" s="251">
        <f t="shared" si="2"/>
        <v>-97404572.292943999</v>
      </c>
      <c r="J16" s="251">
        <f t="shared" si="2"/>
        <v>-95474786.058402568</v>
      </c>
      <c r="K16" s="251">
        <f t="shared" si="2"/>
        <v>-90100235.343072981</v>
      </c>
      <c r="L16" s="251">
        <f t="shared" si="2"/>
        <v>-85729474.219057828</v>
      </c>
      <c r="M16" s="251">
        <f t="shared" si="2"/>
        <v>-79880352.421371877</v>
      </c>
      <c r="N16" s="251">
        <f t="shared" si="2"/>
        <v>-72980250.952928662</v>
      </c>
      <c r="O16" s="251">
        <f t="shared" si="2"/>
        <v>57168967.510102294</v>
      </c>
      <c r="P16" s="251">
        <f t="shared" si="2"/>
        <v>0</v>
      </c>
      <c r="Q16" s="251">
        <f t="shared" si="2"/>
        <v>0</v>
      </c>
      <c r="R16" s="251">
        <f t="shared" si="2"/>
        <v>0</v>
      </c>
      <c r="S16" s="251">
        <f t="shared" si="2"/>
        <v>0</v>
      </c>
      <c r="T16" s="251">
        <f t="shared" si="2"/>
        <v>0</v>
      </c>
      <c r="U16" s="251">
        <f t="shared" si="2"/>
        <v>0</v>
      </c>
      <c r="V16" s="251">
        <f t="shared" si="2"/>
        <v>0</v>
      </c>
      <c r="W16" s="251">
        <f t="shared" si="2"/>
        <v>0</v>
      </c>
      <c r="X16" s="251">
        <f t="shared" si="2"/>
        <v>0</v>
      </c>
      <c r="Y16" s="251">
        <f t="shared" ref="Y16:AK16" si="3">SUM(Y11:Y14)</f>
        <v>0</v>
      </c>
      <c r="Z16" s="251">
        <f t="shared" si="3"/>
        <v>0</v>
      </c>
      <c r="AA16" s="251">
        <f t="shared" si="3"/>
        <v>0</v>
      </c>
      <c r="AB16" s="251">
        <f t="shared" si="3"/>
        <v>0</v>
      </c>
      <c r="AC16" s="251">
        <f t="shared" si="3"/>
        <v>0</v>
      </c>
      <c r="AD16" s="251">
        <f t="shared" si="3"/>
        <v>0</v>
      </c>
      <c r="AE16" s="251">
        <f t="shared" si="3"/>
        <v>0</v>
      </c>
      <c r="AF16" s="251">
        <f t="shared" si="3"/>
        <v>0</v>
      </c>
      <c r="AG16" s="251">
        <f t="shared" si="3"/>
        <v>0</v>
      </c>
      <c r="AH16" s="251">
        <f t="shared" si="3"/>
        <v>0</v>
      </c>
      <c r="AI16" s="251">
        <f t="shared" si="3"/>
        <v>0</v>
      </c>
      <c r="AJ16" s="251">
        <f t="shared" si="3"/>
        <v>0</v>
      </c>
      <c r="AK16" s="251">
        <f t="shared" si="3"/>
        <v>0</v>
      </c>
      <c r="AL16" s="251">
        <f>SUM(AL11:AL14)</f>
        <v>0</v>
      </c>
    </row>
    <row r="17" spans="1:38">
      <c r="A17" s="33"/>
      <c r="B17" s="33"/>
      <c r="C17" s="33"/>
    </row>
    <row r="18" spans="1:38">
      <c r="A18" s="248">
        <v>10</v>
      </c>
      <c r="B18" s="33"/>
      <c r="C18" s="33" t="s">
        <v>51</v>
      </c>
      <c r="D18" s="252">
        <f>Input!$B$34</f>
        <v>5.0065000000000005E-2</v>
      </c>
      <c r="E18" s="252">
        <f>Input!$B$34</f>
        <v>5.0065000000000005E-2</v>
      </c>
      <c r="F18" s="252">
        <f>Input!$B$34</f>
        <v>5.0065000000000005E-2</v>
      </c>
      <c r="G18" s="252">
        <f>Input!$B$34</f>
        <v>5.0065000000000005E-2</v>
      </c>
      <c r="H18" s="252">
        <f>Input!$B$34</f>
        <v>5.0065000000000005E-2</v>
      </c>
      <c r="I18" s="252">
        <f>Input!$B$34</f>
        <v>5.0065000000000005E-2</v>
      </c>
      <c r="J18" s="252">
        <f>Input!$B$34</f>
        <v>5.0065000000000005E-2</v>
      </c>
      <c r="K18" s="252">
        <f>Input!$B$34</f>
        <v>5.0065000000000005E-2</v>
      </c>
      <c r="L18" s="252">
        <f>Input!$B$34</f>
        <v>5.0065000000000005E-2</v>
      </c>
      <c r="M18" s="252">
        <f>Input!$B$34</f>
        <v>5.0065000000000005E-2</v>
      </c>
      <c r="N18" s="252">
        <f>Input!$B$34</f>
        <v>5.0065000000000005E-2</v>
      </c>
      <c r="O18" s="252">
        <f>Input!$B$34</f>
        <v>5.0065000000000005E-2</v>
      </c>
      <c r="P18" s="252">
        <f>Input!$B$34</f>
        <v>5.0065000000000005E-2</v>
      </c>
      <c r="Q18" s="252">
        <f>Input!$B$34</f>
        <v>5.0065000000000005E-2</v>
      </c>
      <c r="R18" s="252">
        <f>Input!$B$34</f>
        <v>5.0065000000000005E-2</v>
      </c>
      <c r="S18" s="252">
        <f>Input!$B$34</f>
        <v>5.0065000000000005E-2</v>
      </c>
      <c r="T18" s="252">
        <f>Input!$B$34</f>
        <v>5.0065000000000005E-2</v>
      </c>
      <c r="U18" s="252">
        <f>Input!$B$34</f>
        <v>5.0065000000000005E-2</v>
      </c>
      <c r="V18" s="252">
        <f>Input!$B$34</f>
        <v>5.0065000000000005E-2</v>
      </c>
      <c r="W18" s="252">
        <f>Input!$B$34</f>
        <v>5.0065000000000005E-2</v>
      </c>
      <c r="X18" s="252">
        <f>Input!$B$34</f>
        <v>5.0065000000000005E-2</v>
      </c>
      <c r="Y18" s="252">
        <f>Input!$B$34</f>
        <v>5.0065000000000005E-2</v>
      </c>
      <c r="Z18" s="252">
        <f>Input!$B$34</f>
        <v>5.0065000000000005E-2</v>
      </c>
      <c r="AA18" s="252">
        <f>Input!$B$34</f>
        <v>5.0065000000000005E-2</v>
      </c>
      <c r="AB18" s="252">
        <f>Input!$B$34</f>
        <v>5.0065000000000005E-2</v>
      </c>
      <c r="AC18" s="252">
        <f>Input!$B$34</f>
        <v>5.0065000000000005E-2</v>
      </c>
      <c r="AD18" s="252">
        <f>Input!$B$34</f>
        <v>5.0065000000000005E-2</v>
      </c>
      <c r="AE18" s="252">
        <f>Input!$B$34</f>
        <v>5.0065000000000005E-2</v>
      </c>
      <c r="AF18" s="252">
        <f>Input!$B$34</f>
        <v>5.0065000000000005E-2</v>
      </c>
      <c r="AG18" s="252">
        <f>Input!$B$34</f>
        <v>5.0065000000000005E-2</v>
      </c>
      <c r="AH18" s="252">
        <f>Input!$B$34</f>
        <v>5.0065000000000005E-2</v>
      </c>
      <c r="AI18" s="252">
        <f>Input!$B$34</f>
        <v>5.0065000000000005E-2</v>
      </c>
      <c r="AJ18" s="252">
        <f>Input!$B$34</f>
        <v>5.0065000000000005E-2</v>
      </c>
      <c r="AK18" s="252">
        <f>Input!$B$34</f>
        <v>5.0065000000000005E-2</v>
      </c>
      <c r="AL18" s="252">
        <f>Input!$B$34</f>
        <v>5.0065000000000005E-2</v>
      </c>
    </row>
    <row r="19" spans="1:38">
      <c r="A19" s="33"/>
      <c r="B19" s="33"/>
      <c r="C19" s="33"/>
    </row>
    <row r="20" spans="1:38" s="93" customFormat="1" ht="13">
      <c r="A20" s="246">
        <v>11</v>
      </c>
      <c r="B20" s="249"/>
      <c r="C20" s="249" t="s">
        <v>160</v>
      </c>
      <c r="D20" s="253">
        <f>D16*D18</f>
        <v>-4187631.622497038</v>
      </c>
      <c r="E20" s="253">
        <f>E16*E18</f>
        <v>-5305383.110086727</v>
      </c>
      <c r="F20" s="253">
        <f>F16*F18</f>
        <v>-5179522.3129246673</v>
      </c>
      <c r="G20" s="253">
        <f>G16*G18</f>
        <v>-5067298.6272581322</v>
      </c>
      <c r="H20" s="253">
        <f t="shared" ref="H20:X20" si="4">H16*H18</f>
        <v>-4953214.8251919644</v>
      </c>
      <c r="I20" s="253">
        <f t="shared" si="4"/>
        <v>-4876559.9118462419</v>
      </c>
      <c r="J20" s="253">
        <f t="shared" si="4"/>
        <v>-4779945.164013925</v>
      </c>
      <c r="K20" s="253">
        <f t="shared" si="4"/>
        <v>-4510868.2824509488</v>
      </c>
      <c r="L20" s="253">
        <f t="shared" si="4"/>
        <v>-4292046.1267771302</v>
      </c>
      <c r="M20" s="253">
        <f t="shared" si="4"/>
        <v>-3999209.8439759836</v>
      </c>
      <c r="N20" s="253">
        <f t="shared" si="4"/>
        <v>-3653756.263958374</v>
      </c>
      <c r="O20" s="253">
        <f t="shared" si="4"/>
        <v>2862164.3583932715</v>
      </c>
      <c r="P20" s="253">
        <f t="shared" si="4"/>
        <v>0</v>
      </c>
      <c r="Q20" s="253">
        <f t="shared" si="4"/>
        <v>0</v>
      </c>
      <c r="R20" s="253">
        <f t="shared" si="4"/>
        <v>0</v>
      </c>
      <c r="S20" s="253">
        <f t="shared" si="4"/>
        <v>0</v>
      </c>
      <c r="T20" s="253">
        <f t="shared" si="4"/>
        <v>0</v>
      </c>
      <c r="U20" s="253">
        <f t="shared" si="4"/>
        <v>0</v>
      </c>
      <c r="V20" s="253">
        <f t="shared" si="4"/>
        <v>0</v>
      </c>
      <c r="W20" s="253">
        <f t="shared" si="4"/>
        <v>0</v>
      </c>
      <c r="X20" s="253">
        <f t="shared" si="4"/>
        <v>0</v>
      </c>
      <c r="Y20" s="253">
        <f t="shared" ref="Y20:AK20" si="5">Y16*Y18</f>
        <v>0</v>
      </c>
      <c r="Z20" s="253">
        <f t="shared" si="5"/>
        <v>0</v>
      </c>
      <c r="AA20" s="253">
        <f t="shared" si="5"/>
        <v>0</v>
      </c>
      <c r="AB20" s="253">
        <f t="shared" si="5"/>
        <v>0</v>
      </c>
      <c r="AC20" s="253">
        <f t="shared" si="5"/>
        <v>0</v>
      </c>
      <c r="AD20" s="253">
        <f t="shared" si="5"/>
        <v>0</v>
      </c>
      <c r="AE20" s="253">
        <f t="shared" si="5"/>
        <v>0</v>
      </c>
      <c r="AF20" s="253">
        <f t="shared" si="5"/>
        <v>0</v>
      </c>
      <c r="AG20" s="253">
        <f t="shared" si="5"/>
        <v>0</v>
      </c>
      <c r="AH20" s="253">
        <f t="shared" si="5"/>
        <v>0</v>
      </c>
      <c r="AI20" s="253">
        <f t="shared" si="5"/>
        <v>0</v>
      </c>
      <c r="AJ20" s="253">
        <f t="shared" si="5"/>
        <v>0</v>
      </c>
      <c r="AK20" s="253">
        <f t="shared" si="5"/>
        <v>0</v>
      </c>
      <c r="AL20" s="253">
        <f>AL16*AL18</f>
        <v>0</v>
      </c>
    </row>
    <row r="22" spans="1:38">
      <c r="A22" s="248">
        <v>12</v>
      </c>
      <c r="B22" s="33"/>
      <c r="C22" s="33" t="s">
        <v>188</v>
      </c>
      <c r="D22" s="247">
        <f>'OPCO Rev Req'!B28</f>
        <v>145204640.70030209</v>
      </c>
      <c r="E22" s="247">
        <f>'OPCO Rev Req'!C28</f>
        <v>145075424.89865217</v>
      </c>
      <c r="F22" s="247">
        <f>'OPCO Rev Req'!D28</f>
        <v>144168726.99676189</v>
      </c>
      <c r="G22" s="247">
        <f>'OPCO Rev Req'!E28</f>
        <v>143805840.71583652</v>
      </c>
      <c r="H22" s="247">
        <f>'OPCO Rev Req'!F28</f>
        <v>143146571.34565035</v>
      </c>
      <c r="I22" s="247">
        <f>'OPCO Rev Req'!G28</f>
        <v>143093303.43548587</v>
      </c>
      <c r="J22" s="247">
        <f>'OPCO Rev Req'!H28</f>
        <v>142468862.73097605</v>
      </c>
      <c r="K22" s="247">
        <f>'OPCO Rev Req'!I28</f>
        <v>138038404.06283066</v>
      </c>
      <c r="L22" s="247">
        <f>'OPCO Rev Req'!J28</f>
        <v>133216940.69830853</v>
      </c>
      <c r="M22" s="247">
        <f>'OPCO Rev Req'!K28</f>
        <v>149859133.00631735</v>
      </c>
      <c r="N22" s="247">
        <f>'OPCO Rev Req'!L28</f>
        <v>139403486.44830006</v>
      </c>
      <c r="O22" s="247">
        <f>'OPCO Rev Req'!M28</f>
        <v>0</v>
      </c>
      <c r="P22" s="247">
        <f>'OPCO Rev Req'!N28</f>
        <v>0</v>
      </c>
      <c r="Q22" s="247">
        <f>'OPCO Rev Req'!O28</f>
        <v>0</v>
      </c>
      <c r="R22" s="247">
        <f>'OPCO Rev Req'!P28</f>
        <v>0</v>
      </c>
      <c r="S22" s="247">
        <f>'OPCO Rev Req'!Q28</f>
        <v>0</v>
      </c>
      <c r="T22" s="247">
        <f>'OPCO Rev Req'!R28</f>
        <v>0</v>
      </c>
      <c r="U22" s="247">
        <f>'OPCO Rev Req'!S28</f>
        <v>0</v>
      </c>
      <c r="V22" s="247">
        <f>'OPCO Rev Req'!T28</f>
        <v>0</v>
      </c>
      <c r="W22" s="247">
        <f>'OPCO Rev Req'!U28</f>
        <v>0</v>
      </c>
      <c r="X22" s="247">
        <f>'OPCO Rev Req'!V28</f>
        <v>0</v>
      </c>
      <c r="Y22" s="247">
        <f>'OPCO Rev Req'!W28</f>
        <v>0</v>
      </c>
      <c r="Z22" s="247">
        <f>'OPCO Rev Req'!X28</f>
        <v>0</v>
      </c>
      <c r="AA22" s="247">
        <f>'OPCO Rev Req'!Y28</f>
        <v>0</v>
      </c>
      <c r="AB22" s="247">
        <f>'OPCO Rev Req'!Z28</f>
        <v>0</v>
      </c>
      <c r="AC22" s="247">
        <f>'OPCO Rev Req'!AA28</f>
        <v>0</v>
      </c>
      <c r="AD22" s="247">
        <f>'OPCO Rev Req'!AB28</f>
        <v>0</v>
      </c>
      <c r="AE22" s="247">
        <f>'OPCO Rev Req'!AC28</f>
        <v>0</v>
      </c>
      <c r="AF22" s="247">
        <f>'OPCO Rev Req'!AD28</f>
        <v>0</v>
      </c>
      <c r="AG22" s="247">
        <f>'OPCO Rev Req'!AE28</f>
        <v>0</v>
      </c>
      <c r="AH22" s="247">
        <f>'OPCO Rev Req'!AF28</f>
        <v>0</v>
      </c>
      <c r="AI22" s="247">
        <f>'OPCO Rev Req'!AG28</f>
        <v>0</v>
      </c>
      <c r="AJ22" s="247">
        <f>'OPCO Rev Req'!AH28</f>
        <v>0</v>
      </c>
      <c r="AK22" s="247">
        <f>'OPCO Rev Req'!AI28</f>
        <v>0</v>
      </c>
      <c r="AL22" s="247">
        <f>'OPCO Rev Req'!AJ28</f>
        <v>0</v>
      </c>
    </row>
    <row r="23" spans="1:38">
      <c r="A23" s="33"/>
      <c r="B23" s="33"/>
      <c r="C23" s="33"/>
    </row>
    <row r="24" spans="1:38">
      <c r="A24" s="248">
        <v>13</v>
      </c>
      <c r="B24" s="33"/>
      <c r="C24" s="33" t="s">
        <v>189</v>
      </c>
      <c r="D24" s="254">
        <f t="shared" ref="D24:X24" si="6">D22+D11</f>
        <v>32419212.722217262</v>
      </c>
      <c r="E24" s="254">
        <f t="shared" si="6"/>
        <v>30895090.927862316</v>
      </c>
      <c r="F24" s="254">
        <f t="shared" si="6"/>
        <v>29034014.455814004</v>
      </c>
      <c r="G24" s="254">
        <f t="shared" si="6"/>
        <v>27268088.86374037</v>
      </c>
      <c r="H24" s="254">
        <f t="shared" si="6"/>
        <v>25459911.25623773</v>
      </c>
      <c r="I24" s="254">
        <f t="shared" si="6"/>
        <v>23624390.535949424</v>
      </c>
      <c r="J24" s="254">
        <f t="shared" si="6"/>
        <v>21732296.991898984</v>
      </c>
      <c r="K24" s="254">
        <f t="shared" si="6"/>
        <v>19386503.191884607</v>
      </c>
      <c r="L24" s="254">
        <f t="shared" si="6"/>
        <v>16899856.789944887</v>
      </c>
      <c r="M24" s="254">
        <f t="shared" si="6"/>
        <v>13465491.490643919</v>
      </c>
      <c r="N24" s="254">
        <f t="shared" si="6"/>
        <v>9538518.14483805</v>
      </c>
      <c r="O24" s="254">
        <f t="shared" si="6"/>
        <v>0</v>
      </c>
      <c r="P24" s="254">
        <f t="shared" si="6"/>
        <v>0</v>
      </c>
      <c r="Q24" s="254">
        <f t="shared" si="6"/>
        <v>0</v>
      </c>
      <c r="R24" s="254">
        <f t="shared" si="6"/>
        <v>0</v>
      </c>
      <c r="S24" s="254">
        <f t="shared" si="6"/>
        <v>0</v>
      </c>
      <c r="T24" s="254">
        <f t="shared" si="6"/>
        <v>0</v>
      </c>
      <c r="U24" s="254">
        <f t="shared" si="6"/>
        <v>0</v>
      </c>
      <c r="V24" s="254">
        <f t="shared" si="6"/>
        <v>0</v>
      </c>
      <c r="W24" s="254">
        <f t="shared" si="6"/>
        <v>0</v>
      </c>
      <c r="X24" s="254">
        <f t="shared" si="6"/>
        <v>0</v>
      </c>
      <c r="Y24" s="254">
        <f t="shared" ref="Y24:AK24" si="7">Y22+Y11</f>
        <v>0</v>
      </c>
      <c r="Z24" s="254">
        <f t="shared" si="7"/>
        <v>0</v>
      </c>
      <c r="AA24" s="254">
        <f t="shared" si="7"/>
        <v>0</v>
      </c>
      <c r="AB24" s="254">
        <f t="shared" si="7"/>
        <v>0</v>
      </c>
      <c r="AC24" s="254">
        <f t="shared" si="7"/>
        <v>0</v>
      </c>
      <c r="AD24" s="254">
        <f t="shared" si="7"/>
        <v>0</v>
      </c>
      <c r="AE24" s="254">
        <f t="shared" si="7"/>
        <v>0</v>
      </c>
      <c r="AF24" s="254">
        <f t="shared" si="7"/>
        <v>0</v>
      </c>
      <c r="AG24" s="254">
        <f t="shared" si="7"/>
        <v>0</v>
      </c>
      <c r="AH24" s="254">
        <f t="shared" si="7"/>
        <v>0</v>
      </c>
      <c r="AI24" s="254">
        <f t="shared" si="7"/>
        <v>0</v>
      </c>
      <c r="AJ24" s="254">
        <f t="shared" si="7"/>
        <v>0</v>
      </c>
      <c r="AK24" s="254">
        <f t="shared" si="7"/>
        <v>0</v>
      </c>
      <c r="AL24" s="254">
        <f>AL22+AL11</f>
        <v>0</v>
      </c>
    </row>
    <row r="25" spans="1:38">
      <c r="A25" s="33"/>
      <c r="B25" s="33"/>
      <c r="C25" s="33"/>
    </row>
    <row r="26" spans="1:38">
      <c r="A26" s="248">
        <v>14</v>
      </c>
      <c r="B26" s="33"/>
      <c r="C26" s="33" t="s">
        <v>190</v>
      </c>
      <c r="D26" s="254">
        <f t="shared" ref="D26:X26" si="8">D16+D22</f>
        <v>61560745.314363062</v>
      </c>
      <c r="E26" s="254">
        <f t="shared" si="8"/>
        <v>39105523.56864664</v>
      </c>
      <c r="F26" s="254">
        <f t="shared" si="8"/>
        <v>40712773.47784315</v>
      </c>
      <c r="G26" s="254">
        <f t="shared" si="8"/>
        <v>42591446.882657021</v>
      </c>
      <c r="H26" s="254">
        <f t="shared" si="8"/>
        <v>44210891.225966647</v>
      </c>
      <c r="I26" s="254">
        <f t="shared" si="8"/>
        <v>45688731.14254187</v>
      </c>
      <c r="J26" s="254">
        <f t="shared" si="8"/>
        <v>46994076.672573477</v>
      </c>
      <c r="K26" s="254">
        <f t="shared" si="8"/>
        <v>47938168.719757676</v>
      </c>
      <c r="L26" s="254">
        <f t="shared" si="8"/>
        <v>47487466.479250699</v>
      </c>
      <c r="M26" s="254">
        <f t="shared" si="8"/>
        <v>69978780.58494547</v>
      </c>
      <c r="N26" s="254">
        <f t="shared" si="8"/>
        <v>66423235.495371401</v>
      </c>
      <c r="O26" s="254">
        <f t="shared" si="8"/>
        <v>57168967.510102294</v>
      </c>
      <c r="P26" s="254">
        <f t="shared" si="8"/>
        <v>0</v>
      </c>
      <c r="Q26" s="254">
        <f t="shared" si="8"/>
        <v>0</v>
      </c>
      <c r="R26" s="254">
        <f t="shared" si="8"/>
        <v>0</v>
      </c>
      <c r="S26" s="254">
        <f t="shared" si="8"/>
        <v>0</v>
      </c>
      <c r="T26" s="254">
        <f t="shared" si="8"/>
        <v>0</v>
      </c>
      <c r="U26" s="254">
        <f t="shared" si="8"/>
        <v>0</v>
      </c>
      <c r="V26" s="254">
        <f t="shared" si="8"/>
        <v>0</v>
      </c>
      <c r="W26" s="254">
        <f t="shared" si="8"/>
        <v>0</v>
      </c>
      <c r="X26" s="254">
        <f t="shared" si="8"/>
        <v>0</v>
      </c>
      <c r="Y26" s="254">
        <f t="shared" ref="Y26:AK26" si="9">Y16+Y22</f>
        <v>0</v>
      </c>
      <c r="Z26" s="254">
        <f t="shared" si="9"/>
        <v>0</v>
      </c>
      <c r="AA26" s="254">
        <f t="shared" si="9"/>
        <v>0</v>
      </c>
      <c r="AB26" s="254">
        <f t="shared" si="9"/>
        <v>0</v>
      </c>
      <c r="AC26" s="254">
        <f t="shared" si="9"/>
        <v>0</v>
      </c>
      <c r="AD26" s="254">
        <f t="shared" si="9"/>
        <v>0</v>
      </c>
      <c r="AE26" s="254">
        <f t="shared" si="9"/>
        <v>0</v>
      </c>
      <c r="AF26" s="254">
        <f t="shared" si="9"/>
        <v>0</v>
      </c>
      <c r="AG26" s="254">
        <f t="shared" si="9"/>
        <v>0</v>
      </c>
      <c r="AH26" s="254">
        <f t="shared" si="9"/>
        <v>0</v>
      </c>
      <c r="AI26" s="254">
        <f t="shared" si="9"/>
        <v>0</v>
      </c>
      <c r="AJ26" s="254">
        <f t="shared" si="9"/>
        <v>0</v>
      </c>
      <c r="AK26" s="254">
        <f t="shared" si="9"/>
        <v>0</v>
      </c>
      <c r="AL26" s="254">
        <f>AL16+AL22</f>
        <v>0</v>
      </c>
    </row>
    <row r="27" spans="1:38">
      <c r="A27" s="33"/>
      <c r="B27" s="33"/>
      <c r="C27" s="33"/>
    </row>
    <row r="28" spans="1:38" s="93" customFormat="1" ht="13">
      <c r="A28" s="246">
        <v>15</v>
      </c>
      <c r="B28" s="249"/>
      <c r="C28" s="249" t="s">
        <v>191</v>
      </c>
      <c r="D28" s="253">
        <f t="shared" ref="D28:X28" si="10">D18*D26</f>
        <v>3082038.714163587</v>
      </c>
      <c r="E28" s="253">
        <f t="shared" si="10"/>
        <v>1957818.0374642941</v>
      </c>
      <c r="F28" s="253">
        <f t="shared" si="10"/>
        <v>2038285.0041682175</v>
      </c>
      <c r="G28" s="253">
        <f t="shared" si="10"/>
        <v>2132340.7881802241</v>
      </c>
      <c r="H28" s="253">
        <f t="shared" si="10"/>
        <v>2213418.2692280202</v>
      </c>
      <c r="I28" s="253">
        <f t="shared" si="10"/>
        <v>2287406.3246513591</v>
      </c>
      <c r="J28" s="253">
        <f t="shared" si="10"/>
        <v>2352758.4486123915</v>
      </c>
      <c r="K28" s="253">
        <f t="shared" si="10"/>
        <v>2400024.4169546682</v>
      </c>
      <c r="L28" s="253">
        <f t="shared" si="10"/>
        <v>2377460.0092836865</v>
      </c>
      <c r="M28" s="253">
        <f t="shared" si="10"/>
        <v>3503487.6499852953</v>
      </c>
      <c r="N28" s="253">
        <f t="shared" si="10"/>
        <v>3325479.2850757698</v>
      </c>
      <c r="O28" s="253">
        <f t="shared" si="10"/>
        <v>2862164.3583932715</v>
      </c>
      <c r="P28" s="253">
        <f t="shared" si="10"/>
        <v>0</v>
      </c>
      <c r="Q28" s="253">
        <f t="shared" si="10"/>
        <v>0</v>
      </c>
      <c r="R28" s="253">
        <f t="shared" si="10"/>
        <v>0</v>
      </c>
      <c r="S28" s="253">
        <f t="shared" si="10"/>
        <v>0</v>
      </c>
      <c r="T28" s="253">
        <f t="shared" si="10"/>
        <v>0</v>
      </c>
      <c r="U28" s="253">
        <f t="shared" si="10"/>
        <v>0</v>
      </c>
      <c r="V28" s="253">
        <f t="shared" si="10"/>
        <v>0</v>
      </c>
      <c r="W28" s="253">
        <f t="shared" si="10"/>
        <v>0</v>
      </c>
      <c r="X28" s="253">
        <f t="shared" si="10"/>
        <v>0</v>
      </c>
      <c r="Y28" s="253">
        <f t="shared" ref="Y28:AK28" si="11">Y18*Y26</f>
        <v>0</v>
      </c>
      <c r="Z28" s="253">
        <f t="shared" si="11"/>
        <v>0</v>
      </c>
      <c r="AA28" s="253">
        <f t="shared" si="11"/>
        <v>0</v>
      </c>
      <c r="AB28" s="253">
        <f t="shared" si="11"/>
        <v>0</v>
      </c>
      <c r="AC28" s="253">
        <f t="shared" si="11"/>
        <v>0</v>
      </c>
      <c r="AD28" s="253">
        <f t="shared" si="11"/>
        <v>0</v>
      </c>
      <c r="AE28" s="253">
        <f t="shared" si="11"/>
        <v>0</v>
      </c>
      <c r="AF28" s="253">
        <f t="shared" si="11"/>
        <v>0</v>
      </c>
      <c r="AG28" s="253">
        <f t="shared" si="11"/>
        <v>0</v>
      </c>
      <c r="AH28" s="253">
        <f t="shared" si="11"/>
        <v>0</v>
      </c>
      <c r="AI28" s="253">
        <f t="shared" si="11"/>
        <v>0</v>
      </c>
      <c r="AJ28" s="253">
        <f t="shared" si="11"/>
        <v>0</v>
      </c>
      <c r="AK28" s="253">
        <f t="shared" si="11"/>
        <v>0</v>
      </c>
      <c r="AL28" s="253">
        <f>AL18*AL26</f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AL31"/>
  <sheetViews>
    <sheetView workbookViewId="0">
      <pane xSplit="3" topLeftCell="D1" activePane="topRight" state="frozen"/>
      <selection activeCell="Y34" sqref="Y34"/>
      <selection pane="topRight" activeCell="L38" sqref="L38"/>
    </sheetView>
  </sheetViews>
  <sheetFormatPr defaultRowHeight="12.5"/>
  <cols>
    <col min="1" max="1" width="5" style="1" bestFit="1" customWidth="1"/>
    <col min="2" max="2" width="4.7265625" style="1" customWidth="1"/>
    <col min="3" max="3" width="40.54296875" style="1" bestFit="1" customWidth="1"/>
    <col min="4" max="5" width="13.90625" style="1" bestFit="1" customWidth="1"/>
    <col min="6" max="38" width="12.81640625" style="1" bestFit="1" customWidth="1"/>
    <col min="39" max="16384" width="8.7265625" style="1"/>
  </cols>
  <sheetData>
    <row r="1" spans="1:38">
      <c r="A1" s="1" t="s">
        <v>53</v>
      </c>
      <c r="D1" s="244" t="str">
        <f>SIT!D2</f>
        <v>Year 1</v>
      </c>
      <c r="E1" s="244" t="str">
        <f>SIT!E2</f>
        <v>Year 2</v>
      </c>
      <c r="F1" s="244" t="str">
        <f>SIT!F2</f>
        <v>Year 3</v>
      </c>
      <c r="G1" s="244" t="str">
        <f>SIT!G2</f>
        <v>Year 4</v>
      </c>
      <c r="H1" s="244" t="str">
        <f>SIT!H2</f>
        <v>Year 5</v>
      </c>
      <c r="I1" s="244" t="str">
        <f>SIT!I2</f>
        <v>Year 6</v>
      </c>
      <c r="J1" s="244" t="str">
        <f>SIT!J2</f>
        <v>Year 7</v>
      </c>
      <c r="K1" s="244" t="str">
        <f>SIT!K2</f>
        <v>Year 8</v>
      </c>
      <c r="L1" s="244" t="str">
        <f>SIT!L2</f>
        <v>Year 9</v>
      </c>
      <c r="M1" s="244" t="str">
        <f>SIT!M2</f>
        <v>Year 10</v>
      </c>
      <c r="N1" s="244" t="str">
        <f>SIT!N2</f>
        <v>Year 11</v>
      </c>
      <c r="O1" s="244" t="str">
        <f>SIT!O2</f>
        <v>Year 12</v>
      </c>
      <c r="P1" s="244" t="str">
        <f>SIT!P2</f>
        <v>Year 13</v>
      </c>
      <c r="Q1" s="244" t="str">
        <f>SIT!Q2</f>
        <v>Year 14</v>
      </c>
      <c r="R1" s="244" t="str">
        <f>SIT!R2</f>
        <v>Year 15</v>
      </c>
      <c r="S1" s="244" t="str">
        <f>SIT!S2</f>
        <v>Year 16</v>
      </c>
      <c r="T1" s="244" t="str">
        <f>SIT!T2</f>
        <v>Year 17</v>
      </c>
      <c r="U1" s="244" t="str">
        <f>SIT!U2</f>
        <v>Year 18</v>
      </c>
      <c r="V1" s="244" t="str">
        <f>SIT!V2</f>
        <v>Year 19</v>
      </c>
      <c r="W1" s="244" t="str">
        <f>SIT!W2</f>
        <v>Year 20</v>
      </c>
      <c r="X1" s="244" t="str">
        <f>SIT!X2</f>
        <v>Year 21</v>
      </c>
      <c r="Y1" s="244" t="str">
        <f>SIT!Y2</f>
        <v>Year 22</v>
      </c>
      <c r="Z1" s="244" t="str">
        <f>SIT!Z2</f>
        <v>Year 23</v>
      </c>
      <c r="AA1" s="244" t="str">
        <f>SIT!AA2</f>
        <v>Year 24</v>
      </c>
      <c r="AB1" s="244" t="str">
        <f>SIT!AB2</f>
        <v>Year 25</v>
      </c>
      <c r="AC1" s="244" t="str">
        <f>SIT!AC2</f>
        <v>Year 26</v>
      </c>
      <c r="AD1" s="244" t="str">
        <f>SIT!AD2</f>
        <v>Year 27</v>
      </c>
      <c r="AE1" s="244" t="str">
        <f>SIT!AE2</f>
        <v>Year 28</v>
      </c>
      <c r="AF1" s="244" t="str">
        <f>SIT!AF2</f>
        <v>Year 29</v>
      </c>
      <c r="AG1" s="244" t="str">
        <f>SIT!AG2</f>
        <v>Year 30</v>
      </c>
      <c r="AH1" s="244" t="str">
        <f>SIT!AH2</f>
        <v>Year 31</v>
      </c>
      <c r="AI1" s="244" t="str">
        <f>SIT!AI2</f>
        <v>Year 32</v>
      </c>
      <c r="AJ1" s="244" t="str">
        <f>SIT!AJ2</f>
        <v>Year 33</v>
      </c>
      <c r="AK1" s="244" t="str">
        <f>SIT!AK2</f>
        <v>Year 34</v>
      </c>
      <c r="AL1" s="244" t="str">
        <f>SIT!AL2</f>
        <v>Year 35</v>
      </c>
    </row>
    <row r="2" spans="1:38" ht="13">
      <c r="A2" s="50" t="s">
        <v>41</v>
      </c>
      <c r="B2" s="50"/>
      <c r="C2" s="50"/>
      <c r="D2" s="245">
        <f>SIT!D3</f>
        <v>2029</v>
      </c>
      <c r="E2" s="245">
        <f>SIT!E3</f>
        <v>2030</v>
      </c>
      <c r="F2" s="245">
        <f>SIT!F3</f>
        <v>2031</v>
      </c>
      <c r="G2" s="245">
        <f>SIT!G3</f>
        <v>2032</v>
      </c>
      <c r="H2" s="245">
        <f>SIT!H3</f>
        <v>2033</v>
      </c>
      <c r="I2" s="245">
        <f>SIT!I3</f>
        <v>2034</v>
      </c>
      <c r="J2" s="245">
        <f>SIT!J3</f>
        <v>2035</v>
      </c>
      <c r="K2" s="245">
        <f>SIT!K3</f>
        <v>2036</v>
      </c>
      <c r="L2" s="245">
        <f>SIT!L3</f>
        <v>2037</v>
      </c>
      <c r="M2" s="245">
        <f>SIT!M3</f>
        <v>2038</v>
      </c>
      <c r="N2" s="245">
        <f>SIT!N3</f>
        <v>2039</v>
      </c>
      <c r="O2" s="245">
        <f>SIT!O3</f>
        <v>0</v>
      </c>
      <c r="P2" s="245">
        <f>SIT!P3</f>
        <v>0</v>
      </c>
      <c r="Q2" s="245">
        <f>SIT!Q3</f>
        <v>0</v>
      </c>
      <c r="R2" s="245">
        <f>SIT!R3</f>
        <v>0</v>
      </c>
      <c r="S2" s="245">
        <f>SIT!S3</f>
        <v>0</v>
      </c>
      <c r="T2" s="245">
        <f>SIT!T3</f>
        <v>0</v>
      </c>
      <c r="U2" s="245">
        <f>SIT!U3</f>
        <v>0</v>
      </c>
      <c r="V2" s="245">
        <f>SIT!V3</f>
        <v>0</v>
      </c>
      <c r="W2" s="245">
        <f>SIT!W3</f>
        <v>0</v>
      </c>
      <c r="X2" s="245">
        <f>SIT!X3</f>
        <v>0</v>
      </c>
      <c r="Y2" s="245">
        <f>SIT!Y3</f>
        <v>0</v>
      </c>
      <c r="Z2" s="245">
        <f>SIT!Z3</f>
        <v>0</v>
      </c>
      <c r="AA2" s="245">
        <f>SIT!AA3</f>
        <v>0</v>
      </c>
      <c r="AB2" s="245">
        <f>SIT!AB3</f>
        <v>0</v>
      </c>
      <c r="AC2" s="245">
        <f>SIT!AC3</f>
        <v>0</v>
      </c>
      <c r="AD2" s="245">
        <f>SIT!AD3</f>
        <v>0</v>
      </c>
      <c r="AE2" s="245">
        <f>SIT!AE3</f>
        <v>0</v>
      </c>
      <c r="AF2" s="245">
        <f>SIT!AF3</f>
        <v>0</v>
      </c>
      <c r="AG2" s="245">
        <f>SIT!AG3</f>
        <v>0</v>
      </c>
      <c r="AH2" s="245">
        <f>SIT!AH3</f>
        <v>0</v>
      </c>
      <c r="AI2" s="245">
        <f>SIT!AI3</f>
        <v>0</v>
      </c>
      <c r="AJ2" s="245">
        <f>SIT!AJ3</f>
        <v>0</v>
      </c>
      <c r="AK2" s="245">
        <f>SIT!AK3</f>
        <v>0</v>
      </c>
      <c r="AL2" s="245">
        <f>SIT!AL3</f>
        <v>0</v>
      </c>
    </row>
    <row r="3" spans="1:38" ht="13">
      <c r="A3" s="51" t="s">
        <v>42</v>
      </c>
      <c r="B3" s="51"/>
      <c r="C3" s="51" t="s">
        <v>43</v>
      </c>
      <c r="D3" s="51" t="s">
        <v>52</v>
      </c>
      <c r="E3" s="51" t="s">
        <v>52</v>
      </c>
      <c r="F3" s="51" t="s">
        <v>52</v>
      </c>
      <c r="G3" s="51" t="s">
        <v>52</v>
      </c>
      <c r="H3" s="51" t="s">
        <v>52</v>
      </c>
      <c r="I3" s="51" t="s">
        <v>52</v>
      </c>
      <c r="J3" s="51" t="s">
        <v>52</v>
      </c>
      <c r="K3" s="51" t="s">
        <v>52</v>
      </c>
      <c r="L3" s="51" t="s">
        <v>52</v>
      </c>
      <c r="M3" s="51" t="s">
        <v>52</v>
      </c>
      <c r="N3" s="51" t="s">
        <v>52</v>
      </c>
      <c r="O3" s="51" t="s">
        <v>52</v>
      </c>
      <c r="P3" s="51" t="s">
        <v>52</v>
      </c>
      <c r="Q3" s="51" t="s">
        <v>52</v>
      </c>
      <c r="R3" s="51" t="s">
        <v>52</v>
      </c>
      <c r="S3" s="51" t="s">
        <v>52</v>
      </c>
      <c r="T3" s="51" t="s">
        <v>52</v>
      </c>
      <c r="U3" s="51" t="s">
        <v>52</v>
      </c>
      <c r="V3" s="51" t="s">
        <v>52</v>
      </c>
      <c r="W3" s="51" t="s">
        <v>52</v>
      </c>
      <c r="X3" s="51" t="s">
        <v>52</v>
      </c>
      <c r="Y3" s="51" t="s">
        <v>52</v>
      </c>
      <c r="Z3" s="51" t="s">
        <v>52</v>
      </c>
      <c r="AA3" s="51" t="s">
        <v>52</v>
      </c>
      <c r="AB3" s="51" t="s">
        <v>52</v>
      </c>
      <c r="AC3" s="51" t="s">
        <v>52</v>
      </c>
      <c r="AD3" s="51" t="s">
        <v>52</v>
      </c>
      <c r="AE3" s="51" t="s">
        <v>52</v>
      </c>
      <c r="AF3" s="51" t="s">
        <v>52</v>
      </c>
      <c r="AG3" s="51" t="s">
        <v>52</v>
      </c>
      <c r="AH3" s="51" t="s">
        <v>52</v>
      </c>
      <c r="AI3" s="51" t="s">
        <v>52</v>
      </c>
      <c r="AJ3" s="51" t="s">
        <v>52</v>
      </c>
      <c r="AK3" s="51" t="s">
        <v>52</v>
      </c>
      <c r="AL3" s="51" t="s">
        <v>52</v>
      </c>
    </row>
    <row r="4" spans="1:38" ht="13">
      <c r="A4" s="246">
        <v>1</v>
      </c>
      <c r="B4" s="33"/>
      <c r="C4" s="249" t="s">
        <v>105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</row>
    <row r="5" spans="1:38">
      <c r="A5" s="33"/>
      <c r="B5" s="33"/>
      <c r="C5" s="3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</row>
    <row r="6" spans="1:38">
      <c r="A6" s="248">
        <v>2</v>
      </c>
      <c r="B6" s="33"/>
      <c r="C6" s="33" t="s">
        <v>44</v>
      </c>
      <c r="D6" s="29">
        <f>'OPCO Rev Req'!B13</f>
        <v>43204519.166640431</v>
      </c>
      <c r="E6" s="29">
        <f>'OPCO Rev Req'!C13</f>
        <v>43352918.941598848</v>
      </c>
      <c r="F6" s="29">
        <f>'OPCO Rev Req'!D13</f>
        <v>43692472.219697237</v>
      </c>
      <c r="G6" s="29">
        <f>'OPCO Rev Req'!E13</f>
        <v>44214190.529468328</v>
      </c>
      <c r="H6" s="29">
        <f>'OPCO Rev Req'!F13</f>
        <v>44485495.176227599</v>
      </c>
      <c r="I6" s="29">
        <f>'OPCO Rev Req'!G13</f>
        <v>45367563.474692017</v>
      </c>
      <c r="J6" s="29">
        <f>'OPCO Rev Req'!H13</f>
        <v>45756868.614511713</v>
      </c>
      <c r="K6" s="29">
        <f>'OPCO Rev Req'!I13</f>
        <v>43659904.243258968</v>
      </c>
      <c r="L6" s="29">
        <f>'OPCO Rev Req'!J13</f>
        <v>41555204.212214008</v>
      </c>
      <c r="M6" s="29">
        <f>'OPCO Rev Req'!K13</f>
        <v>38043180.565587014</v>
      </c>
      <c r="N6" s="29">
        <f>'OPCO Rev Req'!L13</f>
        <v>33545401.848819755</v>
      </c>
      <c r="O6" s="29">
        <f>'OPCO Rev Req'!M13</f>
        <v>0</v>
      </c>
      <c r="P6" s="29">
        <f>'OPCO Rev Req'!N13</f>
        <v>0</v>
      </c>
      <c r="Q6" s="29">
        <f>'OPCO Rev Req'!O13</f>
        <v>0</v>
      </c>
      <c r="R6" s="29">
        <f>'OPCO Rev Req'!P13</f>
        <v>0</v>
      </c>
      <c r="S6" s="29">
        <f>'OPCO Rev Req'!Q13</f>
        <v>0</v>
      </c>
      <c r="T6" s="29">
        <f>'OPCO Rev Req'!R13</f>
        <v>0</v>
      </c>
      <c r="U6" s="29">
        <f>'OPCO Rev Req'!S13</f>
        <v>0</v>
      </c>
      <c r="V6" s="29">
        <f>'OPCO Rev Req'!T13</f>
        <v>0</v>
      </c>
      <c r="W6" s="29">
        <f>'OPCO Rev Req'!U13</f>
        <v>0</v>
      </c>
      <c r="X6" s="29">
        <f>'OPCO Rev Req'!V13</f>
        <v>0</v>
      </c>
      <c r="Y6" s="29">
        <f>'OPCO Rev Req'!W13</f>
        <v>0</v>
      </c>
      <c r="Z6" s="29">
        <f>'OPCO Rev Req'!X13</f>
        <v>0</v>
      </c>
      <c r="AA6" s="29">
        <f>'OPCO Rev Req'!Y13</f>
        <v>0</v>
      </c>
      <c r="AB6" s="29">
        <f>'OPCO Rev Req'!Z13</f>
        <v>0</v>
      </c>
      <c r="AC6" s="29">
        <f>'OPCO Rev Req'!AA13</f>
        <v>0</v>
      </c>
      <c r="AD6" s="29">
        <f>'OPCO Rev Req'!AB13</f>
        <v>0</v>
      </c>
      <c r="AE6" s="29">
        <f>'OPCO Rev Req'!AC13</f>
        <v>0</v>
      </c>
      <c r="AF6" s="29">
        <f>'OPCO Rev Req'!AD13</f>
        <v>0</v>
      </c>
      <c r="AG6" s="29">
        <f>'OPCO Rev Req'!AE13</f>
        <v>0</v>
      </c>
      <c r="AH6" s="29">
        <f>'OPCO Rev Req'!AF13</f>
        <v>0</v>
      </c>
      <c r="AI6" s="29">
        <f>'OPCO Rev Req'!AG13</f>
        <v>0</v>
      </c>
      <c r="AJ6" s="29">
        <f>'OPCO Rev Req'!AH13</f>
        <v>0</v>
      </c>
      <c r="AK6" s="29">
        <f>'OPCO Rev Req'!AI13</f>
        <v>0</v>
      </c>
      <c r="AL6" s="29">
        <f>'OPCO Rev Req'!AJ13</f>
        <v>0</v>
      </c>
    </row>
    <row r="7" spans="1:38">
      <c r="A7" s="248">
        <v>3</v>
      </c>
      <c r="B7" s="33"/>
      <c r="C7" s="33" t="s">
        <v>54</v>
      </c>
      <c r="D7" s="29">
        <f>'OPCO Rev Req'!B14</f>
        <v>52984604.71299237</v>
      </c>
      <c r="E7" s="29">
        <f>'OPCO Rev Req'!C14</f>
        <v>55030661.619470544</v>
      </c>
      <c r="F7" s="29">
        <f>'OPCO Rev Req'!D14</f>
        <v>56619643.909907855</v>
      </c>
      <c r="G7" s="29">
        <f>'OPCO Rev Req'!E14</f>
        <v>58426750.674951255</v>
      </c>
      <c r="H7" s="29">
        <f>'OPCO Rev Req'!F14</f>
        <v>60251461.11492651</v>
      </c>
      <c r="I7" s="29">
        <f>'OPCO Rev Req'!G14</f>
        <v>62114850.552707918</v>
      </c>
      <c r="J7" s="29">
        <f>'OPCO Rev Req'!H14</f>
        <v>63984448.136613153</v>
      </c>
      <c r="K7" s="29">
        <f>'OPCO Rev Req'!I14</f>
        <v>65215144.76547426</v>
      </c>
      <c r="L7" s="29">
        <f>'OPCO Rev Req'!J14</f>
        <v>66276222.96344997</v>
      </c>
      <c r="M7" s="29">
        <f>'OPCO Rev Req'!K14</f>
        <v>91715287.430543721</v>
      </c>
      <c r="N7" s="29">
        <f>'OPCO Rev Req'!L14</f>
        <v>91715287.430543721</v>
      </c>
      <c r="O7" s="29">
        <f>'OPCO Rev Req'!M14</f>
        <v>0</v>
      </c>
      <c r="P7" s="29">
        <f>'OPCO Rev Req'!N14</f>
        <v>0</v>
      </c>
      <c r="Q7" s="29">
        <f>'OPCO Rev Req'!O14</f>
        <v>0</v>
      </c>
      <c r="R7" s="29">
        <f>'OPCO Rev Req'!P14</f>
        <v>0</v>
      </c>
      <c r="S7" s="29">
        <f>'OPCO Rev Req'!Q14</f>
        <v>0</v>
      </c>
      <c r="T7" s="29">
        <f>'OPCO Rev Req'!R14</f>
        <v>0</v>
      </c>
      <c r="U7" s="29">
        <f>'OPCO Rev Req'!S14</f>
        <v>0</v>
      </c>
      <c r="V7" s="29">
        <f>'OPCO Rev Req'!T14</f>
        <v>0</v>
      </c>
      <c r="W7" s="29">
        <f>'OPCO Rev Req'!U14</f>
        <v>0</v>
      </c>
      <c r="X7" s="29">
        <f>'OPCO Rev Req'!V14</f>
        <v>0</v>
      </c>
      <c r="Y7" s="29">
        <f>'OPCO Rev Req'!W14</f>
        <v>0</v>
      </c>
      <c r="Z7" s="29">
        <f>'OPCO Rev Req'!X14</f>
        <v>0</v>
      </c>
      <c r="AA7" s="29">
        <f>'OPCO Rev Req'!Y14</f>
        <v>0</v>
      </c>
      <c r="AB7" s="29">
        <f>'OPCO Rev Req'!Z14</f>
        <v>0</v>
      </c>
      <c r="AC7" s="29">
        <f>'OPCO Rev Req'!AA14</f>
        <v>0</v>
      </c>
      <c r="AD7" s="29">
        <f>'OPCO Rev Req'!AB14</f>
        <v>0</v>
      </c>
      <c r="AE7" s="29">
        <f>'OPCO Rev Req'!AC14</f>
        <v>0</v>
      </c>
      <c r="AF7" s="29">
        <f>'OPCO Rev Req'!AD14</f>
        <v>0</v>
      </c>
      <c r="AG7" s="29">
        <f>'OPCO Rev Req'!AE14</f>
        <v>0</v>
      </c>
      <c r="AH7" s="29">
        <f>'OPCO Rev Req'!AF14</f>
        <v>0</v>
      </c>
      <c r="AI7" s="29">
        <f>'OPCO Rev Req'!AG14</f>
        <v>0</v>
      </c>
      <c r="AJ7" s="29">
        <f>'OPCO Rev Req'!AH14</f>
        <v>0</v>
      </c>
      <c r="AK7" s="29">
        <f>'OPCO Rev Req'!AI14</f>
        <v>0</v>
      </c>
      <c r="AL7" s="29">
        <f>'OPCO Rev Req'!AJ14</f>
        <v>0</v>
      </c>
    </row>
    <row r="8" spans="1:38">
      <c r="A8" s="248">
        <v>4</v>
      </c>
      <c r="B8" s="33"/>
      <c r="C8" s="33" t="s">
        <v>55</v>
      </c>
      <c r="D8" s="29">
        <f>SIT!D20</f>
        <v>-4187631.622497038</v>
      </c>
      <c r="E8" s="29">
        <f>SIT!E20</f>
        <v>-5305383.110086727</v>
      </c>
      <c r="F8" s="29">
        <f>SIT!F20</f>
        <v>-5179522.3129246673</v>
      </c>
      <c r="G8" s="29">
        <f>SIT!G20</f>
        <v>-5067298.6272581322</v>
      </c>
      <c r="H8" s="29">
        <f>SIT!H20</f>
        <v>-4953214.8251919644</v>
      </c>
      <c r="I8" s="29">
        <f>SIT!I20</f>
        <v>-4876559.9118462419</v>
      </c>
      <c r="J8" s="29">
        <f>SIT!J20</f>
        <v>-4779945.164013925</v>
      </c>
      <c r="K8" s="29">
        <f>SIT!K20</f>
        <v>-4510868.2824509488</v>
      </c>
      <c r="L8" s="29">
        <f>SIT!L20</f>
        <v>-4292046.1267771302</v>
      </c>
      <c r="M8" s="29">
        <f>SIT!M20</f>
        <v>-3999209.8439759836</v>
      </c>
      <c r="N8" s="29">
        <f>SIT!N20</f>
        <v>-3653756.263958374</v>
      </c>
      <c r="O8" s="29">
        <f>SIT!O20</f>
        <v>2862164.3583932715</v>
      </c>
      <c r="P8" s="29">
        <f>SIT!P20</f>
        <v>0</v>
      </c>
      <c r="Q8" s="29">
        <f>SIT!Q20</f>
        <v>0</v>
      </c>
      <c r="R8" s="29">
        <f>SIT!R20</f>
        <v>0</v>
      </c>
      <c r="S8" s="29">
        <f>SIT!S20</f>
        <v>0</v>
      </c>
      <c r="T8" s="29">
        <f>SIT!T20</f>
        <v>0</v>
      </c>
      <c r="U8" s="29">
        <f>SIT!U20</f>
        <v>0</v>
      </c>
      <c r="V8" s="29">
        <f>SIT!V20</f>
        <v>0</v>
      </c>
      <c r="W8" s="29">
        <f>SIT!W20</f>
        <v>0</v>
      </c>
      <c r="X8" s="29">
        <f>SIT!X20</f>
        <v>0</v>
      </c>
      <c r="Y8" s="29">
        <f>SIT!Y20</f>
        <v>0</v>
      </c>
      <c r="Z8" s="29">
        <f>SIT!Z20</f>
        <v>0</v>
      </c>
      <c r="AA8" s="29">
        <f>SIT!AA20</f>
        <v>0</v>
      </c>
      <c r="AB8" s="29">
        <f>SIT!AB20</f>
        <v>0</v>
      </c>
      <c r="AC8" s="29">
        <f>SIT!AC20</f>
        <v>0</v>
      </c>
      <c r="AD8" s="29">
        <f>SIT!AD20</f>
        <v>0</v>
      </c>
      <c r="AE8" s="29">
        <f>SIT!AE20</f>
        <v>0</v>
      </c>
      <c r="AF8" s="29">
        <f>SIT!AF20</f>
        <v>0</v>
      </c>
      <c r="AG8" s="29">
        <f>SIT!AG20</f>
        <v>0</v>
      </c>
      <c r="AH8" s="29">
        <f>SIT!AH20</f>
        <v>0</v>
      </c>
      <c r="AI8" s="29">
        <f>SIT!AI20</f>
        <v>0</v>
      </c>
      <c r="AJ8" s="29">
        <f>SIT!AJ20</f>
        <v>0</v>
      </c>
      <c r="AK8" s="29">
        <f>SIT!AK20</f>
        <v>0</v>
      </c>
      <c r="AL8" s="29">
        <f>SIT!AL20</f>
        <v>0</v>
      </c>
    </row>
    <row r="9" spans="1:38">
      <c r="A9" s="248">
        <v>5</v>
      </c>
      <c r="B9" s="33"/>
      <c r="C9" s="33" t="s">
        <v>46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</row>
    <row r="10" spans="1:38">
      <c r="A10" s="248">
        <v>6</v>
      </c>
      <c r="B10" s="33"/>
      <c r="C10" s="33" t="s">
        <v>47</v>
      </c>
      <c r="D10" s="28">
        <f>SIT!D9</f>
        <v>16596304.098452024</v>
      </c>
      <c r="E10" s="28">
        <f>SIT!E9</f>
        <v>15796753.409720449</v>
      </c>
      <c r="F10" s="28">
        <f>SIT!F9</f>
        <v>14822596.411342807</v>
      </c>
      <c r="G10" s="28">
        <f>SIT!G9</f>
        <v>13896810.647676567</v>
      </c>
      <c r="H10" s="28">
        <f>SIT!H9</f>
        <v>12949703.798258502</v>
      </c>
      <c r="I10" s="28">
        <f>SIT!I9</f>
        <v>11986498.872136522</v>
      </c>
      <c r="J10" s="28">
        <f>SIT!J9</f>
        <v>10995248.987952208</v>
      </c>
      <c r="K10" s="28">
        <f>SIT!K9</f>
        <v>9776851.8622128181</v>
      </c>
      <c r="L10" s="28">
        <f>SIT!L9</f>
        <v>8485656.7326996606</v>
      </c>
      <c r="M10" s="28">
        <f>SIT!M9</f>
        <v>6635173.5195426922</v>
      </c>
      <c r="N10" s="28">
        <f>SIT!N9</f>
        <v>4604279.0240985276</v>
      </c>
      <c r="O10" s="28">
        <f>SIT!O9</f>
        <v>0</v>
      </c>
      <c r="P10" s="28">
        <f>SIT!P9</f>
        <v>0</v>
      </c>
      <c r="Q10" s="28">
        <f>SIT!Q9</f>
        <v>0</v>
      </c>
      <c r="R10" s="28">
        <f>SIT!R9</f>
        <v>0</v>
      </c>
      <c r="S10" s="28">
        <f>SIT!S9</f>
        <v>0</v>
      </c>
      <c r="T10" s="28">
        <f>SIT!T9</f>
        <v>0</v>
      </c>
      <c r="U10" s="28">
        <f>SIT!U9</f>
        <v>0</v>
      </c>
      <c r="V10" s="28">
        <f>SIT!V9</f>
        <v>0</v>
      </c>
      <c r="W10" s="28">
        <f>SIT!W9</f>
        <v>0</v>
      </c>
      <c r="X10" s="28">
        <f>SIT!X9</f>
        <v>0</v>
      </c>
      <c r="Y10" s="28">
        <f>SIT!Y9</f>
        <v>0</v>
      </c>
      <c r="Z10" s="28">
        <f>SIT!Z9</f>
        <v>0</v>
      </c>
      <c r="AA10" s="28">
        <f>SIT!AA9</f>
        <v>0</v>
      </c>
      <c r="AB10" s="28">
        <f>SIT!AB9</f>
        <v>0</v>
      </c>
      <c r="AC10" s="28">
        <f>SIT!AC9</f>
        <v>0</v>
      </c>
      <c r="AD10" s="28">
        <f>SIT!AD9</f>
        <v>0</v>
      </c>
      <c r="AE10" s="28">
        <f>SIT!AE9</f>
        <v>0</v>
      </c>
      <c r="AF10" s="28">
        <f>SIT!AF9</f>
        <v>0</v>
      </c>
      <c r="AG10" s="28">
        <f>SIT!AG9</f>
        <v>0</v>
      </c>
      <c r="AH10" s="28">
        <f>SIT!AH9</f>
        <v>0</v>
      </c>
      <c r="AI10" s="28">
        <f>SIT!AI9</f>
        <v>0</v>
      </c>
      <c r="AJ10" s="28">
        <f>SIT!AJ9</f>
        <v>0</v>
      </c>
      <c r="AK10" s="28">
        <f>SIT!AK9</f>
        <v>0</v>
      </c>
      <c r="AL10" s="28">
        <f>SIT!AL9</f>
        <v>0</v>
      </c>
    </row>
    <row r="11" spans="1:38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</row>
    <row r="12" spans="1:38" ht="13">
      <c r="A12" s="246">
        <v>7</v>
      </c>
      <c r="B12" s="249"/>
      <c r="C12" s="249" t="s">
        <v>48</v>
      </c>
      <c r="D12" s="250">
        <f>D4-D6-D7-D8-D9-D10</f>
        <v>-108597796.35558778</v>
      </c>
      <c r="E12" s="250">
        <f t="shared" ref="E12:N12" si="0">E4-E6-E7-E8-E9-E10</f>
        <v>-108874950.86070313</v>
      </c>
      <c r="F12" s="250">
        <f t="shared" si="0"/>
        <v>-109955190.22802323</v>
      </c>
      <c r="G12" s="250">
        <f t="shared" si="0"/>
        <v>-111470453.22483802</v>
      </c>
      <c r="H12" s="250">
        <f t="shared" si="0"/>
        <v>-112733445.26422065</v>
      </c>
      <c r="I12" s="250">
        <f t="shared" si="0"/>
        <v>-114592352.98769021</v>
      </c>
      <c r="J12" s="250">
        <f t="shared" si="0"/>
        <v>-115956620.57506314</v>
      </c>
      <c r="K12" s="250">
        <f t="shared" si="0"/>
        <v>-114141032.58849511</v>
      </c>
      <c r="L12" s="250">
        <f t="shared" si="0"/>
        <v>-112025037.78158651</v>
      </c>
      <c r="M12" s="250">
        <f t="shared" si="0"/>
        <v>-132394431.67169744</v>
      </c>
      <c r="N12" s="250">
        <f t="shared" si="0"/>
        <v>-126211212.03950363</v>
      </c>
      <c r="O12" s="250">
        <f t="shared" ref="O12:X12" si="1">O4-O6-O7-O8-O9-O10</f>
        <v>-2862164.3583932715</v>
      </c>
      <c r="P12" s="250">
        <f t="shared" si="1"/>
        <v>0</v>
      </c>
      <c r="Q12" s="250">
        <f t="shared" si="1"/>
        <v>0</v>
      </c>
      <c r="R12" s="250">
        <f t="shared" si="1"/>
        <v>0</v>
      </c>
      <c r="S12" s="250">
        <f t="shared" si="1"/>
        <v>0</v>
      </c>
      <c r="T12" s="250">
        <f t="shared" si="1"/>
        <v>0</v>
      </c>
      <c r="U12" s="250">
        <f t="shared" si="1"/>
        <v>0</v>
      </c>
      <c r="V12" s="250">
        <f t="shared" si="1"/>
        <v>0</v>
      </c>
      <c r="W12" s="250">
        <f t="shared" si="1"/>
        <v>0</v>
      </c>
      <c r="X12" s="250">
        <f t="shared" si="1"/>
        <v>0</v>
      </c>
      <c r="Y12" s="250">
        <f t="shared" ref="Y12:AL12" si="2">Y4-Y6-Y7-Y8-Y9-Y10</f>
        <v>0</v>
      </c>
      <c r="Z12" s="250">
        <f t="shared" si="2"/>
        <v>0</v>
      </c>
      <c r="AA12" s="250">
        <f t="shared" si="2"/>
        <v>0</v>
      </c>
      <c r="AB12" s="250">
        <f t="shared" si="2"/>
        <v>0</v>
      </c>
      <c r="AC12" s="250">
        <f t="shared" si="2"/>
        <v>0</v>
      </c>
      <c r="AD12" s="250">
        <f t="shared" si="2"/>
        <v>0</v>
      </c>
      <c r="AE12" s="250">
        <f t="shared" si="2"/>
        <v>0</v>
      </c>
      <c r="AF12" s="250">
        <f t="shared" si="2"/>
        <v>0</v>
      </c>
      <c r="AG12" s="250">
        <f t="shared" si="2"/>
        <v>0</v>
      </c>
      <c r="AH12" s="250">
        <f t="shared" si="2"/>
        <v>0</v>
      </c>
      <c r="AI12" s="250">
        <f t="shared" si="2"/>
        <v>0</v>
      </c>
      <c r="AJ12" s="250">
        <f t="shared" si="2"/>
        <v>0</v>
      </c>
      <c r="AK12" s="250">
        <f t="shared" si="2"/>
        <v>0</v>
      </c>
      <c r="AL12" s="250">
        <f t="shared" si="2"/>
        <v>0</v>
      </c>
    </row>
    <row r="13" spans="1:38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</row>
    <row r="14" spans="1:38">
      <c r="A14" s="248">
        <v>8</v>
      </c>
      <c r="B14" s="33"/>
      <c r="C14" s="33" t="s">
        <v>6</v>
      </c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</row>
    <row r="15" spans="1:38">
      <c r="A15" s="248">
        <v>9</v>
      </c>
      <c r="B15" s="33"/>
      <c r="C15" s="33" t="s">
        <v>56</v>
      </c>
      <c r="D15" s="28">
        <f>SIT!D14</f>
        <v>29141532.592145804</v>
      </c>
      <c r="E15" s="28">
        <f>SIT!E14</f>
        <v>8210432.6407843251</v>
      </c>
      <c r="F15" s="28">
        <f>SIT!F14</f>
        <v>11678759.022029147</v>
      </c>
      <c r="G15" s="28">
        <f>SIT!G14</f>
        <v>15323358.018916653</v>
      </c>
      <c r="H15" s="28">
        <f>SIT!H14</f>
        <v>18750979.969728921</v>
      </c>
      <c r="I15" s="28">
        <f>SIT!I14</f>
        <v>22064340.606592443</v>
      </c>
      <c r="J15" s="28">
        <f>SIT!J14</f>
        <v>25261779.680674497</v>
      </c>
      <c r="K15" s="28">
        <f>SIT!K14</f>
        <v>28551665.527873076</v>
      </c>
      <c r="L15" s="28">
        <f>SIT!L14</f>
        <v>30587609.68930582</v>
      </c>
      <c r="M15" s="28">
        <f>SIT!M14</f>
        <v>56513289.094301559</v>
      </c>
      <c r="N15" s="28">
        <f>SIT!N14</f>
        <v>56884717.350533351</v>
      </c>
      <c r="O15" s="28">
        <f>SIT!O14</f>
        <v>57168967.510102294</v>
      </c>
      <c r="P15" s="28">
        <f>SIT!P14</f>
        <v>0</v>
      </c>
      <c r="Q15" s="28">
        <f>SIT!Q14</f>
        <v>0</v>
      </c>
      <c r="R15" s="28">
        <f>SIT!R14</f>
        <v>0</v>
      </c>
      <c r="S15" s="28">
        <f>SIT!S14</f>
        <v>0</v>
      </c>
      <c r="T15" s="28">
        <f>SIT!T14</f>
        <v>0</v>
      </c>
      <c r="U15" s="28">
        <f>SIT!U14</f>
        <v>0</v>
      </c>
      <c r="V15" s="28">
        <f>SIT!V14</f>
        <v>0</v>
      </c>
      <c r="W15" s="28">
        <f>SIT!W14</f>
        <v>0</v>
      </c>
      <c r="X15" s="28">
        <f>SIT!X14</f>
        <v>0</v>
      </c>
      <c r="Y15" s="28">
        <f>SIT!Y14</f>
        <v>0</v>
      </c>
      <c r="Z15" s="28">
        <f>SIT!Z14</f>
        <v>0</v>
      </c>
      <c r="AA15" s="28">
        <f>SIT!AA14</f>
        <v>0</v>
      </c>
      <c r="AB15" s="28">
        <f>SIT!AB14</f>
        <v>0</v>
      </c>
      <c r="AC15" s="28">
        <f>SIT!AC14</f>
        <v>0</v>
      </c>
      <c r="AD15" s="28">
        <f>SIT!AD14</f>
        <v>0</v>
      </c>
      <c r="AE15" s="28">
        <f>SIT!AE14</f>
        <v>0</v>
      </c>
      <c r="AF15" s="28">
        <f>SIT!AF14</f>
        <v>0</v>
      </c>
      <c r="AG15" s="28">
        <f>SIT!AG14</f>
        <v>0</v>
      </c>
      <c r="AH15" s="28">
        <f>SIT!AH14</f>
        <v>0</v>
      </c>
      <c r="AI15" s="28">
        <f>SIT!AI14</f>
        <v>0</v>
      </c>
      <c r="AJ15" s="28">
        <f>SIT!AJ14</f>
        <v>0</v>
      </c>
      <c r="AK15" s="28">
        <f>SIT!AK14</f>
        <v>0</v>
      </c>
      <c r="AL15" s="28">
        <f>SIT!AL14</f>
        <v>0</v>
      </c>
    </row>
    <row r="16" spans="1:38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</row>
    <row r="17" spans="1:38">
      <c r="A17" s="248">
        <v>10</v>
      </c>
      <c r="B17" s="33"/>
      <c r="C17" s="33" t="s">
        <v>57</v>
      </c>
      <c r="D17" s="256">
        <f>SUM(D12:D15)</f>
        <v>-79456263.76344198</v>
      </c>
      <c r="E17" s="256">
        <f t="shared" ref="E17:N17" si="3">SUM(E12:E15)</f>
        <v>-100664518.2199188</v>
      </c>
      <c r="F17" s="256">
        <f t="shared" si="3"/>
        <v>-98276431.205994084</v>
      </c>
      <c r="G17" s="256">
        <f t="shared" si="3"/>
        <v>-96147095.205921367</v>
      </c>
      <c r="H17" s="256">
        <f t="shared" si="3"/>
        <v>-93982465.294491738</v>
      </c>
      <c r="I17" s="256">
        <f t="shared" si="3"/>
        <v>-92528012.381097764</v>
      </c>
      <c r="J17" s="256">
        <f t="shared" si="3"/>
        <v>-90694840.894388646</v>
      </c>
      <c r="K17" s="256">
        <f t="shared" si="3"/>
        <v>-85589367.060622036</v>
      </c>
      <c r="L17" s="256">
        <f t="shared" si="3"/>
        <v>-81437428.092280686</v>
      </c>
      <c r="M17" s="256">
        <f t="shared" si="3"/>
        <v>-75881142.577395886</v>
      </c>
      <c r="N17" s="256">
        <f t="shared" si="3"/>
        <v>-69326494.688970283</v>
      </c>
      <c r="O17" s="256">
        <f t="shared" ref="O17:X17" si="4">SUM(O12:O15)</f>
        <v>54306803.15170902</v>
      </c>
      <c r="P17" s="256">
        <f t="shared" si="4"/>
        <v>0</v>
      </c>
      <c r="Q17" s="256">
        <f t="shared" si="4"/>
        <v>0</v>
      </c>
      <c r="R17" s="256">
        <f t="shared" si="4"/>
        <v>0</v>
      </c>
      <c r="S17" s="256">
        <f t="shared" si="4"/>
        <v>0</v>
      </c>
      <c r="T17" s="256">
        <f t="shared" si="4"/>
        <v>0</v>
      </c>
      <c r="U17" s="256">
        <f t="shared" si="4"/>
        <v>0</v>
      </c>
      <c r="V17" s="256">
        <f t="shared" si="4"/>
        <v>0</v>
      </c>
      <c r="W17" s="256">
        <f t="shared" si="4"/>
        <v>0</v>
      </c>
      <c r="X17" s="256">
        <f t="shared" si="4"/>
        <v>0</v>
      </c>
      <c r="Y17" s="256">
        <f t="shared" ref="Y17:AL17" si="5">SUM(Y12:Y15)</f>
        <v>0</v>
      </c>
      <c r="Z17" s="256">
        <f t="shared" si="5"/>
        <v>0</v>
      </c>
      <c r="AA17" s="256">
        <f t="shared" si="5"/>
        <v>0</v>
      </c>
      <c r="AB17" s="256">
        <f t="shared" si="5"/>
        <v>0</v>
      </c>
      <c r="AC17" s="256">
        <f t="shared" si="5"/>
        <v>0</v>
      </c>
      <c r="AD17" s="256">
        <f t="shared" si="5"/>
        <v>0</v>
      </c>
      <c r="AE17" s="256">
        <f t="shared" si="5"/>
        <v>0</v>
      </c>
      <c r="AF17" s="256">
        <f t="shared" si="5"/>
        <v>0</v>
      </c>
      <c r="AG17" s="256">
        <f t="shared" si="5"/>
        <v>0</v>
      </c>
      <c r="AH17" s="256">
        <f t="shared" si="5"/>
        <v>0</v>
      </c>
      <c r="AI17" s="256">
        <f t="shared" si="5"/>
        <v>0</v>
      </c>
      <c r="AJ17" s="256">
        <f t="shared" si="5"/>
        <v>0</v>
      </c>
      <c r="AK17" s="256">
        <f t="shared" si="5"/>
        <v>0</v>
      </c>
      <c r="AL17" s="256">
        <f t="shared" si="5"/>
        <v>0</v>
      </c>
    </row>
    <row r="18" spans="1:38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</row>
    <row r="19" spans="1:38">
      <c r="A19" s="248">
        <v>11</v>
      </c>
      <c r="B19" s="33"/>
      <c r="C19" s="33" t="s">
        <v>58</v>
      </c>
      <c r="D19" s="257">
        <f>Input!$B$35</f>
        <v>0.21</v>
      </c>
      <c r="E19" s="257">
        <f>Input!$B$35</f>
        <v>0.21</v>
      </c>
      <c r="F19" s="257">
        <f>Input!$B$35</f>
        <v>0.21</v>
      </c>
      <c r="G19" s="257">
        <f>Input!$B$35</f>
        <v>0.21</v>
      </c>
      <c r="H19" s="257">
        <f>Input!$B$35</f>
        <v>0.21</v>
      </c>
      <c r="I19" s="257">
        <f>Input!$B$35</f>
        <v>0.21</v>
      </c>
      <c r="J19" s="257">
        <f>Input!$B$35</f>
        <v>0.21</v>
      </c>
      <c r="K19" s="257">
        <f>Input!$B$35</f>
        <v>0.21</v>
      </c>
      <c r="L19" s="257">
        <f>Input!$B$35</f>
        <v>0.21</v>
      </c>
      <c r="M19" s="257">
        <f>Input!$B$35</f>
        <v>0.21</v>
      </c>
      <c r="N19" s="257">
        <f>Input!$B$35</f>
        <v>0.21</v>
      </c>
      <c r="O19" s="257">
        <f>Input!$B$35</f>
        <v>0.21</v>
      </c>
      <c r="P19" s="257">
        <f>Input!$B$35</f>
        <v>0.21</v>
      </c>
      <c r="Q19" s="257">
        <f>Input!$B$35</f>
        <v>0.21</v>
      </c>
      <c r="R19" s="257">
        <f>Input!$B$35</f>
        <v>0.21</v>
      </c>
      <c r="S19" s="257">
        <f>Input!$B$35</f>
        <v>0.21</v>
      </c>
      <c r="T19" s="257">
        <f>Input!$B$35</f>
        <v>0.21</v>
      </c>
      <c r="U19" s="257">
        <f>Input!$B$35</f>
        <v>0.21</v>
      </c>
      <c r="V19" s="257">
        <f>Input!$B$35</f>
        <v>0.21</v>
      </c>
      <c r="W19" s="257">
        <f>Input!$B$35</f>
        <v>0.21</v>
      </c>
      <c r="X19" s="257">
        <f>Input!$B$35</f>
        <v>0.21</v>
      </c>
      <c r="Y19" s="257">
        <f>Input!$B$35</f>
        <v>0.21</v>
      </c>
      <c r="Z19" s="257">
        <f>Input!$B$35</f>
        <v>0.21</v>
      </c>
      <c r="AA19" s="257">
        <f>Input!$B$35</f>
        <v>0.21</v>
      </c>
      <c r="AB19" s="257">
        <f>Input!$B$35</f>
        <v>0.21</v>
      </c>
      <c r="AC19" s="257">
        <f>Input!$B$35</f>
        <v>0.21</v>
      </c>
      <c r="AD19" s="257">
        <f>Input!$B$35</f>
        <v>0.21</v>
      </c>
      <c r="AE19" s="257">
        <f>Input!$B$35</f>
        <v>0.21</v>
      </c>
      <c r="AF19" s="257">
        <f>Input!$B$35</f>
        <v>0.21</v>
      </c>
      <c r="AG19" s="257">
        <f>Input!$B$35</f>
        <v>0.21</v>
      </c>
      <c r="AH19" s="257">
        <f>Input!$B$35</f>
        <v>0.21</v>
      </c>
      <c r="AI19" s="257">
        <f>Input!$B$35</f>
        <v>0.21</v>
      </c>
      <c r="AJ19" s="257">
        <f>Input!$B$35</f>
        <v>0.21</v>
      </c>
      <c r="AK19" s="257">
        <f>Input!$B$35</f>
        <v>0.21</v>
      </c>
      <c r="AL19" s="257">
        <f>Input!$B$35</f>
        <v>0.21</v>
      </c>
    </row>
    <row r="20" spans="1:38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</row>
    <row r="21" spans="1:38">
      <c r="A21" s="248">
        <v>12</v>
      </c>
      <c r="B21" s="33"/>
      <c r="C21" s="33" t="s">
        <v>59</v>
      </c>
      <c r="D21" s="256">
        <f>D19*D17</f>
        <v>-16685815.390322816</v>
      </c>
      <c r="E21" s="256">
        <f t="shared" ref="E21:N21" si="6">E19*E17</f>
        <v>-21139548.826182947</v>
      </c>
      <c r="F21" s="256">
        <f t="shared" si="6"/>
        <v>-20638050.553258758</v>
      </c>
      <c r="G21" s="256">
        <f t="shared" si="6"/>
        <v>-20190889.993243486</v>
      </c>
      <c r="H21" s="256">
        <f t="shared" si="6"/>
        <v>-19736317.711843263</v>
      </c>
      <c r="I21" s="256">
        <f t="shared" si="6"/>
        <v>-19430882.60003053</v>
      </c>
      <c r="J21" s="256">
        <f t="shared" si="6"/>
        <v>-19045916.587821614</v>
      </c>
      <c r="K21" s="256">
        <f t="shared" si="6"/>
        <v>-17973767.082730629</v>
      </c>
      <c r="L21" s="256">
        <f t="shared" si="6"/>
        <v>-17101859.899378944</v>
      </c>
      <c r="M21" s="256">
        <f t="shared" si="6"/>
        <v>-15935039.941253135</v>
      </c>
      <c r="N21" s="256">
        <f t="shared" si="6"/>
        <v>-14558563.884683758</v>
      </c>
      <c r="O21" s="256">
        <f t="shared" ref="O21:X21" si="7">O19*O17</f>
        <v>11404428.661858894</v>
      </c>
      <c r="P21" s="256">
        <f t="shared" si="7"/>
        <v>0</v>
      </c>
      <c r="Q21" s="256">
        <f t="shared" si="7"/>
        <v>0</v>
      </c>
      <c r="R21" s="256">
        <f t="shared" si="7"/>
        <v>0</v>
      </c>
      <c r="S21" s="256">
        <f t="shared" si="7"/>
        <v>0</v>
      </c>
      <c r="T21" s="256">
        <f t="shared" si="7"/>
        <v>0</v>
      </c>
      <c r="U21" s="256">
        <f t="shared" si="7"/>
        <v>0</v>
      </c>
      <c r="V21" s="256">
        <f t="shared" si="7"/>
        <v>0</v>
      </c>
      <c r="W21" s="256">
        <f t="shared" si="7"/>
        <v>0</v>
      </c>
      <c r="X21" s="256">
        <f t="shared" si="7"/>
        <v>0</v>
      </c>
      <c r="Y21" s="256">
        <f t="shared" ref="Y21:AL21" si="8">Y19*Y17</f>
        <v>0</v>
      </c>
      <c r="Z21" s="256">
        <f t="shared" si="8"/>
        <v>0</v>
      </c>
      <c r="AA21" s="256">
        <f t="shared" si="8"/>
        <v>0</v>
      </c>
      <c r="AB21" s="256">
        <f t="shared" si="8"/>
        <v>0</v>
      </c>
      <c r="AC21" s="256">
        <f t="shared" si="8"/>
        <v>0</v>
      </c>
      <c r="AD21" s="256">
        <f t="shared" si="8"/>
        <v>0</v>
      </c>
      <c r="AE21" s="256">
        <f t="shared" si="8"/>
        <v>0</v>
      </c>
      <c r="AF21" s="256">
        <f t="shared" si="8"/>
        <v>0</v>
      </c>
      <c r="AG21" s="256">
        <f t="shared" si="8"/>
        <v>0</v>
      </c>
      <c r="AH21" s="256">
        <f t="shared" si="8"/>
        <v>0</v>
      </c>
      <c r="AI21" s="256">
        <f t="shared" si="8"/>
        <v>0</v>
      </c>
      <c r="AJ21" s="256">
        <f t="shared" si="8"/>
        <v>0</v>
      </c>
      <c r="AK21" s="256">
        <f t="shared" si="8"/>
        <v>0</v>
      </c>
      <c r="AL21" s="256">
        <f t="shared" si="8"/>
        <v>0</v>
      </c>
    </row>
    <row r="22" spans="1:38">
      <c r="A22" s="248"/>
      <c r="B22" s="33"/>
      <c r="C22" s="33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</row>
    <row r="23" spans="1:38">
      <c r="A23" s="248">
        <v>13</v>
      </c>
      <c r="B23" s="33"/>
      <c r="C23" s="33" t="s">
        <v>60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</row>
    <row r="24" spans="1:38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</row>
    <row r="25" spans="1:38" s="93" customFormat="1" ht="13">
      <c r="A25" s="246">
        <v>14</v>
      </c>
      <c r="B25" s="249"/>
      <c r="C25" s="249" t="s">
        <v>151</v>
      </c>
      <c r="D25" s="253">
        <f>D21</f>
        <v>-16685815.390322816</v>
      </c>
      <c r="E25" s="253">
        <f t="shared" ref="E25:N25" si="9">E21</f>
        <v>-21139548.826182947</v>
      </c>
      <c r="F25" s="253">
        <f t="shared" si="9"/>
        <v>-20638050.553258758</v>
      </c>
      <c r="G25" s="253">
        <f t="shared" si="9"/>
        <v>-20190889.993243486</v>
      </c>
      <c r="H25" s="253">
        <f t="shared" si="9"/>
        <v>-19736317.711843263</v>
      </c>
      <c r="I25" s="253">
        <f t="shared" si="9"/>
        <v>-19430882.60003053</v>
      </c>
      <c r="J25" s="253">
        <f t="shared" si="9"/>
        <v>-19045916.587821614</v>
      </c>
      <c r="K25" s="253">
        <f t="shared" si="9"/>
        <v>-17973767.082730629</v>
      </c>
      <c r="L25" s="253">
        <f t="shared" si="9"/>
        <v>-17101859.899378944</v>
      </c>
      <c r="M25" s="253">
        <f t="shared" si="9"/>
        <v>-15935039.941253135</v>
      </c>
      <c r="N25" s="253">
        <f t="shared" si="9"/>
        <v>-14558563.884683758</v>
      </c>
      <c r="O25" s="253">
        <f t="shared" ref="O25:X25" si="10">O21</f>
        <v>11404428.661858894</v>
      </c>
      <c r="P25" s="253">
        <f t="shared" si="10"/>
        <v>0</v>
      </c>
      <c r="Q25" s="253">
        <f t="shared" si="10"/>
        <v>0</v>
      </c>
      <c r="R25" s="253">
        <f t="shared" si="10"/>
        <v>0</v>
      </c>
      <c r="S25" s="253">
        <f t="shared" si="10"/>
        <v>0</v>
      </c>
      <c r="T25" s="253">
        <f t="shared" si="10"/>
        <v>0</v>
      </c>
      <c r="U25" s="253">
        <f t="shared" si="10"/>
        <v>0</v>
      </c>
      <c r="V25" s="253">
        <f t="shared" si="10"/>
        <v>0</v>
      </c>
      <c r="W25" s="253">
        <f t="shared" si="10"/>
        <v>0</v>
      </c>
      <c r="X25" s="253">
        <f t="shared" si="10"/>
        <v>0</v>
      </c>
      <c r="Y25" s="253">
        <f t="shared" ref="Y25:AL25" si="11">Y21</f>
        <v>0</v>
      </c>
      <c r="Z25" s="253">
        <f t="shared" si="11"/>
        <v>0</v>
      </c>
      <c r="AA25" s="253">
        <f t="shared" si="11"/>
        <v>0</v>
      </c>
      <c r="AB25" s="253">
        <f t="shared" si="11"/>
        <v>0</v>
      </c>
      <c r="AC25" s="253">
        <f t="shared" si="11"/>
        <v>0</v>
      </c>
      <c r="AD25" s="253">
        <f t="shared" si="11"/>
        <v>0</v>
      </c>
      <c r="AE25" s="253">
        <f t="shared" si="11"/>
        <v>0</v>
      </c>
      <c r="AF25" s="253">
        <f t="shared" si="11"/>
        <v>0</v>
      </c>
      <c r="AG25" s="253">
        <f t="shared" si="11"/>
        <v>0</v>
      </c>
      <c r="AH25" s="253">
        <f t="shared" si="11"/>
        <v>0</v>
      </c>
      <c r="AI25" s="253">
        <f t="shared" si="11"/>
        <v>0</v>
      </c>
      <c r="AJ25" s="253">
        <f t="shared" si="11"/>
        <v>0</v>
      </c>
      <c r="AK25" s="253">
        <f t="shared" si="11"/>
        <v>0</v>
      </c>
      <c r="AL25" s="253">
        <f t="shared" si="11"/>
        <v>0</v>
      </c>
    </row>
    <row r="27" spans="1:38">
      <c r="A27" s="248">
        <v>15</v>
      </c>
      <c r="B27" s="33"/>
      <c r="C27" s="33" t="s">
        <v>188</v>
      </c>
      <c r="D27" s="247">
        <f>'OPCO Rev Req'!B28</f>
        <v>145204640.70030209</v>
      </c>
      <c r="E27" s="247">
        <f>'OPCO Rev Req'!C28</f>
        <v>145075424.89865217</v>
      </c>
      <c r="F27" s="247">
        <f>'OPCO Rev Req'!D28</f>
        <v>144168726.99676189</v>
      </c>
      <c r="G27" s="247">
        <f>'OPCO Rev Req'!E28</f>
        <v>143805840.71583652</v>
      </c>
      <c r="H27" s="247">
        <f>'OPCO Rev Req'!F28</f>
        <v>143146571.34565035</v>
      </c>
      <c r="I27" s="247">
        <f>'OPCO Rev Req'!G28</f>
        <v>143093303.43548587</v>
      </c>
      <c r="J27" s="247">
        <f>'OPCO Rev Req'!H28</f>
        <v>142468862.73097605</v>
      </c>
      <c r="K27" s="247">
        <f>'OPCO Rev Req'!I28</f>
        <v>138038404.06283066</v>
      </c>
      <c r="L27" s="247">
        <f>'OPCO Rev Req'!J28</f>
        <v>133216940.69830853</v>
      </c>
      <c r="M27" s="247">
        <f>'OPCO Rev Req'!K28</f>
        <v>149859133.00631735</v>
      </c>
      <c r="N27" s="247">
        <f>'OPCO Rev Req'!L28</f>
        <v>139403486.44830006</v>
      </c>
      <c r="O27" s="247">
        <f>'OPCO Rev Req'!M28</f>
        <v>0</v>
      </c>
      <c r="P27" s="247">
        <f>'OPCO Rev Req'!N28</f>
        <v>0</v>
      </c>
      <c r="Q27" s="247">
        <f>'OPCO Rev Req'!O28</f>
        <v>0</v>
      </c>
      <c r="R27" s="247">
        <f>'OPCO Rev Req'!P28</f>
        <v>0</v>
      </c>
      <c r="S27" s="247">
        <f>'OPCO Rev Req'!Q28</f>
        <v>0</v>
      </c>
      <c r="T27" s="247">
        <f>'OPCO Rev Req'!R28</f>
        <v>0</v>
      </c>
      <c r="U27" s="247">
        <f>'OPCO Rev Req'!S28</f>
        <v>0</v>
      </c>
      <c r="V27" s="247">
        <f>'OPCO Rev Req'!T28</f>
        <v>0</v>
      </c>
      <c r="W27" s="247">
        <f>'OPCO Rev Req'!U28</f>
        <v>0</v>
      </c>
      <c r="X27" s="247">
        <f>'OPCO Rev Req'!V28</f>
        <v>0</v>
      </c>
      <c r="Y27" s="247">
        <f>'OPCO Rev Req'!W28</f>
        <v>0</v>
      </c>
      <c r="Z27" s="247">
        <f>'OPCO Rev Req'!X28</f>
        <v>0</v>
      </c>
      <c r="AA27" s="247">
        <f>'OPCO Rev Req'!Y28</f>
        <v>0</v>
      </c>
      <c r="AB27" s="247">
        <f>'OPCO Rev Req'!Z28</f>
        <v>0</v>
      </c>
      <c r="AC27" s="247">
        <f>'OPCO Rev Req'!AA28</f>
        <v>0</v>
      </c>
      <c r="AD27" s="247">
        <f>'OPCO Rev Req'!AB28</f>
        <v>0</v>
      </c>
      <c r="AE27" s="247">
        <f>'OPCO Rev Req'!AC28</f>
        <v>0</v>
      </c>
      <c r="AF27" s="247">
        <f>'OPCO Rev Req'!AD28</f>
        <v>0</v>
      </c>
      <c r="AG27" s="247">
        <f>'OPCO Rev Req'!AE28</f>
        <v>0</v>
      </c>
      <c r="AH27" s="247">
        <f>'OPCO Rev Req'!AF28</f>
        <v>0</v>
      </c>
      <c r="AI27" s="247">
        <f>'OPCO Rev Req'!AG28</f>
        <v>0</v>
      </c>
      <c r="AJ27" s="247">
        <f>'OPCO Rev Req'!AH28</f>
        <v>0</v>
      </c>
      <c r="AK27" s="247">
        <f>'OPCO Rev Req'!AI28</f>
        <v>0</v>
      </c>
      <c r="AL27" s="247">
        <f>'OPCO Rev Req'!AJ28</f>
        <v>0</v>
      </c>
    </row>
    <row r="28" spans="1:38">
      <c r="A28" s="33"/>
      <c r="B28" s="33"/>
      <c r="C28" s="33"/>
    </row>
    <row r="29" spans="1:38">
      <c r="A29" s="248">
        <v>16</v>
      </c>
      <c r="B29" s="33"/>
      <c r="C29" s="33" t="s">
        <v>192</v>
      </c>
      <c r="D29" s="254">
        <f>D27+D17</f>
        <v>65748376.936860114</v>
      </c>
      <c r="E29" s="254">
        <f t="shared" ref="E29:X29" si="12">E27+E17</f>
        <v>44410906.678733364</v>
      </c>
      <c r="F29" s="254">
        <f t="shared" si="12"/>
        <v>45892295.790767804</v>
      </c>
      <c r="G29" s="254">
        <f t="shared" si="12"/>
        <v>47658745.509915158</v>
      </c>
      <c r="H29" s="254">
        <f t="shared" si="12"/>
        <v>49164106.051158607</v>
      </c>
      <c r="I29" s="254">
        <f t="shared" si="12"/>
        <v>50565291.054388106</v>
      </c>
      <c r="J29" s="254">
        <f t="shared" si="12"/>
        <v>51774021.836587399</v>
      </c>
      <c r="K29" s="254">
        <f t="shared" si="12"/>
        <v>52449037.00220862</v>
      </c>
      <c r="L29" s="254">
        <f t="shared" si="12"/>
        <v>51779512.606027842</v>
      </c>
      <c r="M29" s="254">
        <f t="shared" si="12"/>
        <v>73977990.428921461</v>
      </c>
      <c r="N29" s="254">
        <f t="shared" si="12"/>
        <v>70076991.759329781</v>
      </c>
      <c r="O29" s="254">
        <f t="shared" si="12"/>
        <v>54306803.15170902</v>
      </c>
      <c r="P29" s="254">
        <f t="shared" si="12"/>
        <v>0</v>
      </c>
      <c r="Q29" s="254">
        <f t="shared" si="12"/>
        <v>0</v>
      </c>
      <c r="R29" s="254">
        <f t="shared" si="12"/>
        <v>0</v>
      </c>
      <c r="S29" s="254">
        <f t="shared" si="12"/>
        <v>0</v>
      </c>
      <c r="T29" s="254">
        <f t="shared" si="12"/>
        <v>0</v>
      </c>
      <c r="U29" s="254">
        <f t="shared" si="12"/>
        <v>0</v>
      </c>
      <c r="V29" s="254">
        <f t="shared" si="12"/>
        <v>0</v>
      </c>
      <c r="W29" s="254">
        <f t="shared" si="12"/>
        <v>0</v>
      </c>
      <c r="X29" s="254">
        <f t="shared" si="12"/>
        <v>0</v>
      </c>
      <c r="Y29" s="254">
        <f t="shared" ref="Y29:AL29" si="13">Y27+Y17</f>
        <v>0</v>
      </c>
      <c r="Z29" s="254">
        <f t="shared" si="13"/>
        <v>0</v>
      </c>
      <c r="AA29" s="254">
        <f t="shared" si="13"/>
        <v>0</v>
      </c>
      <c r="AB29" s="254">
        <f t="shared" si="13"/>
        <v>0</v>
      </c>
      <c r="AC29" s="254">
        <f t="shared" si="13"/>
        <v>0</v>
      </c>
      <c r="AD29" s="254">
        <f t="shared" si="13"/>
        <v>0</v>
      </c>
      <c r="AE29" s="254">
        <f t="shared" si="13"/>
        <v>0</v>
      </c>
      <c r="AF29" s="254">
        <f t="shared" si="13"/>
        <v>0</v>
      </c>
      <c r="AG29" s="254">
        <f t="shared" si="13"/>
        <v>0</v>
      </c>
      <c r="AH29" s="254">
        <f t="shared" si="13"/>
        <v>0</v>
      </c>
      <c r="AI29" s="254">
        <f t="shared" si="13"/>
        <v>0</v>
      </c>
      <c r="AJ29" s="254">
        <f t="shared" si="13"/>
        <v>0</v>
      </c>
      <c r="AK29" s="254">
        <f t="shared" si="13"/>
        <v>0</v>
      </c>
      <c r="AL29" s="254">
        <f t="shared" si="13"/>
        <v>0</v>
      </c>
    </row>
    <row r="30" spans="1:38">
      <c r="A30" s="33"/>
      <c r="B30" s="33"/>
      <c r="C30" s="33"/>
    </row>
    <row r="31" spans="1:38" s="93" customFormat="1" ht="13">
      <c r="A31" s="246">
        <v>17</v>
      </c>
      <c r="B31" s="249"/>
      <c r="C31" s="249" t="s">
        <v>191</v>
      </c>
      <c r="D31" s="253">
        <f>D29*D19</f>
        <v>13807159.156740623</v>
      </c>
      <c r="E31" s="253">
        <f t="shared" ref="E31:X31" si="14">E29*E19</f>
        <v>9326290.4025340062</v>
      </c>
      <c r="F31" s="253">
        <f t="shared" si="14"/>
        <v>9637382.1160612386</v>
      </c>
      <c r="G31" s="253">
        <f t="shared" si="14"/>
        <v>10008336.557082184</v>
      </c>
      <c r="H31" s="253">
        <f t="shared" si="14"/>
        <v>10324462.270743307</v>
      </c>
      <c r="I31" s="253">
        <f t="shared" si="14"/>
        <v>10618711.121421501</v>
      </c>
      <c r="J31" s="253">
        <f t="shared" si="14"/>
        <v>10872544.585683353</v>
      </c>
      <c r="K31" s="253">
        <f t="shared" si="14"/>
        <v>11014297.770463809</v>
      </c>
      <c r="L31" s="253">
        <f t="shared" si="14"/>
        <v>10873697.647265846</v>
      </c>
      <c r="M31" s="253">
        <f t="shared" si="14"/>
        <v>15535377.990073506</v>
      </c>
      <c r="N31" s="253">
        <f t="shared" si="14"/>
        <v>14716168.269459253</v>
      </c>
      <c r="O31" s="253">
        <f t="shared" si="14"/>
        <v>11404428.661858894</v>
      </c>
      <c r="P31" s="253">
        <f t="shared" si="14"/>
        <v>0</v>
      </c>
      <c r="Q31" s="253">
        <f t="shared" si="14"/>
        <v>0</v>
      </c>
      <c r="R31" s="253">
        <f t="shared" si="14"/>
        <v>0</v>
      </c>
      <c r="S31" s="253">
        <f t="shared" si="14"/>
        <v>0</v>
      </c>
      <c r="T31" s="253">
        <f t="shared" si="14"/>
        <v>0</v>
      </c>
      <c r="U31" s="253">
        <f t="shared" si="14"/>
        <v>0</v>
      </c>
      <c r="V31" s="253">
        <f t="shared" si="14"/>
        <v>0</v>
      </c>
      <c r="W31" s="253">
        <f t="shared" si="14"/>
        <v>0</v>
      </c>
      <c r="X31" s="253">
        <f t="shared" si="14"/>
        <v>0</v>
      </c>
      <c r="Y31" s="253">
        <f t="shared" ref="Y31:AL31" si="15">Y29*Y19</f>
        <v>0</v>
      </c>
      <c r="Z31" s="253">
        <f t="shared" si="15"/>
        <v>0</v>
      </c>
      <c r="AA31" s="253">
        <f t="shared" si="15"/>
        <v>0</v>
      </c>
      <c r="AB31" s="253">
        <f t="shared" si="15"/>
        <v>0</v>
      </c>
      <c r="AC31" s="253">
        <f t="shared" si="15"/>
        <v>0</v>
      </c>
      <c r="AD31" s="253">
        <f t="shared" si="15"/>
        <v>0</v>
      </c>
      <c r="AE31" s="253">
        <f t="shared" si="15"/>
        <v>0</v>
      </c>
      <c r="AF31" s="253">
        <f t="shared" si="15"/>
        <v>0</v>
      </c>
      <c r="AG31" s="253">
        <f t="shared" si="15"/>
        <v>0</v>
      </c>
      <c r="AH31" s="253">
        <f t="shared" si="15"/>
        <v>0</v>
      </c>
      <c r="AI31" s="253">
        <f t="shared" si="15"/>
        <v>0</v>
      </c>
      <c r="AJ31" s="253">
        <f t="shared" si="15"/>
        <v>0</v>
      </c>
      <c r="AK31" s="253">
        <f t="shared" si="15"/>
        <v>0</v>
      </c>
      <c r="AL31" s="253">
        <f t="shared" si="15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D2871-4712-4121-A832-8238E7D91233}">
  <sheetPr codeName="Sheet10"/>
  <dimension ref="A1:G23"/>
  <sheetViews>
    <sheetView workbookViewId="0">
      <selection activeCell="D5" sqref="D5"/>
    </sheetView>
  </sheetViews>
  <sheetFormatPr defaultRowHeight="12.5"/>
  <cols>
    <col min="1" max="1" width="3" bestFit="1" customWidth="1"/>
    <col min="2" max="4" width="12" bestFit="1" customWidth="1"/>
    <col min="5" max="7" width="13.1796875" bestFit="1" customWidth="1"/>
  </cols>
  <sheetData>
    <row r="1" spans="1:7" ht="14.5">
      <c r="A1" s="140"/>
      <c r="B1" s="141" t="s">
        <v>194</v>
      </c>
      <c r="C1" s="141" t="s">
        <v>195</v>
      </c>
      <c r="D1" s="141" t="s">
        <v>196</v>
      </c>
      <c r="E1" s="141" t="s">
        <v>197</v>
      </c>
      <c r="F1" s="141" t="s">
        <v>198</v>
      </c>
      <c r="G1" s="141" t="s">
        <v>199</v>
      </c>
    </row>
    <row r="2" spans="1:7" ht="14.5">
      <c r="A2" s="141">
        <v>1</v>
      </c>
      <c r="B2" s="142">
        <v>0.33329999999999999</v>
      </c>
      <c r="C2" s="142">
        <v>0.2</v>
      </c>
      <c r="D2" s="142">
        <v>0.1429</v>
      </c>
      <c r="E2" s="142">
        <v>0.1</v>
      </c>
      <c r="F2" s="142">
        <v>0.05</v>
      </c>
      <c r="G2" s="142">
        <v>3.7499999999999999E-2</v>
      </c>
    </row>
    <row r="3" spans="1:7" ht="14.5">
      <c r="A3" s="141">
        <v>2</v>
      </c>
      <c r="B3" s="142">
        <v>0.44450000000000001</v>
      </c>
      <c r="C3" s="142">
        <v>0.32</v>
      </c>
      <c r="D3" s="142">
        <v>0.24490000000000001</v>
      </c>
      <c r="E3" s="142">
        <v>0.18</v>
      </c>
      <c r="F3" s="142">
        <v>9.5000000000000001E-2</v>
      </c>
      <c r="G3" s="142">
        <v>7.2190000000000004E-2</v>
      </c>
    </row>
    <row r="4" spans="1:7" ht="14.5">
      <c r="A4" s="141">
        <v>3</v>
      </c>
      <c r="B4" s="142">
        <v>0.14810000000000001</v>
      </c>
      <c r="C4" s="142">
        <v>0.192</v>
      </c>
      <c r="D4" s="142">
        <v>0.1749</v>
      </c>
      <c r="E4" s="142">
        <v>0.14399999999999999</v>
      </c>
      <c r="F4" s="142">
        <v>8.5500000000000007E-2</v>
      </c>
      <c r="G4" s="142">
        <v>6.6769999999999996E-2</v>
      </c>
    </row>
    <row r="5" spans="1:7" ht="14.5">
      <c r="A5" s="141">
        <v>4</v>
      </c>
      <c r="B5" s="142">
        <v>7.4099999999999999E-2</v>
      </c>
      <c r="C5" s="142">
        <v>0.1152</v>
      </c>
      <c r="D5" s="142">
        <v>0.1249</v>
      </c>
      <c r="E5" s="142">
        <v>0.1152</v>
      </c>
      <c r="F5" s="142">
        <v>7.6999999999999999E-2</v>
      </c>
      <c r="G5" s="142">
        <v>6.1769999999999999E-2</v>
      </c>
    </row>
    <row r="6" spans="1:7" ht="14.5">
      <c r="A6" s="141">
        <v>5</v>
      </c>
      <c r="B6" s="142"/>
      <c r="C6" s="142">
        <v>0.1152</v>
      </c>
      <c r="D6" s="142">
        <v>8.9300000000000004E-2</v>
      </c>
      <c r="E6" s="142">
        <v>9.2200000000000004E-2</v>
      </c>
      <c r="F6" s="142">
        <v>6.93E-2</v>
      </c>
      <c r="G6" s="142">
        <v>5.713E-2</v>
      </c>
    </row>
    <row r="7" spans="1:7" ht="14.5">
      <c r="A7" s="141">
        <v>6</v>
      </c>
      <c r="B7" s="142"/>
      <c r="C7" s="142">
        <v>5.7599999999999998E-2</v>
      </c>
      <c r="D7" s="142">
        <v>8.9200000000000002E-2</v>
      </c>
      <c r="E7" s="142">
        <v>7.3700000000000002E-2</v>
      </c>
      <c r="F7" s="142">
        <v>6.2300000000000001E-2</v>
      </c>
      <c r="G7" s="142">
        <v>5.2850000000000001E-2</v>
      </c>
    </row>
    <row r="8" spans="1:7" ht="14.5">
      <c r="A8" s="141">
        <v>7</v>
      </c>
      <c r="B8" s="142"/>
      <c r="C8" s="142"/>
      <c r="D8" s="142">
        <v>8.9300000000000004E-2</v>
      </c>
      <c r="E8" s="142">
        <v>6.5500000000000003E-2</v>
      </c>
      <c r="F8" s="142">
        <v>5.8999999999999997E-2</v>
      </c>
      <c r="G8" s="142">
        <v>4.888E-2</v>
      </c>
    </row>
    <row r="9" spans="1:7" ht="14.5">
      <c r="A9" s="141">
        <v>8</v>
      </c>
      <c r="B9" s="142"/>
      <c r="C9" s="142"/>
      <c r="D9" s="142">
        <v>4.4600000000000001E-2</v>
      </c>
      <c r="E9" s="142">
        <v>6.5500000000000003E-2</v>
      </c>
      <c r="F9" s="142">
        <v>5.8999999999999997E-2</v>
      </c>
      <c r="G9" s="142">
        <v>4.5220000000000003E-2</v>
      </c>
    </row>
    <row r="10" spans="1:7" ht="14.5">
      <c r="A10" s="141">
        <v>9</v>
      </c>
      <c r="B10" s="142"/>
      <c r="C10" s="142"/>
      <c r="D10" s="142"/>
      <c r="E10" s="142">
        <v>6.5600000000000006E-2</v>
      </c>
      <c r="F10" s="142">
        <v>5.91E-2</v>
      </c>
      <c r="G10" s="142">
        <v>4.462E-2</v>
      </c>
    </row>
    <row r="11" spans="1:7" ht="14.5">
      <c r="A11" s="141">
        <v>10</v>
      </c>
      <c r="B11" s="142"/>
      <c r="C11" s="142"/>
      <c r="D11" s="142"/>
      <c r="E11" s="142">
        <v>6.5500000000000003E-2</v>
      </c>
      <c r="F11" s="142">
        <v>5.8999999999999997E-2</v>
      </c>
      <c r="G11" s="142">
        <v>4.4609999999999997E-2</v>
      </c>
    </row>
    <row r="12" spans="1:7" ht="14.5">
      <c r="A12" s="141">
        <v>11</v>
      </c>
      <c r="B12" s="142"/>
      <c r="C12" s="142"/>
      <c r="D12" s="142"/>
      <c r="E12" s="142">
        <v>3.2800000000000003E-2</v>
      </c>
      <c r="F12" s="142">
        <v>5.91E-2</v>
      </c>
      <c r="G12" s="142">
        <v>4.462E-2</v>
      </c>
    </row>
    <row r="13" spans="1:7" ht="14.5">
      <c r="A13" s="141">
        <v>12</v>
      </c>
      <c r="B13" s="142"/>
      <c r="C13" s="142"/>
      <c r="D13" s="142"/>
      <c r="E13" s="142"/>
      <c r="F13" s="142">
        <v>5.8999999999999997E-2</v>
      </c>
      <c r="G13" s="142">
        <v>4.4609999999999997E-2</v>
      </c>
    </row>
    <row r="14" spans="1:7" ht="14.5">
      <c r="A14" s="141">
        <v>13</v>
      </c>
      <c r="B14" s="142"/>
      <c r="C14" s="142"/>
      <c r="D14" s="142"/>
      <c r="E14" s="142"/>
      <c r="F14" s="142">
        <v>5.91E-2</v>
      </c>
      <c r="G14" s="142">
        <v>4.462E-2</v>
      </c>
    </row>
    <row r="15" spans="1:7" ht="14.5">
      <c r="A15" s="141">
        <v>14</v>
      </c>
      <c r="B15" s="142"/>
      <c r="C15" s="142"/>
      <c r="D15" s="142"/>
      <c r="E15" s="142"/>
      <c r="F15" s="142">
        <v>5.8999999999999997E-2</v>
      </c>
      <c r="G15" s="142">
        <v>4.4609999999999997E-2</v>
      </c>
    </row>
    <row r="16" spans="1:7" ht="14.5">
      <c r="A16" s="141">
        <v>15</v>
      </c>
      <c r="B16" s="142"/>
      <c r="C16" s="142"/>
      <c r="D16" s="142"/>
      <c r="E16" s="142"/>
      <c r="F16" s="142">
        <v>5.91E-2</v>
      </c>
      <c r="G16" s="142">
        <v>4.462E-2</v>
      </c>
    </row>
    <row r="17" spans="1:7" ht="14.5">
      <c r="A17" s="141">
        <v>16</v>
      </c>
      <c r="B17" s="142"/>
      <c r="C17" s="142"/>
      <c r="D17" s="142"/>
      <c r="E17" s="142"/>
      <c r="F17" s="142">
        <v>2.9499999999999998E-2</v>
      </c>
      <c r="G17" s="142">
        <v>4.4609999999999997E-2</v>
      </c>
    </row>
    <row r="18" spans="1:7" ht="14.5">
      <c r="A18" s="141">
        <v>17</v>
      </c>
      <c r="B18" s="142"/>
      <c r="C18" s="142"/>
      <c r="D18" s="142"/>
      <c r="E18" s="142"/>
      <c r="F18" s="142"/>
      <c r="G18" s="142">
        <v>4.462E-2</v>
      </c>
    </row>
    <row r="19" spans="1:7" ht="14.5">
      <c r="A19" s="141">
        <v>18</v>
      </c>
      <c r="B19" s="142"/>
      <c r="C19" s="142"/>
      <c r="D19" s="142"/>
      <c r="E19" s="142"/>
      <c r="F19" s="142"/>
      <c r="G19" s="142">
        <v>4.4609999999999997E-2</v>
      </c>
    </row>
    <row r="20" spans="1:7" ht="14.5">
      <c r="A20" s="141">
        <v>19</v>
      </c>
      <c r="B20" s="142"/>
      <c r="C20" s="142"/>
      <c r="D20" s="142"/>
      <c r="E20" s="142"/>
      <c r="F20" s="142"/>
      <c r="G20" s="142">
        <v>4.462E-2</v>
      </c>
    </row>
    <row r="21" spans="1:7" ht="14.5">
      <c r="A21" s="141">
        <v>20</v>
      </c>
      <c r="B21" s="142"/>
      <c r="C21" s="142"/>
      <c r="D21" s="142"/>
      <c r="E21" s="142"/>
      <c r="F21" s="142"/>
      <c r="G21" s="142">
        <v>4.4609999999999997E-2</v>
      </c>
    </row>
    <row r="22" spans="1:7" ht="14.5">
      <c r="A22" s="141">
        <v>21</v>
      </c>
      <c r="B22" s="142"/>
      <c r="C22" s="142"/>
      <c r="D22" s="142"/>
      <c r="E22" s="142"/>
      <c r="F22" s="142"/>
      <c r="G22" s="142">
        <v>2.231E-2</v>
      </c>
    </row>
    <row r="23" spans="1:7" ht="14.5">
      <c r="A23" s="140"/>
      <c r="B23" s="142">
        <f t="shared" ref="B23:G23" si="0">SUM(B2:B22)</f>
        <v>1</v>
      </c>
      <c r="C23" s="142">
        <f t="shared" si="0"/>
        <v>0.99999999999999989</v>
      </c>
      <c r="D23" s="142">
        <f t="shared" si="0"/>
        <v>1.0000000000000002</v>
      </c>
      <c r="E23" s="142">
        <f t="shared" si="0"/>
        <v>1</v>
      </c>
      <c r="F23" s="142">
        <f t="shared" si="0"/>
        <v>1.0000000000000002</v>
      </c>
      <c r="G23" s="142">
        <f t="shared" si="0"/>
        <v>1.0000000000000002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5C94C-EA1B-4D61-A351-0644A7A496DD}">
  <sheetPr codeName="Sheet11"/>
  <dimension ref="A1:K11"/>
  <sheetViews>
    <sheetView workbookViewId="0">
      <selection activeCell="G2" sqref="G2"/>
    </sheetView>
  </sheetViews>
  <sheetFormatPr defaultRowHeight="12.5"/>
  <cols>
    <col min="1" max="1" width="15.1796875" bestFit="1" customWidth="1"/>
    <col min="3" max="3" width="10.1796875" bestFit="1" customWidth="1"/>
    <col min="4" max="4" width="10.1796875" customWidth="1"/>
  </cols>
  <sheetData>
    <row r="1" spans="1:11" ht="13">
      <c r="A1" s="84" t="s">
        <v>123</v>
      </c>
      <c r="B1" s="84" t="s">
        <v>126</v>
      </c>
      <c r="C1" s="84" t="s">
        <v>130</v>
      </c>
      <c r="D1" s="84"/>
      <c r="E1" s="84" t="s">
        <v>136</v>
      </c>
      <c r="F1" s="84"/>
      <c r="G1" s="93" t="s">
        <v>141</v>
      </c>
    </row>
    <row r="2" spans="1:11">
      <c r="A2" s="85" t="s">
        <v>124</v>
      </c>
      <c r="B2" s="85" t="s">
        <v>127</v>
      </c>
      <c r="C2">
        <v>2025</v>
      </c>
      <c r="E2" t="s">
        <v>137</v>
      </c>
      <c r="G2" s="85" t="s">
        <v>145</v>
      </c>
    </row>
    <row r="3" spans="1:11">
      <c r="A3" s="85" t="s">
        <v>125</v>
      </c>
      <c r="B3" s="85" t="s">
        <v>128</v>
      </c>
      <c r="C3">
        <v>2026</v>
      </c>
      <c r="E3" t="s">
        <v>138</v>
      </c>
      <c r="G3" s="85" t="s">
        <v>147</v>
      </c>
    </row>
    <row r="4" spans="1:11">
      <c r="A4" s="85" t="s">
        <v>161</v>
      </c>
      <c r="C4">
        <v>2027</v>
      </c>
      <c r="E4" t="s">
        <v>149</v>
      </c>
      <c r="G4" s="7" t="s">
        <v>211</v>
      </c>
    </row>
    <row r="5" spans="1:11">
      <c r="A5" s="85"/>
      <c r="E5" s="7" t="s">
        <v>210</v>
      </c>
      <c r="G5" s="85" t="s">
        <v>146</v>
      </c>
      <c r="K5" s="85"/>
    </row>
    <row r="6" spans="1:11">
      <c r="E6" t="s">
        <v>139</v>
      </c>
      <c r="G6" s="85" t="s">
        <v>148</v>
      </c>
      <c r="K6" s="7"/>
    </row>
    <row r="7" spans="1:11">
      <c r="E7" t="s">
        <v>140</v>
      </c>
      <c r="F7" s="7"/>
      <c r="G7" s="85" t="s">
        <v>143</v>
      </c>
      <c r="K7" s="7"/>
    </row>
    <row r="8" spans="1:11">
      <c r="G8" s="7" t="s">
        <v>150</v>
      </c>
    </row>
    <row r="9" spans="1:11">
      <c r="G9" s="7" t="s">
        <v>164</v>
      </c>
    </row>
    <row r="10" spans="1:11">
      <c r="G10" s="7" t="s">
        <v>142</v>
      </c>
    </row>
    <row r="11" spans="1:11">
      <c r="G11" s="7" t="s">
        <v>144</v>
      </c>
    </row>
  </sheetData>
  <sortState xmlns:xlrd2="http://schemas.microsoft.com/office/spreadsheetml/2017/richdata2" ref="G2:G11">
    <sortCondition ref="G2:G1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3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g5MjcwPC9Vc2VyTmFtZT48RGF0ZVRpbWU+OC85LzIwMjIgMTo0NToxNC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ODkyNzA8L1VzZXJOYW1lPjxEYXRlVGltZT44LzEwLzIwMjIgMjozNzowMyBQTTwvRGF0ZVRpbWU+PExhYmVsU3RyaW5nPkFFUCBJbnRlcm5hbDwvTGFiZWxTdHJpbmc+PC9pdGVtPjwvbGFiZWxIaXN0b3J5Pg==</Value>
</WrappedLabelHistor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6576F0B8-D6FB-4336-BE72-94424071D6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690E0B-3830-4FEB-A10F-5FAE23A73B68}">
  <ds:schemaRefs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b6888f76-1100-40b0-929b-1efe9044426d"/>
    <ds:schemaRef ds:uri="f88ffb1c-9230-4705-a789-27bae69f5829"/>
  </ds:schemaRefs>
</ds:datastoreItem>
</file>

<file path=customXml/itemProps3.xml><?xml version="1.0" encoding="utf-8"?>
<ds:datastoreItem xmlns:ds="http://schemas.openxmlformats.org/officeDocument/2006/customXml" ds:itemID="{6149A85B-ED20-4F42-9BCF-572E56DF98C5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41C03338-C48A-4148-985E-91BC71896C0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60AE3D2-F9EB-4C24-8CFC-238744289FF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Input</vt:lpstr>
      <vt:lpstr>NEC Forecast Inputs</vt:lpstr>
      <vt:lpstr>GRCF</vt:lpstr>
      <vt:lpstr>Allocators</vt:lpstr>
      <vt:lpstr>CAP Structure</vt:lpstr>
      <vt:lpstr>Rate Base - coal</vt:lpstr>
      <vt:lpstr>OPCO Rev Req</vt:lpstr>
      <vt:lpstr>Retail Rev Req</vt:lpstr>
      <vt:lpstr>SIT</vt:lpstr>
      <vt:lpstr>FIT</vt:lpstr>
      <vt:lpstr>MACRS</vt:lpstr>
      <vt:lpstr>DropDowns</vt:lpstr>
      <vt:lpstr>Allocator</vt:lpstr>
      <vt:lpstr>EquityWeighting</vt:lpstr>
      <vt:lpstr>GRCF</vt:lpstr>
      <vt:lpstr>'OPCO Rev Req'!Print_Area</vt:lpstr>
      <vt:lpstr>'Rate Base - coal'!Print_Area</vt:lpstr>
      <vt:lpstr>'Rate Base - coal'!Print_Titles</vt:lpstr>
      <vt:lpstr>ROE</vt:lpstr>
      <vt:lpstr>WACC</vt:lpstr>
      <vt:lpstr>WACD</vt:lpstr>
    </vt:vector>
  </TitlesOfParts>
  <Company>AEP-SS-IT-WE-7/1/6-(8-835-3050)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Michelle Caldwell</cp:lastModifiedBy>
  <cp:lastPrinted>2018-07-05T12:53:07Z</cp:lastPrinted>
  <dcterms:created xsi:type="dcterms:W3CDTF">2010-08-13T18:09:08Z</dcterms:created>
  <dcterms:modified xsi:type="dcterms:W3CDTF">2025-08-24T11:51:59Z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512a4ca9-898b-436b-8719-9edd7014d733</vt:lpwstr>
  </property>
  <property fmtid="{D5CDD505-2E9C-101B-9397-08002B2CF9AE}" pid="3" name="bjSaver">
    <vt:lpwstr>N1DSBWDQZIeY/VRw0Xy3fwx0B1BRPR0Y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{A44787D4-0540-4523-9961-78E4036D8C6D}">
    <vt:lpwstr>{5586F48E-9DA0-4B74-9B36-4A111570CE79}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ClsUserRVM">
    <vt:lpwstr>[]</vt:lpwstr>
  </property>
  <property fmtid="{D5CDD505-2E9C-101B-9397-08002B2CF9AE}" pid="11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2" name="bjDocumentLabelXML-0">
    <vt:lpwstr>ames.com/2008/01/sie/internal/label"&gt;&lt;element uid="50c31824-0780-4910-87d1-eaaffd182d42" value="" /&gt;&lt;/sisl&gt;</vt:lpwstr>
  </property>
  <property fmtid="{D5CDD505-2E9C-101B-9397-08002B2CF9AE}" pid="13" name="bjLabelHistoryID">
    <vt:lpwstr>{6149A85B-ED20-4F42-9BCF-572E56DF98C5}</vt:lpwstr>
  </property>
  <property fmtid="{D5CDD505-2E9C-101B-9397-08002B2CF9AE}" pid="14" name="ContentTypeId">
    <vt:lpwstr>0x0101004DF805D1E1DA4A49A223477D3B105720</vt:lpwstr>
  </property>
  <property fmtid="{D5CDD505-2E9C-101B-9397-08002B2CF9AE}" pid="15" name="MediaServiceImageTags">
    <vt:lpwstr/>
  </property>
</Properties>
</file>