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Certificate Filings/2025-00175 Mitchell ELG/05 Discovery/AG/Workpapers (AG_1_1 response)/"/>
    </mc:Choice>
  </mc:AlternateContent>
  <xr:revisionPtr revIDLastSave="72" documentId="8_{E36AE2BE-4ED7-4AD8-9FD9-54BEF0970E4C}" xr6:coauthVersionLast="47" xr6:coauthVersionMax="47" xr10:uidLastSave="{EBAA6F21-EB34-4070-8643-37F6DF23DEE9}"/>
  <bookViews>
    <workbookView xWindow="-110" yWindow="-110" windowWidth="19420" windowHeight="10300" tabRatio="941" xr2:uid="{00000000-000D-0000-FFFF-FFFF00000000}"/>
  </bookViews>
  <sheets>
    <sheet name="Cost Compare Summary -Table 1" sheetId="29" r:id="rId1"/>
    <sheet name="PPAs" sheetId="30" r:id="rId2"/>
    <sheet name="Market" sheetId="27" r:id="rId3"/>
    <sheet name="ML UCAP" sheetId="31" r:id="rId4"/>
    <sheet name="Amortize to 2040" sheetId="28" r:id="rId5"/>
    <sheet name="2029 NBV Starting Point" sheetId="25" r:id="rId6"/>
    <sheet name="Capital Forecast" sheetId="32" r:id="rId7"/>
  </sheets>
  <definedNames>
    <definedName name="_xlnm.Print_Area" localSheetId="0">'Cost Compare Summary -Table 1'!$A$2:$M$29</definedName>
  </definedNames>
  <calcPr calcId="191029"/>
  <customWorkbookViews>
    <customWorkbookView name="circular reference" guid="{7D85062D-FDEE-4642-8FDC-849A020D085B}" maximized="1" windowWidth="1276" windowHeight="795" tabRatio="49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7" l="1"/>
  <c r="D6" i="25"/>
  <c r="D15" i="25"/>
  <c r="E8" i="25" l="1"/>
  <c r="E7" i="25"/>
  <c r="E6" i="25" l="1"/>
  <c r="E11" i="25" s="1"/>
  <c r="E12" i="25" s="1"/>
  <c r="F7" i="25"/>
  <c r="F7" i="29"/>
  <c r="E5" i="31" l="1"/>
  <c r="B6" i="30" l="1"/>
  <c r="K6" i="31" l="1"/>
  <c r="K5" i="31"/>
  <c r="I6" i="31"/>
  <c r="I5" i="31"/>
  <c r="G6" i="31"/>
  <c r="G5" i="31"/>
  <c r="E6" i="31"/>
  <c r="I7" i="31" l="1"/>
  <c r="E7" i="31"/>
  <c r="K7" i="31"/>
  <c r="G7" i="31"/>
  <c r="D10" i="31" l="1"/>
  <c r="D12" i="31" s="1"/>
  <c r="D26" i="27" s="1"/>
  <c r="E10" i="31"/>
  <c r="E12" i="31" s="1"/>
  <c r="D27" i="27" s="1"/>
  <c r="C10" i="31"/>
  <c r="C12" i="31" s="1"/>
  <c r="D25" i="27" s="1"/>
  <c r="E25" i="27" l="1"/>
  <c r="D28" i="27"/>
  <c r="B7" i="30"/>
  <c r="B13" i="30" l="1"/>
  <c r="D29" i="27"/>
  <c r="D30" i="27" l="1"/>
  <c r="D10" i="29"/>
  <c r="C10" i="29" l="1"/>
  <c r="E10" i="29"/>
  <c r="D31" i="27"/>
  <c r="D32" i="27" l="1"/>
  <c r="D33" i="27" l="1"/>
  <c r="D34" i="27" l="1"/>
  <c r="E30" i="27"/>
  <c r="C31" i="27"/>
  <c r="J13" i="27"/>
  <c r="G13" i="27"/>
  <c r="D13" i="27"/>
  <c r="J12" i="27"/>
  <c r="G12" i="27"/>
  <c r="D12" i="27"/>
  <c r="J11" i="27"/>
  <c r="G11" i="27"/>
  <c r="D11" i="27"/>
  <c r="J10" i="27"/>
  <c r="G10" i="27"/>
  <c r="D10" i="27"/>
  <c r="J9" i="27"/>
  <c r="G9" i="27"/>
  <c r="E16" i="29" s="1"/>
  <c r="D9" i="27"/>
  <c r="J8" i="27"/>
  <c r="G8" i="27"/>
  <c r="D16" i="29" s="1"/>
  <c r="D8" i="27"/>
  <c r="J7" i="27"/>
  <c r="G7" i="27"/>
  <c r="C16" i="29" s="1"/>
  <c r="D7" i="27"/>
  <c r="J6" i="27"/>
  <c r="G6" i="27"/>
  <c r="D6" i="27"/>
  <c r="J5" i="27"/>
  <c r="G5" i="27"/>
  <c r="D5" i="27"/>
  <c r="J4" i="27"/>
  <c r="G4" i="27"/>
  <c r="D4" i="27"/>
  <c r="J3" i="27"/>
  <c r="G3" i="27"/>
  <c r="D3" i="27"/>
  <c r="D35" i="27" l="1"/>
  <c r="L7" i="27"/>
  <c r="C30" i="27"/>
  <c r="C29" i="27" s="1"/>
  <c r="C28" i="27" s="1"/>
  <c r="C27" i="27" s="1"/>
  <c r="L10" i="27"/>
  <c r="L11" i="27"/>
  <c r="L9" i="27"/>
  <c r="E28" i="27"/>
  <c r="E29" i="27"/>
  <c r="C32" i="27"/>
  <c r="L8" i="27"/>
  <c r="D36" i="27" l="1"/>
  <c r="E27" i="27"/>
  <c r="E17" i="29" s="1"/>
  <c r="C26" i="27"/>
  <c r="C33" i="27"/>
  <c r="E32" i="27"/>
  <c r="D37" i="27" l="1"/>
  <c r="D38" i="27" s="1"/>
  <c r="D39" i="27" s="1"/>
  <c r="D40" i="27" s="1"/>
  <c r="D41" i="27" s="1"/>
  <c r="D42" i="27" s="1"/>
  <c r="D43" i="27" s="1"/>
  <c r="D44" i="27" s="1"/>
  <c r="D45" i="27" s="1"/>
  <c r="C25" i="27"/>
  <c r="C17" i="29" s="1"/>
  <c r="E26" i="27"/>
  <c r="D17" i="29" s="1"/>
  <c r="C34" i="27"/>
  <c r="E33" i="27"/>
  <c r="C35" i="27" l="1"/>
  <c r="E34" i="27"/>
  <c r="E35" i="27" l="1"/>
  <c r="C36" i="27"/>
  <c r="C37" i="27" l="1"/>
  <c r="E36" i="27"/>
  <c r="E37" i="27" l="1"/>
  <c r="C38" i="27"/>
  <c r="E38" i="27" l="1"/>
  <c r="C39" i="27"/>
  <c r="E39" i="27" l="1"/>
  <c r="C40" i="27"/>
  <c r="E40" i="27" l="1"/>
  <c r="C41" i="27"/>
  <c r="C42" i="27" l="1"/>
  <c r="E41" i="27"/>
  <c r="C43" i="27" l="1"/>
  <c r="E42" i="27"/>
  <c r="C44" i="27" l="1"/>
  <c r="E43" i="27"/>
  <c r="C45" i="27" l="1"/>
  <c r="E45" i="27" s="1"/>
  <c r="E44" i="27"/>
  <c r="E15" i="25" l="1"/>
  <c r="B9" i="25"/>
  <c r="B32" i="25" l="1"/>
  <c r="F8" i="25" l="1"/>
  <c r="F6" i="25" s="1"/>
  <c r="C15" i="25" l="1"/>
  <c r="C7" i="28" l="1"/>
  <c r="F15" i="25"/>
  <c r="C22" i="28" l="1"/>
  <c r="C16" i="28"/>
  <c r="D16" i="28" l="1"/>
  <c r="D19" i="28" s="1"/>
  <c r="E22" i="28" s="1"/>
  <c r="C19" i="28"/>
  <c r="D22" i="28" s="1"/>
  <c r="C27" i="28"/>
  <c r="C15" i="29" s="1"/>
  <c r="D27" i="28" l="1"/>
  <c r="D15" i="29" s="1"/>
  <c r="D11" i="29" s="1"/>
  <c r="D12" i="29" s="1"/>
  <c r="E16" i="28"/>
  <c r="C18" i="29"/>
  <c r="C11" i="29"/>
  <c r="C12" i="29" s="1"/>
  <c r="D18" i="29" l="1"/>
  <c r="F16" i="28"/>
  <c r="E19" i="28"/>
  <c r="F22" i="28" s="1"/>
  <c r="E27" i="28"/>
  <c r="E15" i="29" s="1"/>
  <c r="F27" i="28" l="1"/>
  <c r="E18" i="29"/>
  <c r="E11" i="29"/>
  <c r="E12" i="29" s="1"/>
  <c r="G16" i="28"/>
  <c r="G19" i="28" s="1"/>
  <c r="H22" i="28" s="1"/>
  <c r="F19" i="28"/>
  <c r="G22" i="28" s="1"/>
  <c r="F18" i="29" l="1"/>
  <c r="H11" i="29" s="1"/>
  <c r="F12" i="29"/>
  <c r="H10" i="29" s="1"/>
  <c r="G27" i="28"/>
  <c r="H16" i="28"/>
  <c r="H27" i="28" s="1"/>
  <c r="I16" i="28" l="1"/>
  <c r="I19" i="28" s="1"/>
  <c r="J22" i="28" s="1"/>
  <c r="H19" i="28"/>
  <c r="I22" i="28" s="1"/>
  <c r="I27" i="28" l="1"/>
  <c r="J16" i="28"/>
  <c r="K16" i="28" l="1"/>
  <c r="J19" i="28"/>
  <c r="K22" i="28" s="1"/>
  <c r="J27" i="28"/>
  <c r="K27" i="28" l="1"/>
  <c r="L16" i="28"/>
  <c r="K19" i="28"/>
  <c r="L22" i="28" s="1"/>
  <c r="L27" i="28" l="1"/>
  <c r="M16" i="28"/>
  <c r="L19" i="28"/>
  <c r="M22" i="28" s="1"/>
  <c r="M27" i="28" l="1"/>
  <c r="N16" i="28"/>
  <c r="M19" i="28"/>
  <c r="N22" i="28" s="1"/>
  <c r="N27" i="28" l="1"/>
  <c r="O16" i="28"/>
  <c r="N19" i="28"/>
</calcChain>
</file>

<file path=xl/sharedStrings.xml><?xml version="1.0" encoding="utf-8"?>
<sst xmlns="http://schemas.openxmlformats.org/spreadsheetml/2006/main" count="123" uniqueCount="82">
  <si>
    <t>KPCO</t>
  </si>
  <si>
    <t xml:space="preserve">Total </t>
  </si>
  <si>
    <t>WPCO</t>
  </si>
  <si>
    <t>Net Book Value</t>
  </si>
  <si>
    <t>Figures as of 12/31/2024</t>
  </si>
  <si>
    <t>Annual Depreciation</t>
  </si>
  <si>
    <t>Capital Forecast</t>
  </si>
  <si>
    <t>Estimated NBV</t>
  </si>
  <si>
    <t>KPCO WACC</t>
  </si>
  <si>
    <t>ICAP</t>
  </si>
  <si>
    <t>Mitchell Plant</t>
  </si>
  <si>
    <t>Zero Amt</t>
  </si>
  <si>
    <t>Non</t>
  </si>
  <si>
    <t>Amounts include overheads and exclude AFUDC</t>
  </si>
  <si>
    <t>Cost Component</t>
  </si>
  <si>
    <t>(Multiple Items)</t>
  </si>
  <si>
    <t>Forecast</t>
  </si>
  <si>
    <t>Wrk FC</t>
  </si>
  <si>
    <t>Sum of Amt</t>
  </si>
  <si>
    <t>413    Wheeling Power Co - Generation</t>
  </si>
  <si>
    <t>413    Wheeling Power Co - Generation Total</t>
  </si>
  <si>
    <t>117    Kentucky Power Co - Gene</t>
  </si>
  <si>
    <t>117    Kentucky Power Co - Gene Total</t>
  </si>
  <si>
    <t>Grand Total</t>
  </si>
  <si>
    <t>Row Labels</t>
  </si>
  <si>
    <t>Capital</t>
  </si>
  <si>
    <t>Depreciation Expense</t>
  </si>
  <si>
    <t>End of Period Ratebase</t>
  </si>
  <si>
    <t>Annual Return On Ratebase</t>
  </si>
  <si>
    <t>Total Annual Return</t>
  </si>
  <si>
    <t>Check Sum</t>
  </si>
  <si>
    <t>Pre-Tax WACC</t>
  </si>
  <si>
    <t>2025-2028</t>
  </si>
  <si>
    <t>Total 25-28 ML Plant Capital</t>
  </si>
  <si>
    <t>50% of ML Capital</t>
  </si>
  <si>
    <t>KPCO NBV "Caught Up"</t>
  </si>
  <si>
    <t>Catch Up Payment</t>
  </si>
  <si>
    <t>amortize through 2040 in market scenario</t>
  </si>
  <si>
    <t>Mitchell Plant - KPCO Share</t>
  </si>
  <si>
    <t>Remaining NBV Recovery</t>
  </si>
  <si>
    <t>Replacement Market Energy</t>
  </si>
  <si>
    <t>Replacement Market Capacity</t>
  </si>
  <si>
    <t>Total Cost</t>
  </si>
  <si>
    <t>Generation (GWh)</t>
  </si>
  <si>
    <t>Revenue ($000)</t>
  </si>
  <si>
    <t>Total Generation Cost ($000)</t>
  </si>
  <si>
    <t>Year</t>
  </si>
  <si>
    <t>Mitchell 1</t>
  </si>
  <si>
    <t>Mitchell 2</t>
  </si>
  <si>
    <t>Total</t>
  </si>
  <si>
    <t>Apr-Dec 2025</t>
  </si>
  <si>
    <t>Capacity $/MWday</t>
  </si>
  <si>
    <t xml:space="preserve">ML </t>
  </si>
  <si>
    <t xml:space="preserve">Capacity </t>
  </si>
  <si>
    <t>MW ICAP</t>
  </si>
  <si>
    <t>MW UCAP</t>
  </si>
  <si>
    <t>Cost</t>
  </si>
  <si>
    <t>AEP GEN HUB Hub Cap.</t>
  </si>
  <si>
    <t>Mitchell COS</t>
  </si>
  <si>
    <t>Capacity</t>
  </si>
  <si>
    <t>preliminary-elcc-class-ratings-for-period-2026-2027-through-2034-2035.pdf</t>
  </si>
  <si>
    <t>ML 1</t>
  </si>
  <si>
    <t>ML 2</t>
  </si>
  <si>
    <t>Estimated Perf Factor</t>
  </si>
  <si>
    <t>28/29</t>
  </si>
  <si>
    <t>29/30</t>
  </si>
  <si>
    <t>30/31</t>
  </si>
  <si>
    <t>31/32</t>
  </si>
  <si>
    <t>ELCC</t>
  </si>
  <si>
    <t>UCAP</t>
  </si>
  <si>
    <t>Total UCAP</t>
  </si>
  <si>
    <t>KPCO Share of UCAP</t>
  </si>
  <si>
    <t>Make UP capacity</t>
  </si>
  <si>
    <t>$/kW Month</t>
  </si>
  <si>
    <t>Make up capacity</t>
  </si>
  <si>
    <t>Energy Margins</t>
  </si>
  <si>
    <t>Total PPA Cost</t>
  </si>
  <si>
    <t>Avg of Thermal PPAs</t>
  </si>
  <si>
    <t>Alternative 3 -Market</t>
  </si>
  <si>
    <t>Alternative 2 - PPAs</t>
  </si>
  <si>
    <t>Alternative 1 - Mitchell</t>
  </si>
  <si>
    <t>Thermal PPAs from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</si>
</sst>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0_);_(* \(#,##0.0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3" fontId="10" fillId="0" borderId="0" applyFont="0" applyFill="0" applyBorder="0" applyAlignment="0" applyProtection="0"/>
    <xf numFmtId="0" fontId="10" fillId="2" borderId="0" applyNumberFormat="0" applyFont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Fill="1"/>
    <xf numFmtId="164" fontId="0" fillId="3" borderId="0" xfId="0" applyNumberFormat="1" applyFill="1"/>
    <xf numFmtId="0" fontId="0" fillId="3" borderId="0" xfId="0" applyFill="1"/>
    <xf numFmtId="164" fontId="0" fillId="0" borderId="0" xfId="0" applyNumberFormat="1"/>
    <xf numFmtId="0" fontId="4" fillId="0" borderId="0" xfId="0" applyFont="1" applyFill="1"/>
    <xf numFmtId="0" fontId="0" fillId="0" borderId="0" xfId="0" applyAlignment="1">
      <alignment horizontal="center"/>
    </xf>
    <xf numFmtId="165" fontId="0" fillId="0" borderId="0" xfId="6" applyNumberFormat="1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165" fontId="0" fillId="0" borderId="0" xfId="0" applyNumberFormat="1"/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/>
    <xf numFmtId="0" fontId="0" fillId="4" borderId="0" xfId="0" applyFill="1"/>
    <xf numFmtId="165" fontId="0" fillId="4" borderId="0" xfId="0" applyNumberFormat="1" applyFill="1"/>
    <xf numFmtId="14" fontId="2" fillId="0" borderId="0" xfId="0" applyNumberFormat="1" applyFont="1" applyAlignment="1">
      <alignment horizontal="center"/>
    </xf>
    <xf numFmtId="44" fontId="0" fillId="0" borderId="0" xfId="0" applyNumberFormat="1"/>
    <xf numFmtId="164" fontId="0" fillId="0" borderId="6" xfId="1" applyNumberFormat="1" applyFont="1" applyBorder="1"/>
    <xf numFmtId="9" fontId="0" fillId="0" borderId="0" xfId="0" applyNumberFormat="1"/>
    <xf numFmtId="0" fontId="0" fillId="0" borderId="0" xfId="0" applyAlignment="1">
      <alignment horizontal="right"/>
    </xf>
    <xf numFmtId="2" fontId="1" fillId="0" borderId="4" xfId="26" applyNumberFormat="1" applyBorder="1"/>
    <xf numFmtId="2" fontId="1" fillId="0" borderId="0" xfId="26" applyNumberFormat="1"/>
    <xf numFmtId="2" fontId="1" fillId="5" borderId="4" xfId="26" applyNumberFormat="1" applyFill="1" applyBorder="1" applyAlignment="1">
      <alignment horizontal="left"/>
    </xf>
    <xf numFmtId="0" fontId="1" fillId="0" borderId="4" xfId="26" applyBorder="1"/>
    <xf numFmtId="165" fontId="0" fillId="0" borderId="6" xfId="6" applyNumberFormat="1" applyFont="1" applyBorder="1"/>
    <xf numFmtId="9" fontId="14" fillId="0" borderId="0" xfId="0" applyNumberFormat="1" applyFont="1"/>
    <xf numFmtId="0" fontId="14" fillId="0" borderId="0" xfId="0" applyFont="1"/>
    <xf numFmtId="1" fontId="0" fillId="0" borderId="0" xfId="0" applyNumberFormat="1"/>
    <xf numFmtId="0" fontId="1" fillId="3" borderId="4" xfId="26" applyFill="1" applyBorder="1"/>
    <xf numFmtId="2" fontId="1" fillId="3" borderId="4" xfId="26" applyNumberFormat="1" applyFill="1" applyBorder="1"/>
    <xf numFmtId="164" fontId="1" fillId="3" borderId="0" xfId="1" applyNumberFormat="1" applyFill="1" applyBorder="1"/>
    <xf numFmtId="165" fontId="0" fillId="3" borderId="0" xfId="6" applyNumberFormat="1" applyFont="1" applyFill="1"/>
    <xf numFmtId="1" fontId="1" fillId="0" borderId="0" xfId="0" applyNumberFormat="1" applyFont="1" applyFill="1"/>
    <xf numFmtId="0" fontId="0" fillId="6" borderId="0" xfId="0" applyFill="1"/>
    <xf numFmtId="165" fontId="0" fillId="6" borderId="6" xfId="6" applyNumberFormat="1" applyFont="1" applyFill="1" applyBorder="1"/>
    <xf numFmtId="165" fontId="0" fillId="6" borderId="6" xfId="0" applyNumberFormat="1" applyFill="1" applyBorder="1"/>
    <xf numFmtId="165" fontId="0" fillId="6" borderId="0" xfId="0" applyNumberFormat="1" applyFill="1"/>
    <xf numFmtId="0" fontId="0" fillId="6" borderId="6" xfId="0" applyFill="1" applyBorder="1"/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6" borderId="0" xfId="0" applyFill="1" applyBorder="1"/>
    <xf numFmtId="0" fontId="0" fillId="6" borderId="2" xfId="0" applyFill="1" applyBorder="1"/>
    <xf numFmtId="0" fontId="0" fillId="6" borderId="4" xfId="0" applyFill="1" applyBorder="1"/>
    <xf numFmtId="0" fontId="2" fillId="6" borderId="10" xfId="0" applyFont="1" applyFill="1" applyBorder="1"/>
    <xf numFmtId="0" fontId="0" fillId="6" borderId="7" xfId="0" applyFill="1" applyBorder="1"/>
    <xf numFmtId="165" fontId="0" fillId="6" borderId="0" xfId="6" applyNumberFormat="1" applyFont="1" applyFill="1" applyBorder="1"/>
    <xf numFmtId="165" fontId="0" fillId="6" borderId="2" xfId="6" applyNumberFormat="1" applyFont="1" applyFill="1" applyBorder="1"/>
    <xf numFmtId="0" fontId="0" fillId="6" borderId="10" xfId="0" applyFill="1" applyBorder="1" applyAlignment="1"/>
    <xf numFmtId="165" fontId="0" fillId="6" borderId="7" xfId="0" applyNumberFormat="1" applyFill="1" applyBorder="1"/>
    <xf numFmtId="0" fontId="0" fillId="6" borderId="4" xfId="0" applyFill="1" applyBorder="1" applyAlignment="1"/>
    <xf numFmtId="165" fontId="0" fillId="6" borderId="0" xfId="0" applyNumberFormat="1" applyFill="1" applyBorder="1"/>
    <xf numFmtId="165" fontId="0" fillId="6" borderId="2" xfId="0" applyNumberFormat="1" applyFill="1" applyBorder="1"/>
    <xf numFmtId="165" fontId="0" fillId="6" borderId="7" xfId="6" applyNumberFormat="1" applyFont="1" applyFill="1" applyBorder="1"/>
    <xf numFmtId="0" fontId="0" fillId="6" borderId="3" xfId="0" applyFill="1" applyBorder="1" applyAlignment="1"/>
    <xf numFmtId="165" fontId="0" fillId="6" borderId="1" xfId="6" applyNumberFormat="1" applyFont="1" applyFill="1" applyBorder="1"/>
    <xf numFmtId="165" fontId="0" fillId="6" borderId="5" xfId="6" applyNumberFormat="1" applyFont="1" applyFill="1" applyBorder="1"/>
    <xf numFmtId="0" fontId="0" fillId="6" borderId="11" xfId="0" applyFill="1" applyBorder="1"/>
    <xf numFmtId="164" fontId="0" fillId="3" borderId="0" xfId="1" applyNumberFormat="1" applyFont="1" applyFill="1"/>
    <xf numFmtId="43" fontId="12" fillId="0" borderId="0" xfId="1" applyFont="1" applyFill="1"/>
    <xf numFmtId="167" fontId="12" fillId="0" borderId="0" xfId="1" applyNumberFormat="1" applyFont="1" applyFill="1"/>
    <xf numFmtId="0" fontId="1" fillId="6" borderId="4" xfId="0" applyFont="1" applyFill="1" applyBorder="1"/>
    <xf numFmtId="44" fontId="0" fillId="0" borderId="0" xfId="6" applyFont="1" applyFill="1"/>
    <xf numFmtId="1" fontId="0" fillId="0" borderId="0" xfId="0" applyNumberFormat="1" applyFill="1"/>
    <xf numFmtId="0" fontId="1" fillId="0" borderId="4" xfId="26" applyFill="1" applyBorder="1"/>
    <xf numFmtId="2" fontId="1" fillId="0" borderId="4" xfId="26" applyNumberFormat="1" applyFill="1" applyBorder="1"/>
    <xf numFmtId="164" fontId="1" fillId="0" borderId="0" xfId="1" applyNumberFormat="1" applyFill="1" applyBorder="1"/>
    <xf numFmtId="165" fontId="0" fillId="0" borderId="0" xfId="6" applyNumberFormat="1" applyFont="1" applyFill="1"/>
    <xf numFmtId="2" fontId="1" fillId="0" borderId="0" xfId="26" applyNumberFormat="1" applyFill="1"/>
    <xf numFmtId="165" fontId="14" fillId="7" borderId="0" xfId="6" applyNumberFormat="1" applyFont="1" applyFill="1"/>
    <xf numFmtId="0" fontId="12" fillId="7" borderId="0" xfId="0" applyFont="1" applyFill="1"/>
    <xf numFmtId="166" fontId="12" fillId="7" borderId="0" xfId="25" applyNumberFormat="1" applyFont="1" applyFill="1"/>
    <xf numFmtId="0" fontId="0" fillId="8" borderId="0" xfId="0" applyFill="1"/>
    <xf numFmtId="0" fontId="2" fillId="8" borderId="0" xfId="0" applyFont="1" applyFill="1"/>
    <xf numFmtId="0" fontId="2" fillId="0" borderId="0" xfId="0" applyFont="1"/>
    <xf numFmtId="165" fontId="2" fillId="0" borderId="0" xfId="6" applyNumberFormat="1" applyFont="1"/>
    <xf numFmtId="43" fontId="0" fillId="0" borderId="0" xfId="1" applyFont="1" applyFill="1"/>
    <xf numFmtId="43" fontId="0" fillId="0" borderId="0" xfId="0" applyNumberFormat="1" applyFill="1"/>
    <xf numFmtId="0" fontId="15" fillId="0" borderId="0" xfId="27" applyFill="1"/>
    <xf numFmtId="0" fontId="12" fillId="6" borderId="0" xfId="0" applyFont="1" applyFill="1"/>
    <xf numFmtId="0" fontId="0" fillId="9" borderId="0" xfId="0" applyFill="1"/>
    <xf numFmtId="44" fontId="0" fillId="9" borderId="0" xfId="6" applyFont="1" applyFill="1"/>
    <xf numFmtId="165" fontId="0" fillId="9" borderId="0" xfId="6" applyNumberFormat="1" applyFont="1" applyFill="1"/>
    <xf numFmtId="165" fontId="0" fillId="9" borderId="0" xfId="0" applyNumberFormat="1" applyFill="1"/>
    <xf numFmtId="0" fontId="0" fillId="9" borderId="0" xfId="0" applyFill="1" applyAlignment="1">
      <alignment horizontal="center"/>
    </xf>
    <xf numFmtId="164" fontId="0" fillId="9" borderId="0" xfId="0" applyNumberFormat="1" applyFill="1"/>
    <xf numFmtId="43" fontId="0" fillId="9" borderId="0" xfId="0" applyNumberFormat="1" applyFill="1"/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28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Hyperlink" xfId="27" builtinId="8"/>
    <cellStyle name="Normal" xfId="0" builtinId="0"/>
    <cellStyle name="Normal 2" xfId="9" xr:uid="{00000000-0005-0000-0000-000009000000}"/>
    <cellStyle name="Normal 2 10 2" xfId="26" xr:uid="{AAA67625-79A7-4F6C-8EE4-46A9FECC5676}"/>
    <cellStyle name="Normal 3" xfId="10" xr:uid="{00000000-0005-0000-0000-00000A000000}"/>
    <cellStyle name="Normal 4" xfId="18" xr:uid="{82386AB4-A428-4D4C-82F6-4533907D18C3}"/>
    <cellStyle name="Percent" xfId="25" builtinId="5"/>
    <cellStyle name="Percent 2" xfId="11" xr:uid="{00000000-0005-0000-0000-00000B000000}"/>
    <cellStyle name="PSChar" xfId="12" xr:uid="{00000000-0005-0000-0000-00000C000000}"/>
    <cellStyle name="PSChar 2" xfId="19" xr:uid="{0CB61273-CA43-4EAD-A418-2E8D97031B7E}"/>
    <cellStyle name="PSDate" xfId="13" xr:uid="{00000000-0005-0000-0000-00000D000000}"/>
    <cellStyle name="PSDate 2" xfId="20" xr:uid="{93C0E48F-2AC0-4B6F-8BBA-DE9EEDE62532}"/>
    <cellStyle name="PSDec" xfId="14" xr:uid="{00000000-0005-0000-0000-00000E000000}"/>
    <cellStyle name="PSDec 2" xfId="21" xr:uid="{92D3B5A5-5850-4916-865C-7F7786E9854F}"/>
    <cellStyle name="PSHeading" xfId="15" xr:uid="{00000000-0005-0000-0000-00000F000000}"/>
    <cellStyle name="PSHeading 2" xfId="22" xr:uid="{4BE709E2-3089-4C66-9D0F-91380A7FEEB0}"/>
    <cellStyle name="PSInt" xfId="16" xr:uid="{00000000-0005-0000-0000-000010000000}"/>
    <cellStyle name="PSInt 2" xfId="23" xr:uid="{974C1C86-EF39-4840-8BA9-73EA46971AB1}"/>
    <cellStyle name="PSSpacer" xfId="17" xr:uid="{00000000-0005-0000-0000-000011000000}"/>
    <cellStyle name="PSSpacer 2" xfId="24" xr:uid="{97DCD387-08CE-459A-AC35-EC81572E6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590550</xdr:colOff>
      <xdr:row>4</xdr:row>
      <xdr:rowOff>57150</xdr:rowOff>
    </xdr:from>
    <xdr:to>
      <xdr:col>25</xdr:col>
      <xdr:colOff>191380</xdr:colOff>
      <xdr:row>37</xdr:row>
      <xdr:rowOff>140458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70BF55-FBF7-463E-D78F-1F03C36C7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1275" y="704850"/>
          <a:ext cx="6306430" cy="542683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24</xdr:row>
      <xdr:rowOff>114300</xdr:rowOff>
    </xdr:from>
    <xdr:to>
      <xdr:col>11</xdr:col>
      <xdr:colOff>283664</xdr:colOff>
      <xdr:row>35</xdr:row>
      <xdr:rowOff>133601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FB36C3-DACF-A82D-393B-21AC3057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4000500"/>
          <a:ext cx="7798889" cy="180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jm.com/-/media/DotCom/planning/res-adeq/elcc/preliminary-elcc-class-ratings-for-period-2026-2027-through-2034-2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08CB-C6A3-48E1-9F50-4F25496C17C1}">
  <sheetPr>
    <pageSetUpPr fitToPage="1"/>
  </sheetPr>
  <dimension ref="B3:H18"/>
  <sheetViews>
    <sheetView tabSelected="1" zoomScale="130" zoomScaleNormal="130" workbookViewId="0">
      <selection activeCell="F24" sqref="F24"/>
    </sheetView>
  </sheetViews>
  <sheetFormatPr defaultRowHeight="12.5" x14ac:dyDescent="0.25"/>
  <cols>
    <col min="1" max="1" width="8.7265625" style="38"/>
    <col min="2" max="2" width="25.36328125" style="38" bestFit="1" customWidth="1"/>
    <col min="3" max="5" width="15.81640625" style="38" bestFit="1" customWidth="1"/>
    <col min="6" max="6" width="15.81640625" style="38" customWidth="1"/>
    <col min="7" max="7" width="13.08984375" style="38" customWidth="1"/>
    <col min="8" max="8" width="13.26953125" style="38" bestFit="1" customWidth="1"/>
    <col min="9" max="16384" width="8.7265625" style="38"/>
  </cols>
  <sheetData>
    <row r="3" spans="2:8" ht="13" thickBot="1" x14ac:dyDescent="0.3"/>
    <row r="4" spans="2:8" ht="13" x14ac:dyDescent="0.3">
      <c r="B4" s="61"/>
      <c r="C4" s="43">
        <v>2029</v>
      </c>
      <c r="D4" s="43">
        <v>2030</v>
      </c>
      <c r="E4" s="43">
        <v>2031</v>
      </c>
      <c r="F4" s="44" t="s">
        <v>49</v>
      </c>
    </row>
    <row r="5" spans="2:8" x14ac:dyDescent="0.25">
      <c r="B5" s="47"/>
      <c r="C5" s="45"/>
      <c r="D5" s="45"/>
      <c r="E5" s="45"/>
      <c r="F5" s="46"/>
    </row>
    <row r="6" spans="2:8" ht="13" x14ac:dyDescent="0.3">
      <c r="B6" s="48" t="s">
        <v>80</v>
      </c>
      <c r="C6" s="42"/>
      <c r="D6" s="42"/>
      <c r="E6" s="42"/>
      <c r="F6" s="49"/>
    </row>
    <row r="7" spans="2:8" x14ac:dyDescent="0.25">
      <c r="B7" s="47" t="s">
        <v>58</v>
      </c>
      <c r="C7" s="50">
        <v>86378347.700302094</v>
      </c>
      <c r="D7" s="50">
        <v>113272571.89865218</v>
      </c>
      <c r="E7" s="50">
        <v>135755058.99676192</v>
      </c>
      <c r="F7" s="51">
        <f>SUM(C7:E7)</f>
        <v>335405978.59571618</v>
      </c>
      <c r="G7" s="41"/>
      <c r="H7" s="83"/>
    </row>
    <row r="8" spans="2:8" x14ac:dyDescent="0.25">
      <c r="B8" s="47"/>
      <c r="C8" s="45"/>
      <c r="D8" s="45"/>
      <c r="E8" s="45"/>
      <c r="F8" s="46"/>
    </row>
    <row r="9" spans="2:8" ht="13" x14ac:dyDescent="0.3">
      <c r="B9" s="48" t="s">
        <v>79</v>
      </c>
      <c r="C9" s="42"/>
      <c r="D9" s="42"/>
      <c r="E9" s="42"/>
      <c r="F9" s="49"/>
    </row>
    <row r="10" spans="2:8" x14ac:dyDescent="0.25">
      <c r="B10" s="65" t="s">
        <v>81</v>
      </c>
      <c r="C10" s="50">
        <f>PPAs!D19</f>
        <v>82746106.961237773</v>
      </c>
      <c r="D10" s="50">
        <f>PPAs!E19</f>
        <v>84763985.938273072</v>
      </c>
      <c r="E10" s="50">
        <f>PPAs!F19</f>
        <v>87792985.967308611</v>
      </c>
      <c r="F10" s="51"/>
      <c r="H10" s="41">
        <f>F12-F7</f>
        <v>136034164.77441394</v>
      </c>
    </row>
    <row r="11" spans="2:8" x14ac:dyDescent="0.25">
      <c r="B11" s="52" t="s">
        <v>39</v>
      </c>
      <c r="C11" s="40">
        <f>C15</f>
        <v>75154986.357416004</v>
      </c>
      <c r="D11" s="40">
        <f>D15</f>
        <v>72045688.167770237</v>
      </c>
      <c r="E11" s="40">
        <f>E15</f>
        <v>68936389.978124455</v>
      </c>
      <c r="F11" s="53"/>
      <c r="H11" s="41">
        <f>F18-F7</f>
        <v>559899265.4038918</v>
      </c>
    </row>
    <row r="12" spans="2:8" x14ac:dyDescent="0.25">
      <c r="B12" s="54" t="s">
        <v>42</v>
      </c>
      <c r="C12" s="55">
        <f>C11+C10</f>
        <v>157901093.31865376</v>
      </c>
      <c r="D12" s="55">
        <f t="shared" ref="D12:E12" si="0">D11+D10</f>
        <v>156809674.10604331</v>
      </c>
      <c r="E12" s="55">
        <f t="shared" si="0"/>
        <v>156729375.94543308</v>
      </c>
      <c r="F12" s="56">
        <f>SUM(C12:E12)</f>
        <v>471440143.37013012</v>
      </c>
      <c r="G12" s="41"/>
    </row>
    <row r="13" spans="2:8" x14ac:dyDescent="0.25">
      <c r="B13" s="47"/>
      <c r="C13" s="45"/>
      <c r="D13" s="45"/>
      <c r="E13" s="45"/>
      <c r="F13" s="46"/>
    </row>
    <row r="14" spans="2:8" ht="13" x14ac:dyDescent="0.3">
      <c r="B14" s="48" t="s">
        <v>78</v>
      </c>
      <c r="C14" s="42"/>
      <c r="D14" s="42"/>
      <c r="E14" s="42"/>
      <c r="F14" s="49"/>
    </row>
    <row r="15" spans="2:8" x14ac:dyDescent="0.25">
      <c r="B15" s="54" t="s">
        <v>39</v>
      </c>
      <c r="C15" s="50">
        <f>'Amortize to 2040'!C27</f>
        <v>75154986.357416004</v>
      </c>
      <c r="D15" s="50">
        <f>'Amortize to 2040'!D27</f>
        <v>72045688.167770237</v>
      </c>
      <c r="E15" s="50">
        <f>'Amortize to 2040'!E27</f>
        <v>68936389.978124455</v>
      </c>
      <c r="F15" s="51"/>
    </row>
    <row r="16" spans="2:8" x14ac:dyDescent="0.25">
      <c r="B16" s="54" t="s">
        <v>40</v>
      </c>
      <c r="C16" s="50">
        <f>Market!G7*1000</f>
        <v>224514595</v>
      </c>
      <c r="D16" s="50">
        <f>Market!G8*1000</f>
        <v>176454655</v>
      </c>
      <c r="E16" s="50">
        <f>Market!G9*1000</f>
        <v>140564210</v>
      </c>
      <c r="F16" s="51"/>
    </row>
    <row r="17" spans="2:7" x14ac:dyDescent="0.25">
      <c r="B17" s="52" t="s">
        <v>41</v>
      </c>
      <c r="C17" s="39">
        <f>Market!E25</f>
        <v>44696074.432041809</v>
      </c>
      <c r="D17" s="39">
        <f>Market!E26</f>
        <v>45911294.410345659</v>
      </c>
      <c r="E17" s="39">
        <f>Market!E27</f>
        <v>47027350.653909758</v>
      </c>
      <c r="F17" s="57"/>
    </row>
    <row r="18" spans="2:7" ht="13" thickBot="1" x14ac:dyDescent="0.3">
      <c r="B18" s="58" t="s">
        <v>42</v>
      </c>
      <c r="C18" s="59">
        <f>SUM(C15:C17)</f>
        <v>344365655.78945786</v>
      </c>
      <c r="D18" s="59">
        <f t="shared" ref="D18:E18" si="1">SUM(D15:D17)</f>
        <v>294411637.57811588</v>
      </c>
      <c r="E18" s="59">
        <f t="shared" si="1"/>
        <v>256527950.63203418</v>
      </c>
      <c r="F18" s="60">
        <f>SUM(C18:E18)</f>
        <v>895305243.99960792</v>
      </c>
      <c r="G18" s="41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5ED1-EB66-4EAC-9979-FBB2E3EDCB13}">
  <sheetPr>
    <tabColor theme="1"/>
  </sheetPr>
  <dimension ref="A4:F22"/>
  <sheetViews>
    <sheetView topLeftCell="A7" zoomScale="145" zoomScaleNormal="145" workbookViewId="0">
      <selection activeCell="D15" sqref="D15:F15"/>
    </sheetView>
  </sheetViews>
  <sheetFormatPr defaultRowHeight="12.5" x14ac:dyDescent="0.25"/>
  <cols>
    <col min="1" max="1" width="15.6328125" bestFit="1" customWidth="1"/>
    <col min="3" max="3" width="12.08984375" customWidth="1"/>
    <col min="4" max="4" width="15.90625" bestFit="1" customWidth="1"/>
    <col min="5" max="6" width="14.81640625" bestFit="1" customWidth="1"/>
  </cols>
  <sheetData>
    <row r="4" spans="1:6" x14ac:dyDescent="0.25">
      <c r="A4" s="84"/>
      <c r="C4" t="s">
        <v>73</v>
      </c>
      <c r="D4" s="10">
        <v>2029</v>
      </c>
      <c r="E4" s="10">
        <v>2030</v>
      </c>
      <c r="F4" s="10">
        <v>2031</v>
      </c>
    </row>
    <row r="5" spans="1:6" x14ac:dyDescent="0.25">
      <c r="A5" t="s">
        <v>59</v>
      </c>
      <c r="B5" s="5">
        <v>450</v>
      </c>
      <c r="C5" s="85"/>
      <c r="D5" s="86"/>
      <c r="E5" s="86"/>
      <c r="F5" s="86"/>
    </row>
    <row r="6" spans="1:6" x14ac:dyDescent="0.25">
      <c r="A6" t="s">
        <v>69</v>
      </c>
      <c r="B6" s="37">
        <f>B5*0.83</f>
        <v>373.5</v>
      </c>
      <c r="C6" s="66"/>
      <c r="D6" s="11"/>
      <c r="E6" s="11"/>
      <c r="F6" s="11"/>
    </row>
    <row r="7" spans="1:6" x14ac:dyDescent="0.25">
      <c r="A7" t="s">
        <v>72</v>
      </c>
      <c r="B7" s="67">
        <f>Market!H26</f>
        <v>0</v>
      </c>
      <c r="C7" s="66"/>
      <c r="D7" s="11">
        <v>17339388.134673048</v>
      </c>
      <c r="E7" s="11">
        <v>17995414.690533008</v>
      </c>
      <c r="F7" s="11">
        <v>18571752.238112535</v>
      </c>
    </row>
    <row r="8" spans="1:6" x14ac:dyDescent="0.25">
      <c r="A8" t="s">
        <v>75</v>
      </c>
      <c r="B8" s="1"/>
      <c r="C8" s="66"/>
      <c r="D8" s="29">
        <v>41909620.150248222</v>
      </c>
      <c r="E8" s="29">
        <v>39790619.350433342</v>
      </c>
      <c r="F8" s="29">
        <v>37116569.917678826</v>
      </c>
    </row>
    <row r="9" spans="1:6" x14ac:dyDescent="0.25">
      <c r="A9" t="s">
        <v>42</v>
      </c>
      <c r="B9" s="1"/>
      <c r="C9" s="66"/>
      <c r="D9" s="87"/>
      <c r="E9" s="87"/>
      <c r="F9" s="87"/>
    </row>
    <row r="10" spans="1:6" x14ac:dyDescent="0.25">
      <c r="B10" s="1"/>
      <c r="C10" s="66"/>
    </row>
    <row r="11" spans="1:6" x14ac:dyDescent="0.25">
      <c r="A11" s="84"/>
      <c r="B11" s="1">
        <v>500</v>
      </c>
      <c r="C11" s="85"/>
      <c r="D11" s="86"/>
      <c r="E11" s="86"/>
      <c r="F11" s="86"/>
    </row>
    <row r="12" spans="1:6" x14ac:dyDescent="0.25">
      <c r="A12" t="s">
        <v>69</v>
      </c>
      <c r="B12">
        <v>425</v>
      </c>
    </row>
    <row r="13" spans="1:6" x14ac:dyDescent="0.25">
      <c r="A13" t="s">
        <v>74</v>
      </c>
      <c r="B13" s="32">
        <f>Market!K26</f>
        <v>0</v>
      </c>
      <c r="D13" s="11">
        <v>13177808.582059884</v>
      </c>
      <c r="E13" s="11">
        <v>13758276.404641014</v>
      </c>
      <c r="F13" s="11">
        <v>14253382.628555819</v>
      </c>
    </row>
    <row r="14" spans="1:6" x14ac:dyDescent="0.25">
      <c r="A14" t="s">
        <v>75</v>
      </c>
      <c r="D14" s="11">
        <v>27445362.644009165</v>
      </c>
      <c r="E14" s="11">
        <v>26765099.868194539</v>
      </c>
      <c r="F14" s="11">
        <v>24452593.014372289</v>
      </c>
    </row>
    <row r="15" spans="1:6" x14ac:dyDescent="0.25">
      <c r="A15" t="s">
        <v>42</v>
      </c>
      <c r="D15" s="87"/>
      <c r="E15" s="87"/>
      <c r="F15" s="87"/>
    </row>
    <row r="18" spans="1:6" x14ac:dyDescent="0.25">
      <c r="A18" t="s">
        <v>76</v>
      </c>
      <c r="D18" s="14">
        <v>165492213.92247555</v>
      </c>
      <c r="E18" s="14">
        <v>169527971.87654614</v>
      </c>
      <c r="F18" s="14">
        <v>175585971.93461722</v>
      </c>
    </row>
    <row r="19" spans="1:6" x14ac:dyDescent="0.25">
      <c r="A19" t="s">
        <v>77</v>
      </c>
      <c r="B19" s="32"/>
      <c r="D19" s="14">
        <v>82746106.961237773</v>
      </c>
      <c r="E19" s="14">
        <v>84763985.938273072</v>
      </c>
      <c r="F19" s="14">
        <v>87792985.967308611</v>
      </c>
    </row>
    <row r="21" spans="1:6" x14ac:dyDescent="0.25">
      <c r="D21" s="14"/>
      <c r="E21" s="14"/>
      <c r="F21" s="14"/>
    </row>
    <row r="22" spans="1:6" x14ac:dyDescent="0.25">
      <c r="D22" s="14"/>
      <c r="E22" s="14"/>
      <c r="F22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F1E3-3AC0-4A18-B8EA-B71DA357E226}">
  <sheetPr>
    <tabColor theme="1"/>
  </sheetPr>
  <dimension ref="A1:L56"/>
  <sheetViews>
    <sheetView topLeftCell="E20" zoomScale="130" zoomScaleNormal="130" workbookViewId="0">
      <selection activeCell="G39" sqref="G39"/>
    </sheetView>
  </sheetViews>
  <sheetFormatPr defaultRowHeight="12.5" x14ac:dyDescent="0.25"/>
  <cols>
    <col min="1" max="1" width="12" bestFit="1" customWidth="1"/>
    <col min="2" max="2" width="21.54296875" bestFit="1" customWidth="1"/>
    <col min="3" max="3" width="11.453125" customWidth="1"/>
    <col min="4" max="4" width="19.453125" bestFit="1" customWidth="1"/>
    <col min="5" max="5" width="12.1796875" bestFit="1" customWidth="1"/>
    <col min="6" max="8" width="11.453125" customWidth="1"/>
    <col min="9" max="9" width="12.1796875" bestFit="1" customWidth="1"/>
    <col min="10" max="10" width="11.453125" customWidth="1"/>
    <col min="12" max="12" width="13.81640625" bestFit="1" customWidth="1"/>
  </cols>
  <sheetData>
    <row r="1" spans="1:12" x14ac:dyDescent="0.25">
      <c r="B1" s="91" t="s">
        <v>43</v>
      </c>
      <c r="C1" s="91"/>
      <c r="D1" s="91"/>
      <c r="E1" s="91" t="s">
        <v>44</v>
      </c>
      <c r="F1" s="91"/>
      <c r="G1" s="91"/>
      <c r="H1" s="91" t="s">
        <v>45</v>
      </c>
      <c r="I1" s="91"/>
      <c r="J1" s="91"/>
    </row>
    <row r="2" spans="1:12" x14ac:dyDescent="0.25">
      <c r="A2" s="10" t="s">
        <v>46</v>
      </c>
      <c r="B2" s="10" t="s">
        <v>47</v>
      </c>
      <c r="C2" s="10" t="s">
        <v>48</v>
      </c>
      <c r="D2" s="10" t="s">
        <v>49</v>
      </c>
      <c r="E2" s="10" t="s">
        <v>47</v>
      </c>
      <c r="F2" s="10" t="s">
        <v>48</v>
      </c>
      <c r="G2" s="10" t="s">
        <v>49</v>
      </c>
      <c r="H2" s="10" t="s">
        <v>47</v>
      </c>
      <c r="I2" s="10" t="s">
        <v>48</v>
      </c>
      <c r="J2" s="10" t="s">
        <v>49</v>
      </c>
    </row>
    <row r="3" spans="1:12" x14ac:dyDescent="0.25">
      <c r="A3" s="24" t="s">
        <v>50</v>
      </c>
      <c r="B3" s="12">
        <v>903.38947900000005</v>
      </c>
      <c r="C3" s="12">
        <v>973.75773800000002</v>
      </c>
      <c r="D3" s="8">
        <f>SUM(B3:C3)</f>
        <v>1877.1472170000002</v>
      </c>
      <c r="E3" s="12">
        <v>41155.336374999999</v>
      </c>
      <c r="F3" s="12">
        <v>43836.565585000004</v>
      </c>
      <c r="G3" s="8">
        <f>SUM(E3:F3)</f>
        <v>84991.901960000003</v>
      </c>
      <c r="H3" s="12">
        <v>40333.78282</v>
      </c>
      <c r="I3" s="12">
        <v>42794.744075000002</v>
      </c>
      <c r="J3" s="8">
        <f>SUM(H3:I3)</f>
        <v>83128.526895000003</v>
      </c>
    </row>
    <row r="4" spans="1:12" x14ac:dyDescent="0.25">
      <c r="A4">
        <v>2026</v>
      </c>
      <c r="B4" s="12">
        <v>1555.0550000000001</v>
      </c>
      <c r="C4" s="12">
        <v>1452.5139999999999</v>
      </c>
      <c r="D4" s="8">
        <f t="shared" ref="D4:D13" si="0">SUM(B4:C4)</f>
        <v>3007.569</v>
      </c>
      <c r="E4" s="12">
        <v>73099.607799999998</v>
      </c>
      <c r="F4" s="12">
        <v>67710.054250000001</v>
      </c>
      <c r="G4" s="8">
        <f t="shared" ref="G4:G13" si="1">SUM(E4:F4)</f>
        <v>140809.66204999998</v>
      </c>
      <c r="H4" s="12">
        <v>63731.813450000001</v>
      </c>
      <c r="I4" s="12">
        <v>55846.106899999999</v>
      </c>
      <c r="J4" s="8">
        <f t="shared" ref="J4:J13" si="2">SUM(H4:I4)</f>
        <v>119577.92035</v>
      </c>
    </row>
    <row r="5" spans="1:12" x14ac:dyDescent="0.25">
      <c r="A5">
        <v>2027</v>
      </c>
      <c r="B5" s="12">
        <v>1605.4559999999999</v>
      </c>
      <c r="C5" s="12">
        <v>1649.152</v>
      </c>
      <c r="D5" s="8">
        <f t="shared" si="0"/>
        <v>3254.6080000000002</v>
      </c>
      <c r="E5" s="12">
        <v>74901.526849999995</v>
      </c>
      <c r="F5" s="12">
        <v>76760.196400000001</v>
      </c>
      <c r="G5" s="8">
        <f t="shared" si="1"/>
        <v>151661.72324999998</v>
      </c>
      <c r="H5" s="12">
        <v>59646.112299999993</v>
      </c>
      <c r="I5" s="12">
        <v>58045.731950000001</v>
      </c>
      <c r="J5" s="8">
        <f t="shared" si="2"/>
        <v>117691.84424999999</v>
      </c>
    </row>
    <row r="6" spans="1:12" x14ac:dyDescent="0.25">
      <c r="A6">
        <v>2028</v>
      </c>
      <c r="B6" s="12">
        <v>1724.08</v>
      </c>
      <c r="C6" s="12">
        <v>2075.7069999999999</v>
      </c>
      <c r="D6" s="8">
        <f t="shared" si="0"/>
        <v>3799.7869999999998</v>
      </c>
      <c r="E6" s="12">
        <v>80885.162249999994</v>
      </c>
      <c r="F6" s="12">
        <v>94795.66</v>
      </c>
      <c r="G6" s="8">
        <f t="shared" si="1"/>
        <v>175680.82225</v>
      </c>
      <c r="H6" s="12">
        <v>58055.146700000005</v>
      </c>
      <c r="I6" s="12">
        <v>65873.001350000006</v>
      </c>
      <c r="J6" s="8">
        <f t="shared" si="2"/>
        <v>123928.14805000002</v>
      </c>
    </row>
    <row r="7" spans="1:12" s="7" customFormat="1" x14ac:dyDescent="0.25">
      <c r="A7" s="7">
        <v>2029</v>
      </c>
      <c r="B7" s="62">
        <v>2503.4639999999999</v>
      </c>
      <c r="C7" s="62">
        <v>2594.4740000000002</v>
      </c>
      <c r="D7" s="6">
        <f t="shared" si="0"/>
        <v>5097.9380000000001</v>
      </c>
      <c r="E7" s="62">
        <v>110164.2</v>
      </c>
      <c r="F7" s="62">
        <v>114350.395</v>
      </c>
      <c r="G7" s="6">
        <f t="shared" si="1"/>
        <v>224514.595</v>
      </c>
      <c r="H7" s="62">
        <v>82267.44</v>
      </c>
      <c r="I7" s="62">
        <v>80076.384999999995</v>
      </c>
      <c r="J7" s="6">
        <f t="shared" si="2"/>
        <v>162343.82500000001</v>
      </c>
      <c r="L7" s="7">
        <f t="shared" ref="L7:L8" si="3">G7/D7</f>
        <v>44.040275695781311</v>
      </c>
    </row>
    <row r="8" spans="1:12" s="7" customFormat="1" x14ac:dyDescent="0.25">
      <c r="A8" s="7">
        <v>2030</v>
      </c>
      <c r="B8" s="62">
        <v>2130.683</v>
      </c>
      <c r="C8" s="62">
        <v>2191.904</v>
      </c>
      <c r="D8" s="6">
        <f t="shared" si="0"/>
        <v>4322.5869999999995</v>
      </c>
      <c r="E8" s="62">
        <v>88183.53</v>
      </c>
      <c r="F8" s="62">
        <v>88271.125</v>
      </c>
      <c r="G8" s="6">
        <f t="shared" si="1"/>
        <v>176454.655</v>
      </c>
      <c r="H8" s="62">
        <v>71800.7</v>
      </c>
      <c r="I8" s="62">
        <v>69506.625</v>
      </c>
      <c r="J8" s="6">
        <f t="shared" si="2"/>
        <v>141307.32500000001</v>
      </c>
      <c r="L8" s="7">
        <f t="shared" si="3"/>
        <v>40.821539277289276</v>
      </c>
    </row>
    <row r="9" spans="1:12" s="7" customFormat="1" x14ac:dyDescent="0.25">
      <c r="A9" s="7">
        <v>2031</v>
      </c>
      <c r="B9" s="62">
        <v>1511.9670000000001</v>
      </c>
      <c r="C9" s="62">
        <v>2341.8270000000002</v>
      </c>
      <c r="D9" s="6">
        <f t="shared" si="0"/>
        <v>3853.7940000000003</v>
      </c>
      <c r="E9" s="62">
        <v>56461.055</v>
      </c>
      <c r="F9" s="62">
        <v>84103.154999999999</v>
      </c>
      <c r="G9" s="6">
        <f t="shared" si="1"/>
        <v>140564.21</v>
      </c>
      <c r="H9" s="62">
        <v>52395.99</v>
      </c>
      <c r="I9" s="62">
        <v>76410.074999999997</v>
      </c>
      <c r="J9" s="6">
        <f t="shared" si="2"/>
        <v>128806.065</v>
      </c>
      <c r="L9" s="7">
        <f>G9/D9</f>
        <v>36.474240709285439</v>
      </c>
    </row>
    <row r="10" spans="1:12" x14ac:dyDescent="0.25">
      <c r="A10">
        <v>2032</v>
      </c>
      <c r="B10" s="12">
        <v>2471.4279999999999</v>
      </c>
      <c r="C10" s="12">
        <v>2608.6390000000001</v>
      </c>
      <c r="D10" s="8">
        <f t="shared" si="0"/>
        <v>5080.067</v>
      </c>
      <c r="E10" s="12">
        <v>116551.44</v>
      </c>
      <c r="F10" s="12">
        <v>122481.315</v>
      </c>
      <c r="G10" s="8">
        <f t="shared" si="1"/>
        <v>239032.755</v>
      </c>
      <c r="H10" s="12">
        <v>88096.93</v>
      </c>
      <c r="I10" s="12">
        <v>87918.794999999998</v>
      </c>
      <c r="J10" s="8">
        <f t="shared" si="2"/>
        <v>176015.72499999998</v>
      </c>
      <c r="L10">
        <f t="shared" ref="L10:L11" si="4">G10/D10</f>
        <v>47.05307134728735</v>
      </c>
    </row>
    <row r="11" spans="1:12" x14ac:dyDescent="0.25">
      <c r="A11">
        <v>2033</v>
      </c>
      <c r="B11" s="12">
        <v>2390.402</v>
      </c>
      <c r="C11" s="12">
        <v>2170.6559999999999</v>
      </c>
      <c r="D11" s="8">
        <f t="shared" si="0"/>
        <v>4561.058</v>
      </c>
      <c r="E11" s="12">
        <v>109702.30499999999</v>
      </c>
      <c r="F11" s="12">
        <v>98474.475000000006</v>
      </c>
      <c r="G11" s="8">
        <f t="shared" si="1"/>
        <v>208176.78</v>
      </c>
      <c r="H11" s="12">
        <v>87845.824999999997</v>
      </c>
      <c r="I11" s="12">
        <v>75536.964999999997</v>
      </c>
      <c r="J11" s="8">
        <f t="shared" si="2"/>
        <v>163382.78999999998</v>
      </c>
      <c r="L11">
        <f t="shared" si="4"/>
        <v>45.642212837460079</v>
      </c>
    </row>
    <row r="12" spans="1:12" x14ac:dyDescent="0.25">
      <c r="A12">
        <v>2034</v>
      </c>
      <c r="B12" s="12">
        <v>2062.8719999999998</v>
      </c>
      <c r="C12" s="12">
        <v>2566.2750000000001</v>
      </c>
      <c r="D12" s="8">
        <f t="shared" si="0"/>
        <v>4629.1469999999999</v>
      </c>
      <c r="E12" s="12">
        <v>91206.835000000006</v>
      </c>
      <c r="F12" s="12">
        <v>113337.85</v>
      </c>
      <c r="G12" s="8">
        <f t="shared" si="1"/>
        <v>204544.685</v>
      </c>
      <c r="H12" s="12">
        <v>78069.065000000002</v>
      </c>
      <c r="I12" s="12">
        <v>91888.28</v>
      </c>
      <c r="J12" s="8">
        <f t="shared" si="2"/>
        <v>169957.345</v>
      </c>
    </row>
    <row r="13" spans="1:12" x14ac:dyDescent="0.25">
      <c r="A13">
        <v>2035</v>
      </c>
      <c r="B13" s="12">
        <v>2447.2020000000002</v>
      </c>
      <c r="C13" s="12">
        <v>2599.4450000000002</v>
      </c>
      <c r="D13" s="8">
        <f t="shared" si="0"/>
        <v>5046.6470000000008</v>
      </c>
      <c r="E13" s="12">
        <v>107781.495</v>
      </c>
      <c r="F13" s="12">
        <v>113212.74</v>
      </c>
      <c r="G13" s="8">
        <f t="shared" si="1"/>
        <v>220994.23499999999</v>
      </c>
      <c r="H13" s="12">
        <v>86583.15</v>
      </c>
      <c r="I13" s="12">
        <v>91363.975000000006</v>
      </c>
      <c r="J13" s="8">
        <f t="shared" si="2"/>
        <v>177947.125</v>
      </c>
    </row>
    <row r="21" spans="1:12" x14ac:dyDescent="0.25">
      <c r="B21" t="s">
        <v>51</v>
      </c>
      <c r="C21" t="s">
        <v>52</v>
      </c>
      <c r="D21" t="s">
        <v>52</v>
      </c>
      <c r="E21" t="s">
        <v>53</v>
      </c>
    </row>
    <row r="22" spans="1:12" x14ac:dyDescent="0.25">
      <c r="C22" t="s">
        <v>54</v>
      </c>
      <c r="D22" t="s">
        <v>55</v>
      </c>
      <c r="E22" t="s">
        <v>56</v>
      </c>
    </row>
    <row r="23" spans="1:12" ht="13" x14ac:dyDescent="0.3">
      <c r="B23" s="27" t="s">
        <v>57</v>
      </c>
      <c r="D23" s="30"/>
      <c r="E23" s="31"/>
      <c r="F23" s="31"/>
      <c r="G23" s="31"/>
      <c r="H23" s="92"/>
      <c r="I23" s="92"/>
      <c r="K23" s="92"/>
      <c r="L23" s="92"/>
    </row>
    <row r="24" spans="1:12" x14ac:dyDescent="0.25">
      <c r="A24" s="28">
        <v>2028</v>
      </c>
      <c r="B24" s="25">
        <v>199.15327227321757</v>
      </c>
      <c r="H24" s="88"/>
      <c r="I24" s="88"/>
      <c r="K24" s="88"/>
      <c r="L24" s="88"/>
    </row>
    <row r="25" spans="1:12" x14ac:dyDescent="0.25">
      <c r="A25" s="33">
        <v>2029</v>
      </c>
      <c r="B25" s="34">
        <v>203.17979597087464</v>
      </c>
      <c r="C25" s="35">
        <f t="shared" ref="C25:C29" si="5">C26</f>
        <v>780</v>
      </c>
      <c r="D25" s="35">
        <f>'ML UCAP'!C12</f>
        <v>602.69279166666661</v>
      </c>
      <c r="E25" s="36">
        <f>B25*D25*365</f>
        <v>44696074.432041809</v>
      </c>
      <c r="H25" s="89"/>
      <c r="I25" s="86"/>
      <c r="K25" s="89"/>
      <c r="L25" s="90"/>
    </row>
    <row r="26" spans="1:12" x14ac:dyDescent="0.25">
      <c r="A26" s="33">
        <v>2030</v>
      </c>
      <c r="B26" s="34">
        <v>207.27167126965119</v>
      </c>
      <c r="C26" s="35">
        <f t="shared" si="5"/>
        <v>780</v>
      </c>
      <c r="D26" s="35">
        <f>'ML UCAP'!D12</f>
        <v>606.85749999999996</v>
      </c>
      <c r="E26" s="36">
        <f t="shared" ref="E26:E30" si="6">B26*D26*365</f>
        <v>45911294.410345659</v>
      </c>
      <c r="H26" s="89"/>
      <c r="I26" s="86"/>
      <c r="K26" s="89"/>
      <c r="L26" s="90"/>
    </row>
    <row r="27" spans="1:12" x14ac:dyDescent="0.25">
      <c r="A27" s="33">
        <v>2031</v>
      </c>
      <c r="B27" s="34">
        <v>211.27457228270063</v>
      </c>
      <c r="C27" s="35">
        <f t="shared" si="5"/>
        <v>780</v>
      </c>
      <c r="D27" s="35">
        <f>'ML UCAP'!E12</f>
        <v>609.83229166666661</v>
      </c>
      <c r="E27" s="36">
        <f t="shared" si="6"/>
        <v>47027350.653909758</v>
      </c>
      <c r="H27" s="89"/>
      <c r="I27" s="86"/>
      <c r="K27" s="89"/>
      <c r="L27" s="90"/>
    </row>
    <row r="28" spans="1:12" x14ac:dyDescent="0.25">
      <c r="A28" s="68">
        <v>2032</v>
      </c>
      <c r="B28" s="69">
        <v>215.29649047238851</v>
      </c>
      <c r="C28" s="70">
        <f t="shared" si="5"/>
        <v>780</v>
      </c>
      <c r="D28" s="70">
        <f>D27</f>
        <v>609.83229166666661</v>
      </c>
      <c r="E28" s="71">
        <f t="shared" si="6"/>
        <v>47922584.542987078</v>
      </c>
      <c r="H28" s="89"/>
      <c r="I28" s="86"/>
      <c r="K28" s="89"/>
      <c r="L28" s="90"/>
    </row>
    <row r="29" spans="1:12" x14ac:dyDescent="0.25">
      <c r="A29" s="68">
        <v>2033</v>
      </c>
      <c r="B29" s="69">
        <v>219.27740584835118</v>
      </c>
      <c r="C29" s="70">
        <f t="shared" si="5"/>
        <v>780</v>
      </c>
      <c r="D29" s="70">
        <f t="shared" ref="D29:D45" si="7">D28</f>
        <v>609.83229166666661</v>
      </c>
      <c r="E29" s="71">
        <f t="shared" si="6"/>
        <v>48808691.665515937</v>
      </c>
      <c r="H29" s="89"/>
      <c r="I29" s="86"/>
      <c r="K29" s="89"/>
      <c r="L29" s="90"/>
    </row>
    <row r="30" spans="1:12" x14ac:dyDescent="0.25">
      <c r="A30" s="68">
        <v>2034</v>
      </c>
      <c r="B30" s="69">
        <v>223.3382066086661</v>
      </c>
      <c r="C30" s="70">
        <f>C31</f>
        <v>780</v>
      </c>
      <c r="D30" s="70">
        <f t="shared" si="7"/>
        <v>609.83229166666661</v>
      </c>
      <c r="E30" s="71">
        <f t="shared" si="6"/>
        <v>49712580.378803499</v>
      </c>
      <c r="H30" s="89"/>
      <c r="I30" s="86"/>
      <c r="K30" s="89"/>
      <c r="L30" s="90"/>
    </row>
    <row r="31" spans="1:12" x14ac:dyDescent="0.25">
      <c r="A31" s="68">
        <v>2035</v>
      </c>
      <c r="B31" s="69">
        <v>227.55180039875307</v>
      </c>
      <c r="C31" s="70">
        <f>'2029 NBV Starting Point'!B7</f>
        <v>780</v>
      </c>
      <c r="D31" s="70">
        <f t="shared" si="7"/>
        <v>609.83229166666661</v>
      </c>
      <c r="E31" s="71">
        <f>B31*D31*365</f>
        <v>50650479.107167333</v>
      </c>
      <c r="F31" s="21"/>
      <c r="H31" s="89"/>
      <c r="I31" s="86"/>
      <c r="K31" s="89"/>
      <c r="L31" s="90"/>
    </row>
    <row r="32" spans="1:12" x14ac:dyDescent="0.25">
      <c r="A32" s="68">
        <v>2036</v>
      </c>
      <c r="B32" s="69">
        <v>231.97365042463616</v>
      </c>
      <c r="C32" s="70">
        <f>C31</f>
        <v>780</v>
      </c>
      <c r="D32" s="70">
        <f t="shared" si="7"/>
        <v>609.83229166666661</v>
      </c>
      <c r="E32" s="71">
        <f t="shared" ref="E32:E45" si="8">B32*D32*365</f>
        <v>51634733.338329405</v>
      </c>
      <c r="H32" s="89"/>
      <c r="I32" s="86"/>
      <c r="K32" s="89"/>
      <c r="L32" s="90"/>
    </row>
    <row r="33" spans="1:12" x14ac:dyDescent="0.25">
      <c r="A33" s="68">
        <v>2037</v>
      </c>
      <c r="B33" s="69">
        <v>236.5715221097108</v>
      </c>
      <c r="C33" s="70">
        <f t="shared" ref="C33:C45" si="9">C32</f>
        <v>780</v>
      </c>
      <c r="D33" s="70">
        <f t="shared" si="7"/>
        <v>609.83229166666661</v>
      </c>
      <c r="E33" s="71">
        <f t="shared" si="8"/>
        <v>52658168.017001294</v>
      </c>
      <c r="H33" s="89"/>
      <c r="I33" s="86"/>
      <c r="K33" s="89"/>
      <c r="L33" s="90"/>
    </row>
    <row r="34" spans="1:12" x14ac:dyDescent="0.25">
      <c r="A34" s="68">
        <v>2038</v>
      </c>
      <c r="B34" s="69">
        <v>241.33494957828782</v>
      </c>
      <c r="C34" s="70">
        <f t="shared" si="9"/>
        <v>780</v>
      </c>
      <c r="D34" s="70">
        <f t="shared" si="7"/>
        <v>609.83229166666661</v>
      </c>
      <c r="E34" s="71">
        <f t="shared" si="8"/>
        <v>53718453.556614153</v>
      </c>
      <c r="H34" s="89"/>
      <c r="I34" s="86"/>
      <c r="K34" s="89"/>
      <c r="L34" s="90"/>
    </row>
    <row r="35" spans="1:12" x14ac:dyDescent="0.25">
      <c r="A35" s="68">
        <v>2039</v>
      </c>
      <c r="B35" s="69">
        <v>246.2695004786184</v>
      </c>
      <c r="C35" s="70">
        <f t="shared" si="9"/>
        <v>780</v>
      </c>
      <c r="D35" s="70">
        <f t="shared" si="7"/>
        <v>609.83229166666661</v>
      </c>
      <c r="E35" s="71">
        <f t="shared" si="8"/>
        <v>54816829.253235601</v>
      </c>
      <c r="H35" s="89"/>
      <c r="I35" s="86"/>
      <c r="K35" s="89"/>
      <c r="L35" s="90"/>
    </row>
    <row r="36" spans="1:12" x14ac:dyDescent="0.25">
      <c r="A36" s="68">
        <v>2040</v>
      </c>
      <c r="B36" s="69">
        <v>251.38550346535465</v>
      </c>
      <c r="C36" s="70">
        <f t="shared" si="9"/>
        <v>780</v>
      </c>
      <c r="D36" s="70">
        <f t="shared" si="7"/>
        <v>609.83229166666661</v>
      </c>
      <c r="E36" s="71">
        <f t="shared" si="8"/>
        <v>55955594.149570435</v>
      </c>
      <c r="H36" s="89"/>
      <c r="I36" s="86"/>
      <c r="K36" s="89"/>
      <c r="L36" s="90"/>
    </row>
    <row r="37" spans="1:12" x14ac:dyDescent="0.25">
      <c r="A37" s="68">
        <v>2041</v>
      </c>
      <c r="B37" s="69">
        <v>256.67006117053785</v>
      </c>
      <c r="C37" s="70">
        <f t="shared" si="9"/>
        <v>780</v>
      </c>
      <c r="D37" s="70">
        <f t="shared" si="7"/>
        <v>609.83229166666661</v>
      </c>
      <c r="E37" s="71">
        <f t="shared" si="8"/>
        <v>57131877.436136201</v>
      </c>
    </row>
    <row r="38" spans="1:12" x14ac:dyDescent="0.25">
      <c r="A38" s="68">
        <v>2042</v>
      </c>
      <c r="B38" s="69">
        <v>262.03223643260503</v>
      </c>
      <c r="C38" s="70">
        <f t="shared" si="9"/>
        <v>780</v>
      </c>
      <c r="D38" s="70">
        <f t="shared" si="7"/>
        <v>609.83229166666661</v>
      </c>
      <c r="E38" s="71">
        <f t="shared" si="8"/>
        <v>58325437.520496629</v>
      </c>
    </row>
    <row r="39" spans="1:12" x14ac:dyDescent="0.25">
      <c r="A39" s="68">
        <v>2043</v>
      </c>
      <c r="B39" s="69">
        <v>267.53537666499085</v>
      </c>
      <c r="C39" s="70">
        <f t="shared" si="9"/>
        <v>780</v>
      </c>
      <c r="D39" s="70">
        <f t="shared" si="7"/>
        <v>609.83229166666661</v>
      </c>
      <c r="E39" s="71">
        <f t="shared" si="8"/>
        <v>59550374.826533414</v>
      </c>
    </row>
    <row r="40" spans="1:12" x14ac:dyDescent="0.25">
      <c r="A40" s="68">
        <v>2044</v>
      </c>
      <c r="B40" s="69">
        <v>273.21131297953235</v>
      </c>
      <c r="C40" s="70">
        <f t="shared" si="9"/>
        <v>780</v>
      </c>
      <c r="D40" s="70">
        <f t="shared" si="7"/>
        <v>609.83229166666661</v>
      </c>
      <c r="E40" s="71">
        <f t="shared" si="8"/>
        <v>60813774.602802001</v>
      </c>
    </row>
    <row r="41" spans="1:12" x14ac:dyDescent="0.25">
      <c r="A41" s="68">
        <v>2045</v>
      </c>
      <c r="B41" s="69">
        <v>279.09779305248475</v>
      </c>
      <c r="C41" s="70">
        <f t="shared" si="9"/>
        <v>780</v>
      </c>
      <c r="D41" s="70">
        <f t="shared" si="7"/>
        <v>609.83229166666661</v>
      </c>
      <c r="E41" s="71">
        <f t="shared" si="8"/>
        <v>62124039.058751628</v>
      </c>
    </row>
    <row r="42" spans="1:12" x14ac:dyDescent="0.25">
      <c r="A42" s="68">
        <v>2046</v>
      </c>
      <c r="B42" s="69">
        <v>285.1478444394595</v>
      </c>
      <c r="C42" s="70">
        <f t="shared" si="9"/>
        <v>780</v>
      </c>
      <c r="D42" s="70">
        <f t="shared" si="7"/>
        <v>609.83229166666661</v>
      </c>
      <c r="E42" s="71">
        <f t="shared" si="8"/>
        <v>63470712.6549889</v>
      </c>
    </row>
    <row r="43" spans="1:12" x14ac:dyDescent="0.25">
      <c r="A43" s="68">
        <v>2047</v>
      </c>
      <c r="B43" s="69">
        <v>291.29415137424871</v>
      </c>
      <c r="C43" s="70">
        <f t="shared" si="9"/>
        <v>780</v>
      </c>
      <c r="D43" s="70">
        <f t="shared" si="7"/>
        <v>609.83229166666661</v>
      </c>
      <c r="E43" s="71">
        <f t="shared" si="8"/>
        <v>64838811.656804062</v>
      </c>
    </row>
    <row r="44" spans="1:12" x14ac:dyDescent="0.25">
      <c r="A44" s="68">
        <v>2048</v>
      </c>
      <c r="B44" s="69">
        <v>297.57178595446345</v>
      </c>
      <c r="C44" s="70">
        <f t="shared" si="9"/>
        <v>780</v>
      </c>
      <c r="D44" s="70">
        <f t="shared" si="7"/>
        <v>609.83229166666661</v>
      </c>
      <c r="E44" s="71">
        <f t="shared" si="8"/>
        <v>66236142.719842933</v>
      </c>
    </row>
    <row r="45" spans="1:12" x14ac:dyDescent="0.25">
      <c r="A45" s="68">
        <v>2049</v>
      </c>
      <c r="B45" s="69">
        <v>304.02203032431601</v>
      </c>
      <c r="C45" s="70">
        <f t="shared" si="9"/>
        <v>780</v>
      </c>
      <c r="D45" s="70">
        <f t="shared" si="7"/>
        <v>609.83229166666661</v>
      </c>
      <c r="E45" s="71">
        <f t="shared" si="8"/>
        <v>67671894.786488116</v>
      </c>
    </row>
    <row r="46" spans="1:12" x14ac:dyDescent="0.25">
      <c r="A46" s="68">
        <v>2050</v>
      </c>
      <c r="B46" s="69">
        <v>310.64277035791946</v>
      </c>
      <c r="C46" s="72"/>
      <c r="D46" s="72"/>
      <c r="E46" s="71"/>
    </row>
    <row r="47" spans="1:12" x14ac:dyDescent="0.25">
      <c r="A47" s="28"/>
      <c r="B47" s="25"/>
      <c r="C47" s="26"/>
      <c r="D47" s="26"/>
      <c r="E47" s="11"/>
    </row>
    <row r="48" spans="1:12" x14ac:dyDescent="0.25">
      <c r="A48" s="28"/>
      <c r="B48" s="25"/>
      <c r="C48" s="26"/>
      <c r="D48" s="26"/>
      <c r="E48" s="11"/>
    </row>
    <row r="49" spans="1:5" x14ac:dyDescent="0.25">
      <c r="A49" s="28"/>
      <c r="B49" s="25"/>
      <c r="C49" s="26"/>
      <c r="D49" s="26"/>
      <c r="E49" s="11"/>
    </row>
    <row r="50" spans="1:5" x14ac:dyDescent="0.25">
      <c r="A50" s="28"/>
      <c r="B50" s="25"/>
      <c r="C50" s="26"/>
      <c r="D50" s="26"/>
      <c r="E50" s="11"/>
    </row>
    <row r="51" spans="1:5" x14ac:dyDescent="0.25">
      <c r="A51" s="28"/>
      <c r="B51" s="25"/>
      <c r="C51" s="26"/>
      <c r="D51" s="26"/>
      <c r="E51" s="11"/>
    </row>
    <row r="52" spans="1:5" x14ac:dyDescent="0.25">
      <c r="A52" s="28"/>
      <c r="B52" s="25"/>
      <c r="C52" s="26"/>
      <c r="D52" s="26"/>
      <c r="E52" s="11"/>
    </row>
    <row r="53" spans="1:5" x14ac:dyDescent="0.25">
      <c r="A53" s="28"/>
      <c r="B53" s="25"/>
      <c r="C53" s="26"/>
      <c r="D53" s="26"/>
      <c r="E53" s="11"/>
    </row>
    <row r="54" spans="1:5" x14ac:dyDescent="0.25">
      <c r="A54" s="28"/>
      <c r="B54" s="25"/>
      <c r="C54" s="26"/>
      <c r="D54" s="26"/>
      <c r="E54" s="11"/>
    </row>
    <row r="55" spans="1:5" x14ac:dyDescent="0.25">
      <c r="A55" s="28"/>
      <c r="B55" s="25"/>
      <c r="C55" s="26"/>
      <c r="D55" s="26"/>
      <c r="E55" s="11"/>
    </row>
    <row r="56" spans="1:5" x14ac:dyDescent="0.25">
      <c r="A56" s="28"/>
      <c r="B56" s="25"/>
      <c r="C56" s="26"/>
      <c r="D56" s="26"/>
      <c r="E56" s="11"/>
    </row>
  </sheetData>
  <mergeCells count="5">
    <mergeCell ref="B1:D1"/>
    <mergeCell ref="E1:G1"/>
    <mergeCell ref="H1:J1"/>
    <mergeCell ref="K23:L23"/>
    <mergeCell ref="H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7DCC-845B-4BF8-9550-726AE5F37EBA}">
  <dimension ref="A3:T40"/>
  <sheetViews>
    <sheetView topLeftCell="H1" workbookViewId="0">
      <selection activeCell="M18" sqref="M18"/>
    </sheetView>
  </sheetViews>
  <sheetFormatPr defaultRowHeight="12.5" x14ac:dyDescent="0.25"/>
  <cols>
    <col min="1" max="1" width="8.7265625" style="1"/>
    <col min="2" max="2" width="10" style="1" customWidth="1"/>
    <col min="3" max="3" width="18.6328125" style="1" bestFit="1" customWidth="1"/>
    <col min="4" max="5" width="10.26953125" style="1" customWidth="1"/>
    <col min="6" max="6" width="8.7265625" style="1"/>
    <col min="7" max="7" width="9.1796875" style="1" bestFit="1" customWidth="1"/>
    <col min="8" max="8" width="8.7265625" style="1"/>
    <col min="9" max="9" width="9.1796875" style="1" bestFit="1" customWidth="1"/>
    <col min="10" max="10" width="8.7265625" style="1"/>
    <col min="11" max="11" width="9.1796875" style="1" bestFit="1" customWidth="1"/>
    <col min="12" max="16384" width="8.7265625" style="1"/>
  </cols>
  <sheetData>
    <row r="3" spans="1:11" x14ac:dyDescent="0.25">
      <c r="D3" s="93" t="s">
        <v>64</v>
      </c>
      <c r="E3" s="93"/>
      <c r="F3" s="93" t="s">
        <v>65</v>
      </c>
      <c r="G3" s="93"/>
      <c r="H3" s="93" t="s">
        <v>66</v>
      </c>
      <c r="I3" s="93"/>
      <c r="J3" s="93" t="s">
        <v>67</v>
      </c>
      <c r="K3" s="93"/>
    </row>
    <row r="4" spans="1:11" x14ac:dyDescent="0.25">
      <c r="B4" s="1" t="s">
        <v>9</v>
      </c>
      <c r="C4" s="1" t="s">
        <v>63</v>
      </c>
      <c r="D4" s="3" t="s">
        <v>68</v>
      </c>
      <c r="E4" s="3" t="s">
        <v>69</v>
      </c>
      <c r="F4" s="3" t="s">
        <v>68</v>
      </c>
      <c r="G4" s="3" t="s">
        <v>69</v>
      </c>
      <c r="H4" s="3" t="s">
        <v>68</v>
      </c>
      <c r="I4" s="3" t="s">
        <v>69</v>
      </c>
      <c r="J4" s="3" t="s">
        <v>68</v>
      </c>
      <c r="K4" s="3" t="s">
        <v>69</v>
      </c>
    </row>
    <row r="5" spans="1:11" x14ac:dyDescent="0.25">
      <c r="A5" s="1" t="s">
        <v>61</v>
      </c>
      <c r="B5" s="1">
        <v>770</v>
      </c>
      <c r="C5" s="1">
        <v>0.89</v>
      </c>
      <c r="D5" s="1">
        <v>0.84</v>
      </c>
      <c r="E5" s="80">
        <f>$B5*$C5*D5</f>
        <v>575.65199999999993</v>
      </c>
      <c r="F5" s="1">
        <v>0.85</v>
      </c>
      <c r="G5" s="80">
        <f>$B5*$C5*F5</f>
        <v>582.505</v>
      </c>
      <c r="H5" s="1">
        <v>0.85</v>
      </c>
      <c r="I5" s="80">
        <f>$B5*$C5*H5</f>
        <v>582.505</v>
      </c>
      <c r="J5" s="1">
        <v>0.86</v>
      </c>
      <c r="K5" s="80">
        <f>$B5*$C5*J5</f>
        <v>589.35799999999995</v>
      </c>
    </row>
    <row r="6" spans="1:11" x14ac:dyDescent="0.25">
      <c r="A6" s="1" t="s">
        <v>62</v>
      </c>
      <c r="B6" s="1">
        <v>790</v>
      </c>
      <c r="C6" s="1">
        <v>0.94</v>
      </c>
      <c r="D6" s="1">
        <v>0.84</v>
      </c>
      <c r="E6" s="80">
        <f>$B6*$C6*D6</f>
        <v>623.78399999999988</v>
      </c>
      <c r="F6" s="1">
        <v>0.85</v>
      </c>
      <c r="G6" s="80">
        <f>$B6*$C6*F6</f>
        <v>631.20999999999992</v>
      </c>
      <c r="H6" s="1">
        <v>0.85</v>
      </c>
      <c r="I6" s="80">
        <f>$B6*$C6*H6</f>
        <v>631.20999999999992</v>
      </c>
      <c r="J6" s="1">
        <v>0.86</v>
      </c>
      <c r="K6" s="80">
        <f>$B6*$C6*J6</f>
        <v>638.63599999999997</v>
      </c>
    </row>
    <row r="7" spans="1:11" x14ac:dyDescent="0.25">
      <c r="A7" s="1" t="s">
        <v>1</v>
      </c>
      <c r="E7" s="81">
        <f>SUM(E5:E6)</f>
        <v>1199.4359999999997</v>
      </c>
      <c r="G7" s="81">
        <f>SUM(G5:G6)</f>
        <v>1213.7149999999999</v>
      </c>
      <c r="I7" s="81">
        <f>SUM(I5:I6)</f>
        <v>1213.7149999999999</v>
      </c>
      <c r="K7" s="81">
        <f>SUM(K5:K6)</f>
        <v>1227.9939999999999</v>
      </c>
    </row>
    <row r="9" spans="1:11" x14ac:dyDescent="0.25">
      <c r="C9" s="3">
        <v>2029</v>
      </c>
      <c r="D9" s="3">
        <v>2030</v>
      </c>
      <c r="E9" s="3">
        <v>2031</v>
      </c>
    </row>
    <row r="10" spans="1:11" x14ac:dyDescent="0.25">
      <c r="A10" s="1" t="s">
        <v>70</v>
      </c>
      <c r="C10" s="81">
        <f>(G7*(5/12))+(E7*(7/12))</f>
        <v>1205.3855833333332</v>
      </c>
      <c r="D10" s="81">
        <f>(I7*(5/12))+(G7*(7/12))</f>
        <v>1213.7149999999999</v>
      </c>
      <c r="E10" s="81">
        <f>(K7*(5/12))+(I7*(7/12))</f>
        <v>1219.6645833333332</v>
      </c>
    </row>
    <row r="12" spans="1:11" x14ac:dyDescent="0.25">
      <c r="A12" s="1" t="s">
        <v>71</v>
      </c>
      <c r="C12" s="2">
        <f>C10/2</f>
        <v>602.69279166666661</v>
      </c>
      <c r="D12" s="2">
        <f>D10/2</f>
        <v>606.85749999999996</v>
      </c>
      <c r="E12" s="2">
        <f>E10/2</f>
        <v>609.83229166666661</v>
      </c>
    </row>
    <row r="40" spans="20:20" x14ac:dyDescent="0.25">
      <c r="T40" s="82" t="s">
        <v>60</v>
      </c>
    </row>
  </sheetData>
  <mergeCells count="4">
    <mergeCell ref="D3:E3"/>
    <mergeCell ref="F3:G3"/>
    <mergeCell ref="H3:I3"/>
    <mergeCell ref="J3:K3"/>
  </mergeCells>
  <hyperlinks>
    <hyperlink ref="T40" r:id="rId1" display="https://www.pjm.com/-/media/DotCom/planning/res-adeq/elcc/preliminary-elcc-class-ratings-for-period-2026-2027-through-2034-2035.pdf" xr:uid="{EBF92ACC-9781-4AF1-AB4B-3D7A67CFB68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0AC8-7AC7-4C61-BB98-45A275A2DA67}">
  <dimension ref="A1:O30"/>
  <sheetViews>
    <sheetView topLeftCell="L12" zoomScaleNormal="100" workbookViewId="0">
      <selection activeCell="C27" sqref="C27"/>
    </sheetView>
  </sheetViews>
  <sheetFormatPr defaultRowHeight="12.5" x14ac:dyDescent="0.25"/>
  <cols>
    <col min="1" max="1" width="24.36328125" bestFit="1" customWidth="1"/>
    <col min="3" max="14" width="17.36328125" customWidth="1"/>
    <col min="15" max="15" width="14.81640625" bestFit="1" customWidth="1"/>
  </cols>
  <sheetData>
    <row r="1" spans="1:15" ht="14" x14ac:dyDescent="0.3">
      <c r="A1" s="9" t="s">
        <v>4</v>
      </c>
      <c r="B1" s="9"/>
    </row>
    <row r="3" spans="1:15" ht="13" x14ac:dyDescent="0.3">
      <c r="B3" s="13"/>
      <c r="C3" s="13" t="s">
        <v>3</v>
      </c>
    </row>
    <row r="4" spans="1:15" ht="13" x14ac:dyDescent="0.3">
      <c r="B4" s="13" t="s">
        <v>9</v>
      </c>
      <c r="C4" s="4">
        <v>47118</v>
      </c>
    </row>
    <row r="5" spans="1:15" x14ac:dyDescent="0.25">
      <c r="B5" s="12"/>
      <c r="C5" s="11"/>
    </row>
    <row r="6" spans="1:15" x14ac:dyDescent="0.25">
      <c r="B6" s="12"/>
      <c r="C6" s="11"/>
    </row>
    <row r="7" spans="1:15" ht="13" x14ac:dyDescent="0.3">
      <c r="A7" t="s">
        <v>38</v>
      </c>
      <c r="B7" s="12">
        <v>780</v>
      </c>
      <c r="C7" s="73">
        <f>'2029 NBV Starting Point'!F7</f>
        <v>454120896.98000002</v>
      </c>
    </row>
    <row r="8" spans="1:15" x14ac:dyDescent="0.25">
      <c r="B8" s="12"/>
      <c r="C8" s="11"/>
    </row>
    <row r="9" spans="1:15" x14ac:dyDescent="0.25">
      <c r="B9" s="12"/>
      <c r="C9" s="11"/>
    </row>
    <row r="10" spans="1:15" x14ac:dyDescent="0.25">
      <c r="C10" s="11"/>
    </row>
    <row r="11" spans="1:15" x14ac:dyDescent="0.25">
      <c r="C11" s="11"/>
    </row>
    <row r="12" spans="1:15" x14ac:dyDescent="0.25">
      <c r="A12" t="s">
        <v>8</v>
      </c>
      <c r="B12" s="74">
        <v>1.08</v>
      </c>
    </row>
    <row r="15" spans="1:15" x14ac:dyDescent="0.25">
      <c r="A15" s="15" t="s">
        <v>26</v>
      </c>
      <c r="B15" s="15"/>
      <c r="C15" s="16">
        <v>2029</v>
      </c>
      <c r="D15" s="16">
        <v>2030</v>
      </c>
      <c r="E15" s="16">
        <v>2031</v>
      </c>
      <c r="F15" s="16">
        <v>2032</v>
      </c>
      <c r="G15" s="16">
        <v>2033</v>
      </c>
      <c r="H15" s="16">
        <v>2034</v>
      </c>
      <c r="I15" s="16">
        <v>2035</v>
      </c>
      <c r="J15" s="16">
        <v>2036</v>
      </c>
      <c r="K15" s="16">
        <v>2037</v>
      </c>
      <c r="L15" s="16">
        <v>2038</v>
      </c>
      <c r="M15" s="16">
        <v>2039</v>
      </c>
      <c r="N15" s="16">
        <v>2040</v>
      </c>
      <c r="O15" t="s">
        <v>30</v>
      </c>
    </row>
    <row r="16" spans="1:15" x14ac:dyDescent="0.25">
      <c r="A16" t="s">
        <v>38</v>
      </c>
      <c r="C16" s="14">
        <f>C7/12</f>
        <v>37843408.081666671</v>
      </c>
      <c r="D16" s="14">
        <f>C16</f>
        <v>37843408.081666671</v>
      </c>
      <c r="E16" s="14">
        <f t="shared" ref="E16:K16" si="0">D16</f>
        <v>37843408.081666671</v>
      </c>
      <c r="F16" s="14">
        <f t="shared" si="0"/>
        <v>37843408.081666671</v>
      </c>
      <c r="G16" s="14">
        <f t="shared" si="0"/>
        <v>37843408.081666671</v>
      </c>
      <c r="H16" s="14">
        <f t="shared" si="0"/>
        <v>37843408.081666671</v>
      </c>
      <c r="I16" s="14">
        <f t="shared" si="0"/>
        <v>37843408.081666671</v>
      </c>
      <c r="J16" s="14">
        <f t="shared" si="0"/>
        <v>37843408.081666671</v>
      </c>
      <c r="K16" s="14">
        <f t="shared" si="0"/>
        <v>37843408.081666671</v>
      </c>
      <c r="L16" s="14">
        <f t="shared" ref="L16:N16" si="1">K16</f>
        <v>37843408.081666671</v>
      </c>
      <c r="M16" s="14">
        <f t="shared" si="1"/>
        <v>37843408.081666671</v>
      </c>
      <c r="N16" s="14">
        <f t="shared" si="1"/>
        <v>37843408.081666671</v>
      </c>
      <c r="O16" s="14">
        <f>SUM(C16:N16)-C7</f>
        <v>0</v>
      </c>
    </row>
    <row r="18" spans="1:14" x14ac:dyDescent="0.25">
      <c r="A18" s="15" t="s">
        <v>27</v>
      </c>
      <c r="B18" s="15"/>
      <c r="C18" s="16">
        <v>2029</v>
      </c>
      <c r="D18" s="16">
        <v>2030</v>
      </c>
      <c r="E18" s="16">
        <v>2031</v>
      </c>
      <c r="F18" s="16">
        <v>2032</v>
      </c>
      <c r="G18" s="16">
        <v>2033</v>
      </c>
      <c r="H18" s="16">
        <v>2034</v>
      </c>
      <c r="I18" s="16">
        <v>2035</v>
      </c>
      <c r="J18" s="16">
        <v>2036</v>
      </c>
      <c r="K18" s="16">
        <v>2037</v>
      </c>
      <c r="L18" s="16">
        <v>2038</v>
      </c>
      <c r="M18" s="16">
        <v>2039</v>
      </c>
      <c r="N18" s="16">
        <v>2040</v>
      </c>
    </row>
    <row r="19" spans="1:14" x14ac:dyDescent="0.25">
      <c r="A19" t="s">
        <v>38</v>
      </c>
      <c r="C19" s="11">
        <f>C7-C16</f>
        <v>416277488.89833337</v>
      </c>
      <c r="D19" s="11">
        <f>$C7-SUM($C16:D16)</f>
        <v>378434080.81666666</v>
      </c>
      <c r="E19" s="11">
        <f>$C7-SUM($C16:E16)</f>
        <v>340590672.73500001</v>
      </c>
      <c r="F19" s="11">
        <f>$C7-SUM($C16:F16)</f>
        <v>302747264.65333331</v>
      </c>
      <c r="G19" s="11">
        <f>$C7-SUM($C16:G16)</f>
        <v>264903856.57166666</v>
      </c>
      <c r="H19" s="11">
        <f>$C7-SUM($C16:H16)</f>
        <v>227060448.48999998</v>
      </c>
      <c r="I19" s="11">
        <f>$C7-SUM($C16:I16)</f>
        <v>189217040.4083333</v>
      </c>
      <c r="J19" s="11">
        <f>$C7-SUM($C16:J16)</f>
        <v>151373632.32666665</v>
      </c>
      <c r="K19" s="11">
        <f>$C7-SUM($C16:K16)</f>
        <v>113530224.245</v>
      </c>
      <c r="L19" s="11">
        <f>$C7-SUM($C16:L16)</f>
        <v>75686816.163333356</v>
      </c>
      <c r="M19" s="11">
        <f>$C7-SUM($C16:M16)</f>
        <v>37843408.081666708</v>
      </c>
      <c r="N19" s="11">
        <f>$C7-SUM($C16:N16)</f>
        <v>0</v>
      </c>
    </row>
    <row r="21" spans="1:14" x14ac:dyDescent="0.25">
      <c r="A21" s="15" t="s">
        <v>28</v>
      </c>
      <c r="B21" s="15"/>
      <c r="C21" s="16">
        <v>2029</v>
      </c>
      <c r="D21" s="16">
        <v>2030</v>
      </c>
      <c r="E21" s="16">
        <v>2031</v>
      </c>
      <c r="F21" s="16">
        <v>2032</v>
      </c>
      <c r="G21" s="16">
        <v>2033</v>
      </c>
      <c r="H21" s="16">
        <v>2034</v>
      </c>
      <c r="I21" s="16">
        <v>2035</v>
      </c>
      <c r="J21" s="16">
        <v>2036</v>
      </c>
      <c r="K21" s="16">
        <v>2037</v>
      </c>
      <c r="L21" s="16">
        <v>2038</v>
      </c>
      <c r="M21" s="16">
        <v>2039</v>
      </c>
      <c r="N21" s="16">
        <v>2040</v>
      </c>
    </row>
    <row r="22" spans="1:14" x14ac:dyDescent="0.25">
      <c r="A22" t="s">
        <v>38</v>
      </c>
      <c r="C22" s="11">
        <f>C7*$B$30</f>
        <v>37311578.275749341</v>
      </c>
      <c r="D22" s="11">
        <f>C19*$B$30</f>
        <v>34202280.086103566</v>
      </c>
      <c r="E22" s="11">
        <f t="shared" ref="E22:N22" si="2">D19*$B$30</f>
        <v>31092981.89645778</v>
      </c>
      <c r="F22" s="11">
        <f t="shared" si="2"/>
        <v>27983683.706812005</v>
      </c>
      <c r="G22" s="11">
        <f t="shared" si="2"/>
        <v>24874385.517166223</v>
      </c>
      <c r="H22" s="11">
        <f t="shared" si="2"/>
        <v>21765087.327520445</v>
      </c>
      <c r="I22" s="11">
        <f t="shared" si="2"/>
        <v>18655789.137874667</v>
      </c>
      <c r="J22" s="11">
        <f t="shared" si="2"/>
        <v>15546490.948228888</v>
      </c>
      <c r="K22" s="11">
        <f t="shared" si="2"/>
        <v>12437192.758583112</v>
      </c>
      <c r="L22" s="11">
        <f t="shared" si="2"/>
        <v>9327894.5689373352</v>
      </c>
      <c r="M22" s="11">
        <f t="shared" si="2"/>
        <v>6218596.3792915577</v>
      </c>
      <c r="N22" s="11">
        <f t="shared" si="2"/>
        <v>3109298.1896457816</v>
      </c>
    </row>
    <row r="23" spans="1:14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6" spans="1:14" ht="13" x14ac:dyDescent="0.3">
      <c r="A26" s="17" t="s">
        <v>29</v>
      </c>
      <c r="B26" s="15"/>
      <c r="C26" s="16">
        <v>2029</v>
      </c>
      <c r="D26" s="16">
        <v>2030</v>
      </c>
      <c r="E26" s="16">
        <v>2031</v>
      </c>
      <c r="F26" s="16">
        <v>2032</v>
      </c>
      <c r="G26" s="16">
        <v>2033</v>
      </c>
      <c r="H26" s="16">
        <v>2034</v>
      </c>
      <c r="I26" s="16">
        <v>2035</v>
      </c>
      <c r="J26" s="16">
        <v>2036</v>
      </c>
      <c r="K26" s="16">
        <v>2037</v>
      </c>
      <c r="L26" s="16">
        <v>2038</v>
      </c>
      <c r="M26" s="16">
        <v>2039</v>
      </c>
      <c r="N26" s="16">
        <v>2040</v>
      </c>
    </row>
    <row r="27" spans="1:14" x14ac:dyDescent="0.25">
      <c r="A27" s="18" t="s">
        <v>38</v>
      </c>
      <c r="B27" s="18"/>
      <c r="C27" s="19">
        <f t="shared" ref="C27:N27" si="3">C22+C16</f>
        <v>75154986.357416004</v>
      </c>
      <c r="D27" s="19">
        <f t="shared" si="3"/>
        <v>72045688.167770237</v>
      </c>
      <c r="E27" s="19">
        <f t="shared" si="3"/>
        <v>68936389.978124455</v>
      </c>
      <c r="F27" s="19">
        <f t="shared" si="3"/>
        <v>65827091.788478673</v>
      </c>
      <c r="G27" s="19">
        <f t="shared" si="3"/>
        <v>62717793.59883289</v>
      </c>
      <c r="H27" s="19">
        <f t="shared" si="3"/>
        <v>59608495.409187116</v>
      </c>
      <c r="I27" s="19">
        <f t="shared" si="3"/>
        <v>56499197.219541341</v>
      </c>
      <c r="J27" s="19">
        <f t="shared" si="3"/>
        <v>53389899.029895559</v>
      </c>
      <c r="K27" s="19">
        <f t="shared" si="3"/>
        <v>50280600.840249784</v>
      </c>
      <c r="L27" s="19">
        <f t="shared" si="3"/>
        <v>47171302.65060401</v>
      </c>
      <c r="M27" s="19">
        <f t="shared" si="3"/>
        <v>44062004.460958228</v>
      </c>
      <c r="N27" s="19">
        <f t="shared" si="3"/>
        <v>40952706.271312453</v>
      </c>
    </row>
    <row r="28" spans="1:14" x14ac:dyDescent="0.25">
      <c r="C28" s="14"/>
      <c r="D28" s="14"/>
      <c r="E28" s="14"/>
      <c r="F28" s="14"/>
      <c r="G28" s="14"/>
      <c r="H28" s="14"/>
      <c r="I28" s="14"/>
      <c r="J28" s="14"/>
      <c r="K28" s="14"/>
    </row>
    <row r="29" spans="1:14" x14ac:dyDescent="0.25">
      <c r="A29" t="s">
        <v>31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1:14" x14ac:dyDescent="0.25">
      <c r="A30" t="s">
        <v>8</v>
      </c>
      <c r="B30" s="75">
        <v>8.2162213903564499E-2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5C5D-14C8-4562-A631-8ADF20E3D1B4}">
  <dimension ref="A1:J32"/>
  <sheetViews>
    <sheetView zoomScale="130" zoomScaleNormal="130" workbookViewId="0">
      <selection activeCell="D29" sqref="D29"/>
    </sheetView>
  </sheetViews>
  <sheetFormatPr defaultRowHeight="12.5" x14ac:dyDescent="0.25"/>
  <cols>
    <col min="1" max="1" width="30.36328125" customWidth="1"/>
    <col min="2" max="2" width="15.1796875" customWidth="1"/>
    <col min="3" max="3" width="18.26953125" customWidth="1"/>
    <col min="4" max="4" width="19.36328125" customWidth="1"/>
    <col min="5" max="5" width="16.08984375" customWidth="1"/>
    <col min="6" max="6" width="14.81640625" bestFit="1" customWidth="1"/>
    <col min="7" max="7" width="2.453125" customWidth="1"/>
  </cols>
  <sheetData>
    <row r="1" spans="1:10" ht="14" x14ac:dyDescent="0.3">
      <c r="A1" s="9" t="s">
        <v>4</v>
      </c>
      <c r="B1" s="9"/>
    </row>
    <row r="3" spans="1:10" ht="13" x14ac:dyDescent="0.3">
      <c r="B3" s="13"/>
      <c r="C3" s="20">
        <v>45657</v>
      </c>
      <c r="D3" s="13"/>
      <c r="E3" s="13" t="s">
        <v>6</v>
      </c>
      <c r="F3" s="13" t="s">
        <v>7</v>
      </c>
      <c r="G3" s="13"/>
      <c r="H3" s="10"/>
      <c r="I3" s="10"/>
      <c r="J3" s="10"/>
    </row>
    <row r="4" spans="1:10" ht="13" x14ac:dyDescent="0.3">
      <c r="B4" s="13" t="s">
        <v>9</v>
      </c>
      <c r="C4" s="13" t="s">
        <v>3</v>
      </c>
      <c r="D4" s="13" t="s">
        <v>5</v>
      </c>
      <c r="E4" s="13" t="s">
        <v>32</v>
      </c>
      <c r="F4" s="20">
        <v>47118</v>
      </c>
      <c r="G4" s="13"/>
      <c r="H4" s="10"/>
      <c r="I4" s="10"/>
      <c r="J4" s="10"/>
    </row>
    <row r="5" spans="1:10" x14ac:dyDescent="0.25">
      <c r="B5" s="12"/>
      <c r="C5" s="11"/>
      <c r="D5" s="11"/>
      <c r="E5" s="11"/>
      <c r="F5" s="11"/>
      <c r="G5" s="11"/>
    </row>
    <row r="6" spans="1:10" x14ac:dyDescent="0.25">
      <c r="A6" t="s">
        <v>10</v>
      </c>
      <c r="B6" s="12"/>
      <c r="C6" s="11">
        <v>1304910116.99</v>
      </c>
      <c r="D6" s="11">
        <f>SUM(D7:D8)</f>
        <v>69867455.640000001</v>
      </c>
      <c r="E6" s="11">
        <f>SUM(E7:E8)</f>
        <v>209279650.12300003</v>
      </c>
      <c r="F6" s="11">
        <f>SUM(F7:F8)</f>
        <v>1234719944.553</v>
      </c>
      <c r="G6" s="11"/>
    </row>
    <row r="7" spans="1:10" x14ac:dyDescent="0.25">
      <c r="A7" t="s">
        <v>0</v>
      </c>
      <c r="B7" s="12">
        <v>780</v>
      </c>
      <c r="C7" s="11">
        <v>547264845.86000001</v>
      </c>
      <c r="D7" s="11">
        <v>30724614</v>
      </c>
      <c r="E7" s="71">
        <f>SUM('Capital Forecast'!H7:K7)</f>
        <v>29754507.119999997</v>
      </c>
      <c r="F7" s="11">
        <f>C7+(E7-(D7*4))</f>
        <v>454120896.98000002</v>
      </c>
      <c r="G7" s="11"/>
      <c r="H7" t="s">
        <v>37</v>
      </c>
    </row>
    <row r="8" spans="1:10" x14ac:dyDescent="0.25">
      <c r="A8" t="s">
        <v>2</v>
      </c>
      <c r="B8" s="22">
        <v>780</v>
      </c>
      <c r="C8" s="11">
        <v>757645271.13</v>
      </c>
      <c r="D8" s="11">
        <v>39142841.640000001</v>
      </c>
      <c r="E8" s="71">
        <f>SUM('Capital Forecast'!B7:E7)</f>
        <v>179525143.00300002</v>
      </c>
      <c r="F8" s="11">
        <f>C8+(E8-(D8*4))</f>
        <v>780599047.57299995</v>
      </c>
      <c r="G8" s="11"/>
    </row>
    <row r="9" spans="1:10" x14ac:dyDescent="0.25">
      <c r="B9" s="8">
        <f>B8+B7</f>
        <v>1560</v>
      </c>
      <c r="C9" s="11"/>
      <c r="D9" s="11"/>
      <c r="E9" s="11"/>
      <c r="F9" s="11"/>
      <c r="G9" s="11"/>
    </row>
    <row r="10" spans="1:10" x14ac:dyDescent="0.25">
      <c r="C10" s="11"/>
      <c r="D10" s="11"/>
      <c r="E10" s="11"/>
      <c r="F10" s="11"/>
      <c r="G10" s="11"/>
    </row>
    <row r="11" spans="1:10" x14ac:dyDescent="0.25">
      <c r="A11" t="s">
        <v>33</v>
      </c>
      <c r="E11" s="14">
        <f>E6</f>
        <v>209279650.12300003</v>
      </c>
    </row>
    <row r="12" spans="1:10" x14ac:dyDescent="0.25">
      <c r="A12" s="23" t="s">
        <v>34</v>
      </c>
      <c r="E12" s="14">
        <f>E11/2</f>
        <v>104639825.06150001</v>
      </c>
    </row>
    <row r="13" spans="1:10" x14ac:dyDescent="0.25">
      <c r="F13" s="11"/>
    </row>
    <row r="14" spans="1:10" x14ac:dyDescent="0.25">
      <c r="A14" t="s">
        <v>36</v>
      </c>
    </row>
    <row r="15" spans="1:10" x14ac:dyDescent="0.25">
      <c r="A15" t="s">
        <v>35</v>
      </c>
      <c r="C15" s="14">
        <f>C7</f>
        <v>547264845.86000001</v>
      </c>
      <c r="D15" s="14">
        <f>D7</f>
        <v>30724614</v>
      </c>
      <c r="E15" s="14">
        <f>E12</f>
        <v>104639825.06150001</v>
      </c>
      <c r="F15" s="11">
        <f>F6/2</f>
        <v>617359972.27649999</v>
      </c>
    </row>
    <row r="31" spans="1:2" x14ac:dyDescent="0.25">
      <c r="A31" t="s">
        <v>31</v>
      </c>
      <c r="B31" s="63"/>
    </row>
    <row r="32" spans="1:2" x14ac:dyDescent="0.25">
      <c r="A32" t="s">
        <v>8</v>
      </c>
      <c r="B32" s="64">
        <f>1+'Amortize to 2040'!B30</f>
        <v>1.0821622139035645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8ED2-4E0F-4D24-A6FE-C59B17117587}">
  <dimension ref="A1:N13"/>
  <sheetViews>
    <sheetView topLeftCell="I1" workbookViewId="0">
      <selection activeCell="N18" sqref="N18"/>
    </sheetView>
  </sheetViews>
  <sheetFormatPr defaultRowHeight="12.5" x14ac:dyDescent="0.25"/>
  <cols>
    <col min="1" max="1" width="56.6328125" bestFit="1" customWidth="1"/>
    <col min="2" max="2" width="37.08984375" bestFit="1" customWidth="1"/>
    <col min="3" max="6" width="14.81640625" bestFit="1" customWidth="1"/>
    <col min="7" max="7" width="40.81640625" bestFit="1" customWidth="1"/>
    <col min="8" max="8" width="31.453125" bestFit="1" customWidth="1"/>
    <col min="9" max="9" width="14.81640625" bestFit="1" customWidth="1"/>
    <col min="10" max="12" width="13.81640625" bestFit="1" customWidth="1"/>
    <col min="13" max="13" width="35.08984375" bestFit="1" customWidth="1"/>
    <col min="14" max="14" width="15.81640625" bestFit="1" customWidth="1"/>
    <col min="15" max="15" width="13.1796875" bestFit="1" customWidth="1"/>
    <col min="16" max="16" width="14.26953125" bestFit="1" customWidth="1"/>
    <col min="17" max="17" width="12.81640625" bestFit="1" customWidth="1"/>
    <col min="18" max="18" width="23.453125" bestFit="1" customWidth="1"/>
    <col min="19" max="19" width="18.26953125" bestFit="1" customWidth="1"/>
  </cols>
  <sheetData>
    <row r="1" spans="1:14" x14ac:dyDescent="0.25">
      <c r="A1" s="76" t="s">
        <v>11</v>
      </c>
      <c r="B1" s="76" t="s">
        <v>12</v>
      </c>
      <c r="C1" t="s">
        <v>13</v>
      </c>
    </row>
    <row r="2" spans="1:14" x14ac:dyDescent="0.25">
      <c r="A2" s="76" t="s">
        <v>14</v>
      </c>
      <c r="B2" s="76" t="s">
        <v>15</v>
      </c>
    </row>
    <row r="3" spans="1:14" x14ac:dyDescent="0.25">
      <c r="B3" t="s">
        <v>16</v>
      </c>
      <c r="C3" t="s">
        <v>17</v>
      </c>
      <c r="D3" t="s">
        <v>17</v>
      </c>
      <c r="E3" t="s">
        <v>17</v>
      </c>
      <c r="F3" t="s">
        <v>17</v>
      </c>
      <c r="H3" t="s">
        <v>16</v>
      </c>
      <c r="I3" t="s">
        <v>17</v>
      </c>
      <c r="J3" t="s">
        <v>17</v>
      </c>
      <c r="K3" t="s">
        <v>17</v>
      </c>
      <c r="L3" t="s">
        <v>17</v>
      </c>
    </row>
    <row r="4" spans="1:14" ht="13" x14ac:dyDescent="0.3">
      <c r="A4" s="77" t="s">
        <v>18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13" x14ac:dyDescent="0.3">
      <c r="A5" s="77"/>
      <c r="B5" s="77" t="s">
        <v>19</v>
      </c>
      <c r="C5" s="77"/>
      <c r="D5" s="77"/>
      <c r="E5" s="77"/>
      <c r="F5" s="77"/>
      <c r="G5" s="77" t="s">
        <v>20</v>
      </c>
      <c r="H5" s="77" t="s">
        <v>21</v>
      </c>
      <c r="I5" s="77"/>
      <c r="J5" s="77"/>
      <c r="K5" s="77"/>
      <c r="L5" s="77"/>
      <c r="M5" s="77" t="s">
        <v>22</v>
      </c>
      <c r="N5" s="77" t="s">
        <v>23</v>
      </c>
    </row>
    <row r="6" spans="1:14" ht="13" x14ac:dyDescent="0.3">
      <c r="A6" s="77" t="s">
        <v>24</v>
      </c>
      <c r="B6" s="77">
        <v>2025</v>
      </c>
      <c r="C6" s="77">
        <v>2026</v>
      </c>
      <c r="D6" s="77">
        <v>2027</v>
      </c>
      <c r="E6" s="77">
        <v>2028</v>
      </c>
      <c r="F6" s="77">
        <v>2029</v>
      </c>
      <c r="G6" s="77"/>
      <c r="H6" s="77">
        <v>2025</v>
      </c>
      <c r="I6" s="77">
        <v>2026</v>
      </c>
      <c r="J6" s="77">
        <v>2027</v>
      </c>
      <c r="K6" s="77">
        <v>2028</v>
      </c>
      <c r="L6" s="77">
        <v>2029</v>
      </c>
      <c r="M6" s="77"/>
      <c r="N6" s="77"/>
    </row>
    <row r="7" spans="1:14" s="78" customFormat="1" ht="13" x14ac:dyDescent="0.3">
      <c r="A7" s="78" t="s">
        <v>10</v>
      </c>
      <c r="B7" s="79">
        <v>40422147.847000003</v>
      </c>
      <c r="C7" s="79">
        <v>66642605.287</v>
      </c>
      <c r="D7" s="79">
        <v>42095935.235000014</v>
      </c>
      <c r="E7" s="79">
        <v>30364454.634</v>
      </c>
      <c r="F7" s="79">
        <v>37295636.204999998</v>
      </c>
      <c r="G7" s="79">
        <v>216820779.20800003</v>
      </c>
      <c r="H7" s="79">
        <v>7865882.5189999985</v>
      </c>
      <c r="I7" s="79">
        <v>10214350.078999996</v>
      </c>
      <c r="J7" s="79">
        <v>7461678.6720000003</v>
      </c>
      <c r="K7" s="79">
        <v>4212595.8499999996</v>
      </c>
      <c r="L7" s="79">
        <v>1164361.95</v>
      </c>
      <c r="M7" s="79">
        <v>30918869.070000008</v>
      </c>
      <c r="N7" s="79">
        <v>247739648.27800012</v>
      </c>
    </row>
    <row r="8" spans="1:14" ht="13" x14ac:dyDescent="0.3">
      <c r="A8" s="78" t="s">
        <v>25</v>
      </c>
      <c r="B8" s="79">
        <v>38109395.115000002</v>
      </c>
      <c r="C8" s="79">
        <v>62639550.689000003</v>
      </c>
      <c r="D8" s="79">
        <v>37486690.920000002</v>
      </c>
      <c r="E8" s="79">
        <v>26809707.267999999</v>
      </c>
      <c r="F8" s="79">
        <v>22920260.207000002</v>
      </c>
      <c r="G8" s="79">
        <v>187965604.19900003</v>
      </c>
      <c r="H8" s="79">
        <v>5568129.7939999998</v>
      </c>
      <c r="I8" s="79">
        <v>6229295.4829999954</v>
      </c>
      <c r="J8" s="79">
        <v>2870434.3890000014</v>
      </c>
      <c r="K8" s="79">
        <v>682848.44400000013</v>
      </c>
      <c r="L8" s="79">
        <v>905586.97</v>
      </c>
      <c r="M8" s="79">
        <v>16256295.080000002</v>
      </c>
      <c r="N8" s="79">
        <v>204221899.27900016</v>
      </c>
    </row>
    <row r="10" spans="1:14" ht="13" x14ac:dyDescent="0.3"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4" ht="13" x14ac:dyDescent="0.3"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4" x14ac:dyDescent="0.25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OTk4MTMwPC9Vc2VyTmFtZT48RGF0ZVRpbWU+Ny8xMC8yMDIyIDU6NTE6MTQ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OTk4MTMwPC9Vc2VyTmFtZT48RGF0ZVRpbWU+Ny8xMS8yMDIyIDY6NDE6MzIgUE08L0RhdGVUaW1lPjxMYWJlbFN0cmluZz5BRVAgSW50ZXJuYWw8L0xhYmVsU3RyaW5nPjwvaXRlbT48L2xhYmVsSGlzdG9yeT4=</Value>
</WrappedLabelHistor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16D06225-4010-4ECA-93B2-0FF2B2FABCC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338C8AF-5077-42AA-BD3F-865CA0C0E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9BF87A-B25F-4455-BA84-CE7E72A4FD6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DBEC04-BB06-4CFD-B5DE-DA5402ADE1B6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6888f76-1100-40b0-929b-1efe9044426d"/>
    <ds:schemaRef ds:uri="f88ffb1c-9230-4705-a789-27bae69f582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0CE34E27-3BAB-4BA5-9E47-B1D0C429005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Cost Compare Summary -Table 1</vt:lpstr>
      <vt:lpstr>PPAs</vt:lpstr>
      <vt:lpstr>Market</vt:lpstr>
      <vt:lpstr>ML UCAP</vt:lpstr>
      <vt:lpstr>Amortize to 2040</vt:lpstr>
      <vt:lpstr>2029 NBV Starting Point</vt:lpstr>
      <vt:lpstr>Capital Forecast</vt:lpstr>
      <vt:lpstr>'Cost Compare Summary -Table 1'!Print_Area</vt:lpstr>
    </vt:vector>
  </TitlesOfParts>
  <Company>AEP-SS-IT-WE-7/1/6-(8-835-3050)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Michelle Caldwell</cp:lastModifiedBy>
  <cp:lastPrinted>2024-07-11T20:38:00Z</cp:lastPrinted>
  <dcterms:created xsi:type="dcterms:W3CDTF">2011-05-13T13:25:30Z</dcterms:created>
  <dcterms:modified xsi:type="dcterms:W3CDTF">2025-08-24T11:47:30Z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053fd2c6-b8a8-4553-b8bf-df6cb5dd7d79</vt:lpwstr>
  </property>
  <property fmtid="{D5CDD505-2E9C-101B-9397-08002B2CF9AE}" pid="3" name="bjSaver">
    <vt:lpwstr>MSLcv1Deu+j/oxKLp9zJIfjP3BgDQ2g+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{16D06225-4010-4ECA-93B2-0FF2B2FABCC9}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