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908FE7CB-7BFF-404E-A3BE-9A431A71F643}" xr6:coauthVersionLast="47" xr6:coauthVersionMax="47" xr10:uidLastSave="{00000000-0000-0000-0000-000000000000}"/>
  <bookViews>
    <workbookView xWindow="-120" yWindow="-120" windowWidth="38640" windowHeight="21120" xr2:uid="{8A61197A-3802-4A1A-AEC3-C4FEECF65F7A}"/>
  </bookViews>
  <sheets>
    <sheet name="Retail Impact" sheetId="27" r:id="rId1"/>
    <sheet name="ELG Rev Req" sheetId="1" r:id="rId2"/>
    <sheet name="Repayment" sheetId="30" r:id="rId3"/>
    <sheet name="Depr and ADFIT" sheetId="25" r:id="rId4"/>
    <sheet name="O&amp;M" sheetId="31" r:id="rId5"/>
    <sheet name="Alloc. Factors and Property Tax" sheetId="5" r:id="rId6"/>
    <sheet name="WACC" sheetId="26" r:id="rId7"/>
    <sheet name="12mos BA" sheetId="28" r:id="rId8"/>
  </sheets>
  <definedNames>
    <definedName name="AllocFactors">#REF!</definedName>
    <definedName name="ASD" localSheetId="6">#REF!</definedName>
    <definedName name="ASD">#REF!</definedName>
    <definedName name="Begin_AP" localSheetId="6">#REF!</definedName>
    <definedName name="Begin_AP">#REF!</definedName>
    <definedName name="Begin_Print1" localSheetId="7">#REF!</definedName>
    <definedName name="Begin_Print1" localSheetId="6">#REF!</definedName>
    <definedName name="Begin_Print1">#REF!</definedName>
    <definedName name="Begin_Print2" localSheetId="7">#REF!</definedName>
    <definedName name="Begin_Print2">#REF!</definedName>
    <definedName name="BS_BEGIN" localSheetId="6">#REF!</definedName>
    <definedName name="BS_BEGIN">#REF!</definedName>
    <definedName name="BS_CAP" localSheetId="6">#REF!</definedName>
    <definedName name="BS_CAP">#REF!</definedName>
    <definedName name="BS_END" localSheetId="6">#REF!</definedName>
    <definedName name="BS_END">#REF!</definedName>
    <definedName name="C_Begin">#REF!</definedName>
    <definedName name="C_End">#REF!</definedName>
    <definedName name="CSA" localSheetId="6">#REF!</definedName>
    <definedName name="CSA">#REF!</definedName>
    <definedName name="CSO" localSheetId="6">#REF!</definedName>
    <definedName name="CSO">#REF!</definedName>
    <definedName name="End_AP" localSheetId="6">#REF!</definedName>
    <definedName name="End_AP">#REF!</definedName>
    <definedName name="End_of_Report" localSheetId="7">#REF!</definedName>
    <definedName name="End_of_Report">#REF!</definedName>
    <definedName name="End_Print1" localSheetId="7">#REF!</definedName>
    <definedName name="End_Print1">#REF!</definedName>
    <definedName name="End_Print2" localSheetId="7">#REF!</definedName>
    <definedName name="End_Print2">#REF!</definedName>
    <definedName name="Marshall_Rate" localSheetId="6">#REF!</definedName>
    <definedName name="Marshall_Rate">#REF!</definedName>
    <definedName name="NONUTILITY" localSheetId="6">#REF!</definedName>
    <definedName name="NONUTILITY">#REF!</definedName>
    <definedName name="NvsASD" localSheetId="6">"V2017-08-31"</definedName>
    <definedName name="NvsASD">"V2013-03-31"</definedName>
    <definedName name="NvsAutoDrillOk">"VN"</definedName>
    <definedName name="NvsElapsedTime" localSheetId="6">0.00255787037167465</definedName>
    <definedName name="NvsElapsedTime">0.000115740738692693</definedName>
    <definedName name="NvsEndTime" localSheetId="6">42990.6050462963</definedName>
    <definedName name="NvsEndTime">41370.633587963</definedName>
    <definedName name="NvsInstanceHook">"""nvsMacro"""</definedName>
    <definedName name="NvsInstLang">"VENG"</definedName>
    <definedName name="NvsInstSpec" localSheetId="6">"%,FBUSINESS_UNIT,TGL_PRPT_CONS,NKYP_CORP_CONSOL"</definedName>
    <definedName name="NvsInstSpec">"%,FBUSINESS_UNIT,V117"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TransLed">"VN"</definedName>
    <definedName name="NvsTree.GL_PRPT_CONS">"NNNNN"</definedName>
    <definedName name="NvsTreeASD" localSheetId="6">"V2017-08-31"</definedName>
    <definedName name="NvsTreeASD">"V2099-01-01"</definedName>
    <definedName name="NvsValTbl.ACCOUNT">"GL_ACCOUNT_TBL"</definedName>
    <definedName name="NvsValTbl.AEP_BENEFIT_LOC">"AEP_BEN_ALL_VW"</definedName>
    <definedName name="NvsValTbl.AFFILIATE">"AFFILIATE_VW"</definedName>
    <definedName name="NvsValTbl.BUSINESS_UNIT">"BUS_UNIT_TBL_FS"</definedName>
    <definedName name="NvsValTbl.CURRENCY_CD">"CURRENCY_CD_TBL"</definedName>
    <definedName name="NvsValTbl.DEPTID">"DEPARTMENT_TBL"</definedName>
    <definedName name="OPR_ID" localSheetId="6">#REF!</definedName>
    <definedName name="OPR_ID">#REF!</definedName>
    <definedName name="PC_Percent" localSheetId="6">#REF!</definedName>
    <definedName name="PC_Percent">#REF!</definedName>
    <definedName name="_xlnm.Print_Area" localSheetId="6">WACC!$A$1:$S$45</definedName>
    <definedName name="RESERVED" localSheetId="6">#REF!</definedName>
    <definedName name="RESERVED">#REF!</definedName>
    <definedName name="Reserved_Section" localSheetId="6">#REF!</definedName>
    <definedName name="Reserved_Section">#REF!</definedName>
    <definedName name="Rev_End" localSheetId="7">#REF!</definedName>
    <definedName name="Rev_End" localSheetId="6">#REF!</definedName>
    <definedName name="Rev_End">#REF!</definedName>
    <definedName name="search_directory_name">"R:\fcm90prd\nvision\rpts\Fin_Reports\"</definedName>
    <definedName name="tim" localSheetId="7">#REF!</definedName>
    <definedName name="tim" localSheetId="6">#REF!</definedName>
    <definedName name="tim">#REF!</definedName>
    <definedName name="timm" localSheetId="7">#REF!</definedName>
    <definedName name="timm">#REF!</definedName>
    <definedName name="WV_List" localSheetId="6">#REF!</definedName>
    <definedName name="WV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2" i="30" l="1"/>
  <c r="Z82" i="30"/>
  <c r="C1" i="25" l="1"/>
  <c r="N8" i="30"/>
  <c r="T8" i="30"/>
  <c r="Z8" i="30"/>
  <c r="AB8" i="30" s="1"/>
  <c r="H87" i="28"/>
  <c r="H85" i="28"/>
  <c r="H83" i="28"/>
  <c r="H71" i="28"/>
  <c r="H59" i="28"/>
  <c r="H57" i="28"/>
  <c r="H55" i="28"/>
  <c r="H43" i="28"/>
  <c r="H16" i="28"/>
  <c r="X128" i="1" l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K11" i="31"/>
  <c r="J11" i="31"/>
  <c r="I11" i="31"/>
  <c r="H11" i="31"/>
  <c r="G11" i="31"/>
  <c r="F11" i="31"/>
  <c r="E11" i="31"/>
  <c r="D11" i="31"/>
  <c r="C11" i="31"/>
  <c r="K10" i="31"/>
  <c r="J10" i="31"/>
  <c r="I10" i="31"/>
  <c r="H10" i="31"/>
  <c r="G10" i="31"/>
  <c r="F10" i="31"/>
  <c r="E10" i="31"/>
  <c r="D10" i="31"/>
  <c r="C10" i="31"/>
  <c r="B11" i="31"/>
  <c r="G9" i="31"/>
  <c r="E9" i="31"/>
  <c r="K7" i="31"/>
  <c r="K9" i="31" s="1"/>
  <c r="J7" i="31"/>
  <c r="J9" i="31" s="1"/>
  <c r="I7" i="31"/>
  <c r="I9" i="31" s="1"/>
  <c r="H7" i="31"/>
  <c r="H9" i="31" s="1"/>
  <c r="G7" i="31"/>
  <c r="F7" i="31"/>
  <c r="F9" i="31" s="1"/>
  <c r="E7" i="31"/>
  <c r="D7" i="31"/>
  <c r="D9" i="31" s="1"/>
  <c r="C7" i="31"/>
  <c r="C9" i="31" s="1"/>
  <c r="B7" i="31"/>
  <c r="B9" i="31" s="1"/>
  <c r="B10" i="31" s="1"/>
  <c r="C18" i="5" l="1"/>
  <c r="M4" i="28" l="1"/>
  <c r="M5" i="28"/>
  <c r="M6" i="28"/>
  <c r="M7" i="28"/>
  <c r="M8" i="28"/>
  <c r="M9" i="28"/>
  <c r="M10" i="28"/>
  <c r="M11" i="28"/>
  <c r="M12" i="28"/>
  <c r="M13" i="28"/>
  <c r="M14" i="28"/>
  <c r="M15" i="28"/>
  <c r="T7" i="30" l="1"/>
  <c r="T56" i="30"/>
  <c r="T55" i="30"/>
  <c r="T54" i="30"/>
  <c r="T53" i="30"/>
  <c r="T52" i="30"/>
  <c r="T51" i="30"/>
  <c r="T50" i="30"/>
  <c r="T49" i="30"/>
  <c r="T48" i="30"/>
  <c r="T47" i="30"/>
  <c r="T46" i="30"/>
  <c r="T45" i="30"/>
  <c r="T44" i="30"/>
  <c r="T43" i="30"/>
  <c r="T42" i="30"/>
  <c r="T41" i="30"/>
  <c r="T40" i="30"/>
  <c r="T39" i="30"/>
  <c r="T38" i="30"/>
  <c r="T37" i="30"/>
  <c r="T36" i="30"/>
  <c r="T35" i="30"/>
  <c r="T34" i="30"/>
  <c r="T33" i="30"/>
  <c r="T32" i="30"/>
  <c r="T31" i="30"/>
  <c r="T30" i="30"/>
  <c r="T29" i="30"/>
  <c r="T28" i="30"/>
  <c r="T27" i="30"/>
  <c r="T26" i="30"/>
  <c r="T25" i="30"/>
  <c r="T24" i="30"/>
  <c r="T23" i="30"/>
  <c r="T22" i="30"/>
  <c r="T21" i="30"/>
  <c r="T20" i="30"/>
  <c r="T19" i="30"/>
  <c r="T18" i="30"/>
  <c r="T17" i="30"/>
  <c r="T16" i="30"/>
  <c r="T15" i="30"/>
  <c r="T14" i="30"/>
  <c r="T13" i="30"/>
  <c r="T12" i="30"/>
  <c r="T11" i="30"/>
  <c r="T10" i="30"/>
  <c r="T9" i="30"/>
  <c r="T57" i="30"/>
  <c r="C4" i="25"/>
  <c r="X81" i="30"/>
  <c r="T80" i="30"/>
  <c r="N80" i="30"/>
  <c r="N81" i="30" s="1"/>
  <c r="T79" i="30"/>
  <c r="N79" i="30"/>
  <c r="T78" i="30"/>
  <c r="N78" i="30"/>
  <c r="R79" i="30" s="1"/>
  <c r="T77" i="30"/>
  <c r="N77" i="30"/>
  <c r="R78" i="30" s="1"/>
  <c r="T76" i="30"/>
  <c r="N76" i="30"/>
  <c r="R77" i="30" s="1"/>
  <c r="T75" i="30"/>
  <c r="N75" i="30"/>
  <c r="R76" i="30" s="1"/>
  <c r="T74" i="30"/>
  <c r="N74" i="30"/>
  <c r="R75" i="30" s="1"/>
  <c r="T73" i="30"/>
  <c r="N73" i="30"/>
  <c r="R74" i="30" s="1"/>
  <c r="T72" i="30"/>
  <c r="N72" i="30"/>
  <c r="R73" i="30" s="1"/>
  <c r="T71" i="30"/>
  <c r="N71" i="30"/>
  <c r="R72" i="30" s="1"/>
  <c r="T70" i="30"/>
  <c r="N70" i="30"/>
  <c r="R71" i="30" s="1"/>
  <c r="T69" i="30"/>
  <c r="N69" i="30"/>
  <c r="T68" i="30"/>
  <c r="N68" i="30"/>
  <c r="R69" i="30" s="1"/>
  <c r="T67" i="30"/>
  <c r="N67" i="30"/>
  <c r="R68" i="30" s="1"/>
  <c r="T66" i="30"/>
  <c r="N66" i="30"/>
  <c r="R67" i="30" s="1"/>
  <c r="T65" i="30"/>
  <c r="N65" i="30"/>
  <c r="T64" i="30"/>
  <c r="N64" i="30"/>
  <c r="R65" i="30" s="1"/>
  <c r="T63" i="30"/>
  <c r="N63" i="30"/>
  <c r="T62" i="30"/>
  <c r="N62" i="30"/>
  <c r="T61" i="30"/>
  <c r="N61" i="30"/>
  <c r="T60" i="30"/>
  <c r="N60" i="30"/>
  <c r="R61" i="30" s="1"/>
  <c r="T59" i="30"/>
  <c r="N59" i="30"/>
  <c r="R60" i="30" s="1"/>
  <c r="T58" i="30"/>
  <c r="N58" i="30"/>
  <c r="R59" i="30" s="1"/>
  <c r="N57" i="30"/>
  <c r="R58" i="30" s="1"/>
  <c r="N56" i="30"/>
  <c r="R57" i="30" s="1"/>
  <c r="N54" i="30"/>
  <c r="R55" i="30" s="1"/>
  <c r="N52" i="30"/>
  <c r="R53" i="30" s="1"/>
  <c r="N50" i="30"/>
  <c r="R51" i="30" s="1"/>
  <c r="N48" i="30"/>
  <c r="R49" i="30" s="1"/>
  <c r="N46" i="30"/>
  <c r="R47" i="30" s="1"/>
  <c r="N45" i="30"/>
  <c r="R46" i="30" s="1"/>
  <c r="N44" i="30"/>
  <c r="R45" i="30" s="1"/>
  <c r="N42" i="30"/>
  <c r="R43" i="30" s="1"/>
  <c r="N40" i="30"/>
  <c r="R41" i="30" s="1"/>
  <c r="N38" i="30"/>
  <c r="R39" i="30" s="1"/>
  <c r="N37" i="30"/>
  <c r="R38" i="30" s="1"/>
  <c r="N36" i="30"/>
  <c r="R37" i="30" s="1"/>
  <c r="N34" i="30"/>
  <c r="R35" i="30" s="1"/>
  <c r="N32" i="30"/>
  <c r="R33" i="30" s="1"/>
  <c r="N27" i="30"/>
  <c r="R28" i="30" s="1"/>
  <c r="N26" i="30"/>
  <c r="R27" i="30" s="1"/>
  <c r="N23" i="30"/>
  <c r="R24" i="30" s="1"/>
  <c r="N21" i="30"/>
  <c r="R22" i="30" s="1"/>
  <c r="N20" i="30"/>
  <c r="R21" i="30" s="1"/>
  <c r="N19" i="30"/>
  <c r="R20" i="30" s="1"/>
  <c r="N18" i="30"/>
  <c r="R19" i="30" s="1"/>
  <c r="N17" i="30"/>
  <c r="R18" i="30" s="1"/>
  <c r="N15" i="30"/>
  <c r="R16" i="30" s="1"/>
  <c r="N14" i="30"/>
  <c r="R15" i="30" s="1"/>
  <c r="N11" i="30"/>
  <c r="R12" i="30" s="1"/>
  <c r="N9" i="30"/>
  <c r="R10" i="30" s="1"/>
  <c r="R9" i="30"/>
  <c r="D7" i="30"/>
  <c r="F7" i="30" s="1"/>
  <c r="H7" i="30" s="1"/>
  <c r="J7" i="30" s="1"/>
  <c r="L7" i="30" s="1"/>
  <c r="N7" i="30" s="1"/>
  <c r="P7" i="30" s="1"/>
  <c r="R7" i="30" s="1"/>
  <c r="D7" i="1"/>
  <c r="F7" i="1" s="1"/>
  <c r="H7" i="1" s="1"/>
  <c r="J7" i="1" s="1"/>
  <c r="R7" i="1" s="1"/>
  <c r="R80" i="30" l="1"/>
  <c r="V7" i="30"/>
  <c r="X7" i="30" s="1"/>
  <c r="Z7" i="30" s="1"/>
  <c r="AB7" i="30" s="1"/>
  <c r="Z65" i="30"/>
  <c r="AB65" i="30" s="1"/>
  <c r="Z69" i="30"/>
  <c r="AB69" i="30" s="1"/>
  <c r="R66" i="30"/>
  <c r="Z66" i="30" s="1"/>
  <c r="AB66" i="30" s="1"/>
  <c r="Z59" i="30"/>
  <c r="AB59" i="30" s="1"/>
  <c r="Z60" i="30"/>
  <c r="AB60" i="30" s="1"/>
  <c r="R62" i="30"/>
  <c r="Z62" i="30" s="1"/>
  <c r="AB62" i="30" s="1"/>
  <c r="R70" i="30"/>
  <c r="Z70" i="30" s="1"/>
  <c r="AB70" i="30" s="1"/>
  <c r="Z77" i="30"/>
  <c r="AB77" i="30" s="1"/>
  <c r="R63" i="30"/>
  <c r="Z63" i="30" s="1"/>
  <c r="AB63" i="30" s="1"/>
  <c r="R64" i="30"/>
  <c r="Z64" i="30" s="1"/>
  <c r="AB64" i="30" s="1"/>
  <c r="Z75" i="30"/>
  <c r="AB75" i="30" s="1"/>
  <c r="Z78" i="30"/>
  <c r="AB78" i="30" s="1"/>
  <c r="Z79" i="30"/>
  <c r="AB79" i="30" s="1"/>
  <c r="Z71" i="30"/>
  <c r="AB71" i="30" s="1"/>
  <c r="Z58" i="30"/>
  <c r="AB58" i="30" s="1"/>
  <c r="Z73" i="30"/>
  <c r="AB73" i="30" s="1"/>
  <c r="T7" i="1"/>
  <c r="V7" i="1" s="1"/>
  <c r="X7" i="1" s="1"/>
  <c r="Z7" i="1" s="1"/>
  <c r="AB7" i="1" s="1"/>
  <c r="C7" i="25"/>
  <c r="H9" i="1" s="1"/>
  <c r="Z76" i="30"/>
  <c r="AB76" i="30" s="1"/>
  <c r="Z22" i="30"/>
  <c r="AB22" i="30" s="1"/>
  <c r="Z20" i="30"/>
  <c r="AB20" i="30" s="1"/>
  <c r="Z53" i="30"/>
  <c r="AB53" i="30" s="1"/>
  <c r="Z49" i="30"/>
  <c r="AB49" i="30" s="1"/>
  <c r="Z45" i="30"/>
  <c r="AB45" i="30" s="1"/>
  <c r="Z18" i="30"/>
  <c r="AB18" i="30" s="1"/>
  <c r="Z41" i="30"/>
  <c r="AB41" i="30" s="1"/>
  <c r="Z37" i="30"/>
  <c r="AB37" i="30" s="1"/>
  <c r="Z33" i="30"/>
  <c r="AB33" i="30" s="1"/>
  <c r="Z80" i="30"/>
  <c r="AB80" i="30" s="1"/>
  <c r="Z74" i="30"/>
  <c r="AB74" i="30" s="1"/>
  <c r="Z12" i="30"/>
  <c r="AB12" i="30" s="1"/>
  <c r="N16" i="30"/>
  <c r="Z27" i="30"/>
  <c r="AB27" i="30" s="1"/>
  <c r="Z67" i="30"/>
  <c r="AB67" i="30" s="1"/>
  <c r="Z46" i="30"/>
  <c r="AB46" i="30" s="1"/>
  <c r="Z15" i="30"/>
  <c r="AB15" i="30" s="1"/>
  <c r="Z61" i="30"/>
  <c r="AB61" i="30" s="1"/>
  <c r="Z68" i="30"/>
  <c r="AB68" i="30" s="1"/>
  <c r="N28" i="30"/>
  <c r="N49" i="30"/>
  <c r="R50" i="30" s="1"/>
  <c r="Z57" i="30"/>
  <c r="AB57" i="30" s="1"/>
  <c r="Z72" i="30"/>
  <c r="AB72" i="30" s="1"/>
  <c r="Z10" i="30"/>
  <c r="AB10" i="30" s="1"/>
  <c r="N13" i="30"/>
  <c r="R14" i="30" s="1"/>
  <c r="N53" i="30"/>
  <c r="Z16" i="30"/>
  <c r="AB16" i="30" s="1"/>
  <c r="Z28" i="30"/>
  <c r="AB28" i="30" s="1"/>
  <c r="N10" i="30"/>
  <c r="R11" i="30" s="1"/>
  <c r="N22" i="30"/>
  <c r="R23" i="30" s="1"/>
  <c r="Z24" i="30"/>
  <c r="AB24" i="30" s="1"/>
  <c r="N12" i="30"/>
  <c r="R13" i="30" s="1"/>
  <c r="N41" i="30"/>
  <c r="R42" i="30" s="1"/>
  <c r="N33" i="30"/>
  <c r="Z38" i="30"/>
  <c r="AB38" i="30" s="1"/>
  <c r="Z55" i="30"/>
  <c r="AB55" i="30" s="1"/>
  <c r="N55" i="30"/>
  <c r="Z43" i="30"/>
  <c r="AB43" i="30" s="1"/>
  <c r="N43" i="30"/>
  <c r="R44" i="30" s="1"/>
  <c r="Z39" i="30"/>
  <c r="AB39" i="30" s="1"/>
  <c r="N39" i="30"/>
  <c r="Z47" i="30"/>
  <c r="AB47" i="30" s="1"/>
  <c r="N47" i="30"/>
  <c r="R48" i="30" s="1"/>
  <c r="Z35" i="30"/>
  <c r="AB35" i="30" s="1"/>
  <c r="N35" i="30"/>
  <c r="R36" i="30" s="1"/>
  <c r="Z51" i="30"/>
  <c r="AB51" i="30" s="1"/>
  <c r="N51" i="30"/>
  <c r="R52" i="30" s="1"/>
  <c r="N24" i="30"/>
  <c r="R25" i="30" s="1"/>
  <c r="N25" i="30"/>
  <c r="R26" i="30" s="1"/>
  <c r="N29" i="30"/>
  <c r="R30" i="30" s="1"/>
  <c r="N30" i="30"/>
  <c r="N31" i="30"/>
  <c r="R32" i="30" s="1"/>
  <c r="F13" i="1" l="1"/>
  <c r="F21" i="1"/>
  <c r="F29" i="1"/>
  <c r="F37" i="1"/>
  <c r="F45" i="1"/>
  <c r="F53" i="1"/>
  <c r="F61" i="1"/>
  <c r="F69" i="1"/>
  <c r="F77" i="1"/>
  <c r="F85" i="1"/>
  <c r="F93" i="1"/>
  <c r="F101" i="1"/>
  <c r="F109" i="1"/>
  <c r="F117" i="1"/>
  <c r="F125" i="1"/>
  <c r="F133" i="1"/>
  <c r="F141" i="1"/>
  <c r="F149" i="1"/>
  <c r="F157" i="1"/>
  <c r="F165" i="1"/>
  <c r="F173" i="1"/>
  <c r="F181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1" i="1"/>
  <c r="F19" i="1"/>
  <c r="F27" i="1"/>
  <c r="F35" i="1"/>
  <c r="F43" i="1"/>
  <c r="F51" i="1"/>
  <c r="F59" i="1"/>
  <c r="F67" i="1"/>
  <c r="F75" i="1"/>
  <c r="F83" i="1"/>
  <c r="F91" i="1"/>
  <c r="F99" i="1"/>
  <c r="F107" i="1"/>
  <c r="F115" i="1"/>
  <c r="F123" i="1"/>
  <c r="F131" i="1"/>
  <c r="F139" i="1"/>
  <c r="F147" i="1"/>
  <c r="F155" i="1"/>
  <c r="F163" i="1"/>
  <c r="F171" i="1"/>
  <c r="F179" i="1"/>
  <c r="F187" i="1"/>
  <c r="F14" i="1"/>
  <c r="F22" i="1"/>
  <c r="F30" i="1"/>
  <c r="F38" i="1"/>
  <c r="F46" i="1"/>
  <c r="F54" i="1"/>
  <c r="F62" i="1"/>
  <c r="F70" i="1"/>
  <c r="F78" i="1"/>
  <c r="F86" i="1"/>
  <c r="F94" i="1"/>
  <c r="F102" i="1"/>
  <c r="F110" i="1"/>
  <c r="F118" i="1"/>
  <c r="F126" i="1"/>
  <c r="F134" i="1"/>
  <c r="F142" i="1"/>
  <c r="F150" i="1"/>
  <c r="F158" i="1"/>
  <c r="F166" i="1"/>
  <c r="F174" i="1"/>
  <c r="F182" i="1"/>
  <c r="F9" i="1"/>
  <c r="F17" i="1"/>
  <c r="F25" i="1"/>
  <c r="F33" i="1"/>
  <c r="F41" i="1"/>
  <c r="F49" i="1"/>
  <c r="F57" i="1"/>
  <c r="F65" i="1"/>
  <c r="F73" i="1"/>
  <c r="F81" i="1"/>
  <c r="F89" i="1"/>
  <c r="F97" i="1"/>
  <c r="F105" i="1"/>
  <c r="F113" i="1"/>
  <c r="F121" i="1"/>
  <c r="F129" i="1"/>
  <c r="F137" i="1"/>
  <c r="F145" i="1"/>
  <c r="F153" i="1"/>
  <c r="F161" i="1"/>
  <c r="F169" i="1"/>
  <c r="F177" i="1"/>
  <c r="F185" i="1"/>
  <c r="F12" i="1"/>
  <c r="F20" i="1"/>
  <c r="F28" i="1"/>
  <c r="F36" i="1"/>
  <c r="F44" i="1"/>
  <c r="F52" i="1"/>
  <c r="F60" i="1"/>
  <c r="F68" i="1"/>
  <c r="F76" i="1"/>
  <c r="F84" i="1"/>
  <c r="F92" i="1"/>
  <c r="F100" i="1"/>
  <c r="F108" i="1"/>
  <c r="F116" i="1"/>
  <c r="F124" i="1"/>
  <c r="F132" i="1"/>
  <c r="F140" i="1"/>
  <c r="F148" i="1"/>
  <c r="F156" i="1"/>
  <c r="F164" i="1"/>
  <c r="F172" i="1"/>
  <c r="F180" i="1"/>
  <c r="F188" i="1"/>
  <c r="F23" i="1"/>
  <c r="F55" i="1"/>
  <c r="F87" i="1"/>
  <c r="F119" i="1"/>
  <c r="F151" i="1"/>
  <c r="F183" i="1"/>
  <c r="F34" i="1"/>
  <c r="F66" i="1"/>
  <c r="F98" i="1"/>
  <c r="F130" i="1"/>
  <c r="F162" i="1"/>
  <c r="F15" i="1"/>
  <c r="F47" i="1"/>
  <c r="F79" i="1"/>
  <c r="F111" i="1"/>
  <c r="F143" i="1"/>
  <c r="F175" i="1"/>
  <c r="F90" i="1"/>
  <c r="F122" i="1"/>
  <c r="F186" i="1"/>
  <c r="F106" i="1"/>
  <c r="F26" i="1"/>
  <c r="F58" i="1"/>
  <c r="F154" i="1"/>
  <c r="F10" i="1"/>
  <c r="F138" i="1"/>
  <c r="F39" i="1"/>
  <c r="F71" i="1"/>
  <c r="F103" i="1"/>
  <c r="F135" i="1"/>
  <c r="F167" i="1"/>
  <c r="F31" i="1"/>
  <c r="F95" i="1"/>
  <c r="F42" i="1"/>
  <c r="F18" i="1"/>
  <c r="F50" i="1"/>
  <c r="F82" i="1"/>
  <c r="F114" i="1"/>
  <c r="F146" i="1"/>
  <c r="F178" i="1"/>
  <c r="F63" i="1"/>
  <c r="F127" i="1"/>
  <c r="F159" i="1"/>
  <c r="F74" i="1"/>
  <c r="F170" i="1"/>
  <c r="R56" i="30"/>
  <c r="Z56" i="30" s="1"/>
  <c r="AB56" i="30" s="1"/>
  <c r="R17" i="30"/>
  <c r="R31" i="30"/>
  <c r="Z31" i="30" s="1"/>
  <c r="AB31" i="30" s="1"/>
  <c r="R29" i="30"/>
  <c r="Z29" i="30" s="1"/>
  <c r="AB29" i="30" s="1"/>
  <c r="R34" i="30"/>
  <c r="Z34" i="30" s="1"/>
  <c r="AB34" i="30" s="1"/>
  <c r="R54" i="30"/>
  <c r="Z54" i="30" s="1"/>
  <c r="AB54" i="30" s="1"/>
  <c r="R40" i="30"/>
  <c r="Z40" i="30" s="1"/>
  <c r="AB40" i="30" s="1"/>
  <c r="AD7" i="1"/>
  <c r="AF7" i="1" s="1"/>
  <c r="AH7" i="1" s="1"/>
  <c r="AJ7" i="1" s="1"/>
  <c r="V81" i="30"/>
  <c r="Z48" i="30"/>
  <c r="AB48" i="30" s="1"/>
  <c r="Z21" i="30"/>
  <c r="AB21" i="30" s="1"/>
  <c r="Z9" i="30"/>
  <c r="AB9" i="30" s="1"/>
  <c r="Z36" i="30"/>
  <c r="AB36" i="30" s="1"/>
  <c r="Z23" i="30"/>
  <c r="AB23" i="30" s="1"/>
  <c r="Z13" i="30"/>
  <c r="AB13" i="30" s="1"/>
  <c r="Z14" i="30"/>
  <c r="AB14" i="30" s="1"/>
  <c r="Z19" i="30"/>
  <c r="AB19" i="30" s="1"/>
  <c r="Z30" i="30"/>
  <c r="AB30" i="30" s="1"/>
  <c r="Z32" i="30"/>
  <c r="AB32" i="30" s="1"/>
  <c r="Z26" i="30"/>
  <c r="AB26" i="30" s="1"/>
  <c r="Z52" i="30"/>
  <c r="AB52" i="30" s="1"/>
  <c r="Z44" i="30"/>
  <c r="AB44" i="30" s="1"/>
  <c r="Z50" i="30"/>
  <c r="AB50" i="30" s="1"/>
  <c r="Z11" i="30"/>
  <c r="AB11" i="30" s="1"/>
  <c r="Z25" i="30"/>
  <c r="AB25" i="30" s="1"/>
  <c r="Z42" i="30"/>
  <c r="AB42" i="30" s="1"/>
  <c r="T81" i="30"/>
  <c r="R81" i="30" l="1"/>
  <c r="Z17" i="30"/>
  <c r="AB17" i="30" s="1"/>
  <c r="AB81" i="30" s="1"/>
  <c r="N1" i="25" s="1"/>
  <c r="AB9" i="1"/>
  <c r="Z9" i="1"/>
  <c r="L77" i="1" l="1"/>
  <c r="L69" i="1"/>
  <c r="L61" i="1"/>
  <c r="L53" i="1"/>
  <c r="L45" i="1"/>
  <c r="L37" i="1"/>
  <c r="L29" i="1"/>
  <c r="L21" i="1"/>
  <c r="L13" i="1"/>
  <c r="L63" i="1"/>
  <c r="L31" i="1"/>
  <c r="L70" i="1"/>
  <c r="L38" i="1"/>
  <c r="L76" i="1"/>
  <c r="L68" i="1"/>
  <c r="L60" i="1"/>
  <c r="L52" i="1"/>
  <c r="L44" i="1"/>
  <c r="L36" i="1"/>
  <c r="L28" i="1"/>
  <c r="L20" i="1"/>
  <c r="L12" i="1"/>
  <c r="L71" i="1"/>
  <c r="L39" i="1"/>
  <c r="L54" i="1"/>
  <c r="L14" i="1"/>
  <c r="L75" i="1"/>
  <c r="L67" i="1"/>
  <c r="L59" i="1"/>
  <c r="L51" i="1"/>
  <c r="L43" i="1"/>
  <c r="L35" i="1"/>
  <c r="L27" i="1"/>
  <c r="L19" i="1"/>
  <c r="L11" i="1"/>
  <c r="L47" i="1"/>
  <c r="L15" i="1"/>
  <c r="L74" i="1"/>
  <c r="L66" i="1"/>
  <c r="L58" i="1"/>
  <c r="L50" i="1"/>
  <c r="L42" i="1"/>
  <c r="L34" i="1"/>
  <c r="L26" i="1"/>
  <c r="L18" i="1"/>
  <c r="L10" i="1"/>
  <c r="L22" i="1"/>
  <c r="L73" i="1"/>
  <c r="L65" i="1"/>
  <c r="L57" i="1"/>
  <c r="L49" i="1"/>
  <c r="L41" i="1"/>
  <c r="L33" i="1"/>
  <c r="L25" i="1"/>
  <c r="L17" i="1"/>
  <c r="L9" i="1"/>
  <c r="L78" i="1"/>
  <c r="L46" i="1"/>
  <c r="L80" i="1"/>
  <c r="L72" i="1"/>
  <c r="L64" i="1"/>
  <c r="L56" i="1"/>
  <c r="L48" i="1"/>
  <c r="L40" i="1"/>
  <c r="L32" i="1"/>
  <c r="L24" i="1"/>
  <c r="L16" i="1"/>
  <c r="L79" i="1"/>
  <c r="L55" i="1"/>
  <c r="L23" i="1"/>
  <c r="L62" i="1"/>
  <c r="L30" i="1"/>
  <c r="N7" i="25"/>
  <c r="N9" i="1" s="1"/>
  <c r="AD74" i="1"/>
  <c r="AD66" i="1"/>
  <c r="AD58" i="1"/>
  <c r="AD50" i="1"/>
  <c r="AD42" i="1"/>
  <c r="AD34" i="1"/>
  <c r="AD26" i="1"/>
  <c r="AD18" i="1"/>
  <c r="AD10" i="1"/>
  <c r="AD36" i="1"/>
  <c r="AD20" i="1"/>
  <c r="AD67" i="1"/>
  <c r="AD19" i="1"/>
  <c r="AD73" i="1"/>
  <c r="AD65" i="1"/>
  <c r="AD57" i="1"/>
  <c r="AD49" i="1"/>
  <c r="AD41" i="1"/>
  <c r="AD33" i="1"/>
  <c r="AD25" i="1"/>
  <c r="AD17" i="1"/>
  <c r="AD9" i="1"/>
  <c r="AD44" i="1"/>
  <c r="AD35" i="1"/>
  <c r="AD80" i="1"/>
  <c r="AD72" i="1"/>
  <c r="AD64" i="1"/>
  <c r="AD56" i="1"/>
  <c r="AD48" i="1"/>
  <c r="AD40" i="1"/>
  <c r="AD32" i="1"/>
  <c r="AD24" i="1"/>
  <c r="AD16" i="1"/>
  <c r="AD68" i="1"/>
  <c r="AD28" i="1"/>
  <c r="AD12" i="1"/>
  <c r="AD79" i="1"/>
  <c r="AD71" i="1"/>
  <c r="AD63" i="1"/>
  <c r="AD55" i="1"/>
  <c r="AD47" i="1"/>
  <c r="AD39" i="1"/>
  <c r="AD31" i="1"/>
  <c r="AD23" i="1"/>
  <c r="AD15" i="1"/>
  <c r="AD60" i="1"/>
  <c r="AD75" i="1"/>
  <c r="AD51" i="1"/>
  <c r="AD43" i="1"/>
  <c r="AD27" i="1"/>
  <c r="AD11" i="1"/>
  <c r="AD78" i="1"/>
  <c r="AD70" i="1"/>
  <c r="AD62" i="1"/>
  <c r="AD54" i="1"/>
  <c r="AD46" i="1"/>
  <c r="AD38" i="1"/>
  <c r="AD30" i="1"/>
  <c r="AD22" i="1"/>
  <c r="AD14" i="1"/>
  <c r="AD52" i="1"/>
  <c r="AD59" i="1"/>
  <c r="AD77" i="1"/>
  <c r="AD69" i="1"/>
  <c r="AD61" i="1"/>
  <c r="AD53" i="1"/>
  <c r="AD45" i="1"/>
  <c r="AD37" i="1"/>
  <c r="AD29" i="1"/>
  <c r="AD21" i="1"/>
  <c r="AD13" i="1"/>
  <c r="AD76" i="1"/>
  <c r="Z81" i="30"/>
  <c r="AD81" i="30"/>
  <c r="M82" i="28"/>
  <c r="M81" i="28"/>
  <c r="M80" i="28"/>
  <c r="M79" i="28"/>
  <c r="M78" i="28"/>
  <c r="M77" i="28"/>
  <c r="M76" i="28"/>
  <c r="M75" i="28"/>
  <c r="M74" i="28"/>
  <c r="M73" i="28"/>
  <c r="M72" i="28"/>
  <c r="M70" i="28"/>
  <c r="M69" i="28"/>
  <c r="M68" i="28"/>
  <c r="M67" i="28"/>
  <c r="M66" i="28"/>
  <c r="M65" i="28"/>
  <c r="M64" i="28"/>
  <c r="M63" i="28"/>
  <c r="M62" i="28"/>
  <c r="M61" i="28"/>
  <c r="M60" i="28"/>
  <c r="M58" i="28"/>
  <c r="M56" i="28"/>
  <c r="M54" i="28"/>
  <c r="M53" i="28"/>
  <c r="M52" i="28"/>
  <c r="M51" i="28"/>
  <c r="M50" i="28"/>
  <c r="M49" i="28"/>
  <c r="M48" i="28"/>
  <c r="M47" i="28"/>
  <c r="M46" i="28"/>
  <c r="M45" i="28"/>
  <c r="M44" i="28"/>
  <c r="O7" i="25" l="1"/>
  <c r="P7" i="25" s="1"/>
  <c r="P9" i="1" s="1"/>
  <c r="N8" i="25"/>
  <c r="F43" i="28"/>
  <c r="E43" i="28"/>
  <c r="D43" i="28"/>
  <c r="C43" i="28"/>
  <c r="M42" i="28"/>
  <c r="M41" i="28"/>
  <c r="M40" i="28"/>
  <c r="M39" i="28"/>
  <c r="M38" i="28"/>
  <c r="M37" i="28"/>
  <c r="M36" i="28"/>
  <c r="M35" i="28"/>
  <c r="M34" i="28"/>
  <c r="M33" i="28"/>
  <c r="M32" i="28"/>
  <c r="M31" i="28"/>
  <c r="M30" i="28"/>
  <c r="M29" i="28"/>
  <c r="M28" i="28"/>
  <c r="M27" i="28"/>
  <c r="M26" i="28"/>
  <c r="M25" i="28"/>
  <c r="M24" i="28"/>
  <c r="M23" i="28"/>
  <c r="M22" i="28"/>
  <c r="M21" i="28"/>
  <c r="M20" i="28"/>
  <c r="M19" i="28"/>
  <c r="M18" i="28"/>
  <c r="M17" i="28"/>
  <c r="F87" i="28"/>
  <c r="E87" i="28"/>
  <c r="D87" i="28"/>
  <c r="C87" i="28"/>
  <c r="F85" i="28"/>
  <c r="E85" i="28"/>
  <c r="D85" i="28"/>
  <c r="C85" i="28"/>
  <c r="F83" i="28"/>
  <c r="E83" i="28"/>
  <c r="D83" i="28"/>
  <c r="C83" i="28"/>
  <c r="F71" i="28"/>
  <c r="E71" i="28"/>
  <c r="D71" i="28"/>
  <c r="C71" i="28"/>
  <c r="F59" i="28"/>
  <c r="E59" i="28"/>
  <c r="D59" i="28"/>
  <c r="C59" i="28"/>
  <c r="F57" i="28"/>
  <c r="E57" i="28"/>
  <c r="D57" i="28"/>
  <c r="C57" i="28"/>
  <c r="F55" i="28"/>
  <c r="E55" i="28"/>
  <c r="D55" i="28"/>
  <c r="C55" i="28"/>
  <c r="F16" i="28"/>
  <c r="E16" i="28"/>
  <c r="D16" i="28"/>
  <c r="C16" i="28"/>
  <c r="F10" i="27" s="1"/>
  <c r="E6" i="27"/>
  <c r="N9" i="25" l="1"/>
  <c r="N10" i="1"/>
  <c r="O8" i="25"/>
  <c r="P8" i="25" s="1"/>
  <c r="P10" i="1" s="1"/>
  <c r="J59" i="28"/>
  <c r="N7" i="27" s="1"/>
  <c r="J83" i="28"/>
  <c r="N9" i="27" s="1"/>
  <c r="J87" i="28"/>
  <c r="N10" i="27" s="1"/>
  <c r="J71" i="28"/>
  <c r="N8" i="27" s="1"/>
  <c r="I59" i="28"/>
  <c r="O7" i="27" s="1"/>
  <c r="I83" i="28"/>
  <c r="O9" i="27" s="1"/>
  <c r="M9" i="27"/>
  <c r="L9" i="27" s="1"/>
  <c r="I85" i="28"/>
  <c r="O12" i="27" s="1"/>
  <c r="J85" i="28"/>
  <c r="N12" i="27" s="1"/>
  <c r="M12" i="27"/>
  <c r="L12" i="27" s="1"/>
  <c r="I71" i="28"/>
  <c r="O8" i="27" s="1"/>
  <c r="M8" i="27"/>
  <c r="L8" i="27" s="1"/>
  <c r="J57" i="28"/>
  <c r="N6" i="27" s="1"/>
  <c r="I57" i="28"/>
  <c r="O6" i="27" s="1"/>
  <c r="I43" i="28"/>
  <c r="O11" i="27" s="1"/>
  <c r="M6" i="27"/>
  <c r="L6" i="27" s="1"/>
  <c r="M7" i="27"/>
  <c r="L7" i="27" s="1"/>
  <c r="D90" i="28"/>
  <c r="E90" i="28"/>
  <c r="C90" i="28"/>
  <c r="E10" i="27" s="1"/>
  <c r="G10" i="27" s="1"/>
  <c r="I16" i="28"/>
  <c r="O4" i="27" s="1"/>
  <c r="M4" i="27"/>
  <c r="L4" i="27" s="1"/>
  <c r="J16" i="28"/>
  <c r="N4" i="27" s="1"/>
  <c r="I55" i="28"/>
  <c r="O5" i="27" s="1"/>
  <c r="J55" i="28"/>
  <c r="N5" i="27" s="1"/>
  <c r="M10" i="27"/>
  <c r="L10" i="27" s="1"/>
  <c r="J43" i="28"/>
  <c r="N11" i="27" s="1"/>
  <c r="I87" i="28"/>
  <c r="O10" i="27" s="1"/>
  <c r="M5" i="27"/>
  <c r="L5" i="27" s="1"/>
  <c r="M11" i="27"/>
  <c r="L11" i="27" s="1"/>
  <c r="N10" i="25" l="1"/>
  <c r="N11" i="1"/>
  <c r="O9" i="25"/>
  <c r="P9" i="25" s="1"/>
  <c r="P11" i="1" s="1"/>
  <c r="C8" i="25"/>
  <c r="H10" i="1" s="1"/>
  <c r="O28" i="26"/>
  <c r="O38" i="26" s="1"/>
  <c r="S26" i="26"/>
  <c r="S24" i="26"/>
  <c r="S22" i="26"/>
  <c r="B12" i="26"/>
  <c r="B13" i="26" s="1"/>
  <c r="B14" i="26" s="1"/>
  <c r="B16" i="26" s="1"/>
  <c r="N11" i="25" l="1"/>
  <c r="N12" i="1"/>
  <c r="O10" i="25"/>
  <c r="P10" i="25" s="1"/>
  <c r="P12" i="1" s="1"/>
  <c r="C9" i="25"/>
  <c r="H11" i="1" s="1"/>
  <c r="S28" i="26"/>
  <c r="S30" i="26" s="1"/>
  <c r="S32" i="26" s="1"/>
  <c r="O11" i="26"/>
  <c r="O12" i="26"/>
  <c r="O13" i="26"/>
  <c r="F16" i="26"/>
  <c r="N12" i="25" l="1"/>
  <c r="N13" i="1"/>
  <c r="O11" i="25"/>
  <c r="P11" i="25" s="1"/>
  <c r="P13" i="1" s="1"/>
  <c r="C10" i="25"/>
  <c r="H12" i="1" s="1"/>
  <c r="S34" i="26"/>
  <c r="S36" i="26" s="1"/>
  <c r="S38" i="26" s="1"/>
  <c r="O14" i="26" s="1"/>
  <c r="H12" i="26"/>
  <c r="M12" i="26" s="1"/>
  <c r="S12" i="26" s="1"/>
  <c r="H14" i="26"/>
  <c r="M14" i="26" s="1"/>
  <c r="H11" i="26"/>
  <c r="H13" i="26"/>
  <c r="M13" i="26" s="1"/>
  <c r="S13" i="26" s="1"/>
  <c r="N13" i="25" l="1"/>
  <c r="N14" i="1"/>
  <c r="O12" i="25"/>
  <c r="P12" i="25" s="1"/>
  <c r="P14" i="1" s="1"/>
  <c r="C11" i="25"/>
  <c r="H13" i="1" s="1"/>
  <c r="S14" i="26"/>
  <c r="H16" i="26"/>
  <c r="M11" i="26"/>
  <c r="N14" i="25" l="1"/>
  <c r="N15" i="1"/>
  <c r="O13" i="25"/>
  <c r="P13" i="25" s="1"/>
  <c r="P15" i="1" s="1"/>
  <c r="C12" i="25"/>
  <c r="H14" i="1" s="1"/>
  <c r="S11" i="26"/>
  <c r="S16" i="26" s="1"/>
  <c r="M16" i="26"/>
  <c r="N15" i="25" l="1"/>
  <c r="N16" i="1"/>
  <c r="O14" i="25"/>
  <c r="P14" i="25" s="1"/>
  <c r="P16" i="1" s="1"/>
  <c r="C13" i="25"/>
  <c r="H15" i="1" s="1"/>
  <c r="T184" i="1"/>
  <c r="T176" i="1"/>
  <c r="T168" i="1"/>
  <c r="T160" i="1"/>
  <c r="T152" i="1"/>
  <c r="T144" i="1"/>
  <c r="T136" i="1"/>
  <c r="T128" i="1"/>
  <c r="T120" i="1"/>
  <c r="T112" i="1"/>
  <c r="T104" i="1"/>
  <c r="T96" i="1"/>
  <c r="T88" i="1"/>
  <c r="T80" i="1"/>
  <c r="T72" i="1"/>
  <c r="T64" i="1"/>
  <c r="T56" i="1"/>
  <c r="T48" i="1"/>
  <c r="T40" i="1"/>
  <c r="T32" i="1"/>
  <c r="T24" i="1"/>
  <c r="T16" i="1"/>
  <c r="T161" i="1"/>
  <c r="T145" i="1"/>
  <c r="T129" i="1"/>
  <c r="T121" i="1"/>
  <c r="T105" i="1"/>
  <c r="T89" i="1"/>
  <c r="T73" i="1"/>
  <c r="T57" i="1"/>
  <c r="T33" i="1"/>
  <c r="T9" i="1"/>
  <c r="T183" i="1"/>
  <c r="T175" i="1"/>
  <c r="T167" i="1"/>
  <c r="T159" i="1"/>
  <c r="T151" i="1"/>
  <c r="T143" i="1"/>
  <c r="T135" i="1"/>
  <c r="T127" i="1"/>
  <c r="T119" i="1"/>
  <c r="T111" i="1"/>
  <c r="T103" i="1"/>
  <c r="T95" i="1"/>
  <c r="T87" i="1"/>
  <c r="T79" i="1"/>
  <c r="T71" i="1"/>
  <c r="T63" i="1"/>
  <c r="T55" i="1"/>
  <c r="T47" i="1"/>
  <c r="T39" i="1"/>
  <c r="T31" i="1"/>
  <c r="T23" i="1"/>
  <c r="T15" i="1"/>
  <c r="T186" i="1"/>
  <c r="T178" i="1"/>
  <c r="T170" i="1"/>
  <c r="T162" i="1"/>
  <c r="T154" i="1"/>
  <c r="T146" i="1"/>
  <c r="T138" i="1"/>
  <c r="T130" i="1"/>
  <c r="T122" i="1"/>
  <c r="T114" i="1"/>
  <c r="T106" i="1"/>
  <c r="T98" i="1"/>
  <c r="T90" i="1"/>
  <c r="T82" i="1"/>
  <c r="T74" i="1"/>
  <c r="T66" i="1"/>
  <c r="T58" i="1"/>
  <c r="T50" i="1"/>
  <c r="T42" i="1"/>
  <c r="T34" i="1"/>
  <c r="T26" i="1"/>
  <c r="T18" i="1"/>
  <c r="T10" i="1"/>
  <c r="T153" i="1"/>
  <c r="T49" i="1"/>
  <c r="T182" i="1"/>
  <c r="T174" i="1"/>
  <c r="T166" i="1"/>
  <c r="T158" i="1"/>
  <c r="T150" i="1"/>
  <c r="T142" i="1"/>
  <c r="T134" i="1"/>
  <c r="T126" i="1"/>
  <c r="T118" i="1"/>
  <c r="T110" i="1"/>
  <c r="T102" i="1"/>
  <c r="T94" i="1"/>
  <c r="T86" i="1"/>
  <c r="T78" i="1"/>
  <c r="T70" i="1"/>
  <c r="T62" i="1"/>
  <c r="T54" i="1"/>
  <c r="T46" i="1"/>
  <c r="T38" i="1"/>
  <c r="T30" i="1"/>
  <c r="T22" i="1"/>
  <c r="T14" i="1"/>
  <c r="T169" i="1"/>
  <c r="T181" i="1"/>
  <c r="T173" i="1"/>
  <c r="T165" i="1"/>
  <c r="T157" i="1"/>
  <c r="T149" i="1"/>
  <c r="T141" i="1"/>
  <c r="T133" i="1"/>
  <c r="T125" i="1"/>
  <c r="T117" i="1"/>
  <c r="T109" i="1"/>
  <c r="T101" i="1"/>
  <c r="T93" i="1"/>
  <c r="T85" i="1"/>
  <c r="T77" i="1"/>
  <c r="T69" i="1"/>
  <c r="T61" i="1"/>
  <c r="T53" i="1"/>
  <c r="T45" i="1"/>
  <c r="T37" i="1"/>
  <c r="T29" i="1"/>
  <c r="T21" i="1"/>
  <c r="T13" i="1"/>
  <c r="T188" i="1"/>
  <c r="T180" i="1"/>
  <c r="T172" i="1"/>
  <c r="T164" i="1"/>
  <c r="T156" i="1"/>
  <c r="T148" i="1"/>
  <c r="T140" i="1"/>
  <c r="T132" i="1"/>
  <c r="T124" i="1"/>
  <c r="T116" i="1"/>
  <c r="T108" i="1"/>
  <c r="T100" i="1"/>
  <c r="T92" i="1"/>
  <c r="T84" i="1"/>
  <c r="T76" i="1"/>
  <c r="T68" i="1"/>
  <c r="T60" i="1"/>
  <c r="T52" i="1"/>
  <c r="T44" i="1"/>
  <c r="T36" i="1"/>
  <c r="T28" i="1"/>
  <c r="T20" i="1"/>
  <c r="T12" i="1"/>
  <c r="T185" i="1"/>
  <c r="T25" i="1"/>
  <c r="T187" i="1"/>
  <c r="T179" i="1"/>
  <c r="T171" i="1"/>
  <c r="T163" i="1"/>
  <c r="T155" i="1"/>
  <c r="T147" i="1"/>
  <c r="T139" i="1"/>
  <c r="T131" i="1"/>
  <c r="T123" i="1"/>
  <c r="T115" i="1"/>
  <c r="T107" i="1"/>
  <c r="T99" i="1"/>
  <c r="T91" i="1"/>
  <c r="T83" i="1"/>
  <c r="T75" i="1"/>
  <c r="T67" i="1"/>
  <c r="T59" i="1"/>
  <c r="T51" i="1"/>
  <c r="T43" i="1"/>
  <c r="T35" i="1"/>
  <c r="T27" i="1"/>
  <c r="T19" i="1"/>
  <c r="T11" i="1"/>
  <c r="T177" i="1"/>
  <c r="T137" i="1"/>
  <c r="T113" i="1"/>
  <c r="T97" i="1"/>
  <c r="T81" i="1"/>
  <c r="T65" i="1"/>
  <c r="T41" i="1"/>
  <c r="T17" i="1"/>
  <c r="N16" i="25" l="1"/>
  <c r="N17" i="1"/>
  <c r="O15" i="25"/>
  <c r="P15" i="25" s="1"/>
  <c r="P17" i="1" s="1"/>
  <c r="C14" i="25"/>
  <c r="H16" i="1" s="1"/>
  <c r="AB47" i="1"/>
  <c r="Z47" i="1"/>
  <c r="AB79" i="1"/>
  <c r="Z79" i="1"/>
  <c r="AB103" i="1"/>
  <c r="Z103" i="1"/>
  <c r="Z143" i="1"/>
  <c r="AB143" i="1"/>
  <c r="Z159" i="1"/>
  <c r="AB159" i="1"/>
  <c r="AB175" i="1"/>
  <c r="Z175" i="1"/>
  <c r="Z16" i="1"/>
  <c r="AB16" i="1"/>
  <c r="AB24" i="1"/>
  <c r="Z24" i="1"/>
  <c r="Z32" i="1"/>
  <c r="AB32" i="1"/>
  <c r="AB40" i="1"/>
  <c r="Z40" i="1"/>
  <c r="Z48" i="1"/>
  <c r="AB48" i="1"/>
  <c r="Z64" i="1"/>
  <c r="AB64" i="1"/>
  <c r="AB72" i="1"/>
  <c r="Z72" i="1"/>
  <c r="Z80" i="1"/>
  <c r="AB80" i="1"/>
  <c r="AB88" i="1"/>
  <c r="Z88" i="1"/>
  <c r="Z96" i="1"/>
  <c r="AB96" i="1"/>
  <c r="AB104" i="1"/>
  <c r="Z104" i="1"/>
  <c r="Z112" i="1"/>
  <c r="AB112" i="1"/>
  <c r="AB120" i="1"/>
  <c r="Z120" i="1"/>
  <c r="Z128" i="1"/>
  <c r="AB128" i="1"/>
  <c r="AB144" i="1"/>
  <c r="Z144" i="1"/>
  <c r="Z152" i="1"/>
  <c r="AB152" i="1"/>
  <c r="AB160" i="1"/>
  <c r="Z160" i="1"/>
  <c r="Z168" i="1"/>
  <c r="AB168" i="1"/>
  <c r="AB176" i="1"/>
  <c r="Z176" i="1"/>
  <c r="Z184" i="1"/>
  <c r="AB184" i="1"/>
  <c r="AB17" i="1"/>
  <c r="Z17" i="1"/>
  <c r="AB25" i="1"/>
  <c r="Z25" i="1"/>
  <c r="AB33" i="1"/>
  <c r="Z33" i="1"/>
  <c r="AB41" i="1"/>
  <c r="Z41" i="1"/>
  <c r="AB49" i="1"/>
  <c r="Z49" i="1"/>
  <c r="AB57" i="1"/>
  <c r="Z57" i="1"/>
  <c r="AB65" i="1"/>
  <c r="Z65" i="1"/>
  <c r="AB73" i="1"/>
  <c r="Z73" i="1"/>
  <c r="AB81" i="1"/>
  <c r="Z81" i="1"/>
  <c r="AB89" i="1"/>
  <c r="Z89" i="1"/>
  <c r="AB97" i="1"/>
  <c r="Z97" i="1"/>
  <c r="AB105" i="1"/>
  <c r="Z105" i="1"/>
  <c r="AB113" i="1"/>
  <c r="Z113" i="1"/>
  <c r="AB121" i="1"/>
  <c r="Z121" i="1"/>
  <c r="AB129" i="1"/>
  <c r="Z129" i="1"/>
  <c r="AB137" i="1"/>
  <c r="Z137" i="1"/>
  <c r="AB145" i="1"/>
  <c r="Z145" i="1"/>
  <c r="AB153" i="1"/>
  <c r="Z153" i="1"/>
  <c r="AB161" i="1"/>
  <c r="Z161" i="1"/>
  <c r="AB169" i="1"/>
  <c r="Z169" i="1"/>
  <c r="AB177" i="1"/>
  <c r="Z177" i="1"/>
  <c r="AB185" i="1"/>
  <c r="Z185" i="1"/>
  <c r="AB15" i="1"/>
  <c r="Z15" i="1"/>
  <c r="AB39" i="1"/>
  <c r="Z39" i="1"/>
  <c r="AB71" i="1"/>
  <c r="Z71" i="1"/>
  <c r="AB127" i="1"/>
  <c r="Z127" i="1"/>
  <c r="AB18" i="1"/>
  <c r="Z18" i="1"/>
  <c r="AB34" i="1"/>
  <c r="Z34" i="1"/>
  <c r="AB58" i="1"/>
  <c r="Z58" i="1"/>
  <c r="AB74" i="1"/>
  <c r="Z74" i="1"/>
  <c r="AB90" i="1"/>
  <c r="Z90" i="1"/>
  <c r="AB106" i="1"/>
  <c r="Z106" i="1"/>
  <c r="AB122" i="1"/>
  <c r="Z122" i="1"/>
  <c r="AB138" i="1"/>
  <c r="Z138" i="1"/>
  <c r="AB154" i="1"/>
  <c r="Z154" i="1"/>
  <c r="AB178" i="1"/>
  <c r="Z178" i="1"/>
  <c r="Z11" i="1"/>
  <c r="AB11" i="1"/>
  <c r="AB35" i="1"/>
  <c r="Z35" i="1"/>
  <c r="AB51" i="1"/>
  <c r="Z51" i="1"/>
  <c r="AB83" i="1"/>
  <c r="Z83" i="1"/>
  <c r="Z107" i="1"/>
  <c r="AB107" i="1"/>
  <c r="Z123" i="1"/>
  <c r="AB123" i="1"/>
  <c r="Z139" i="1"/>
  <c r="AB139" i="1"/>
  <c r="Z155" i="1"/>
  <c r="AB155" i="1"/>
  <c r="Z171" i="1"/>
  <c r="AB171" i="1"/>
  <c r="AB179" i="1"/>
  <c r="Z179" i="1"/>
  <c r="Z12" i="1"/>
  <c r="AB12" i="1"/>
  <c r="Z28" i="1"/>
  <c r="AB28" i="1"/>
  <c r="Z36" i="1"/>
  <c r="AB36" i="1"/>
  <c r="AB44" i="1"/>
  <c r="Z44" i="1"/>
  <c r="Z52" i="1"/>
  <c r="AB52" i="1"/>
  <c r="AB60" i="1"/>
  <c r="Z60" i="1"/>
  <c r="Z68" i="1"/>
  <c r="AB68" i="1"/>
  <c r="AB76" i="1"/>
  <c r="Z76" i="1"/>
  <c r="Z84" i="1"/>
  <c r="AB84" i="1"/>
  <c r="AB92" i="1"/>
  <c r="Z92" i="1"/>
  <c r="Z100" i="1"/>
  <c r="AB100" i="1"/>
  <c r="AB108" i="1"/>
  <c r="Z108" i="1"/>
  <c r="Z116" i="1"/>
  <c r="AB116" i="1"/>
  <c r="Z124" i="1"/>
  <c r="AB124" i="1"/>
  <c r="AB132" i="1"/>
  <c r="Z132" i="1"/>
  <c r="Z140" i="1"/>
  <c r="AB140" i="1"/>
  <c r="AB148" i="1"/>
  <c r="Z148" i="1"/>
  <c r="Z156" i="1"/>
  <c r="AB156" i="1"/>
  <c r="AB164" i="1"/>
  <c r="Z164" i="1"/>
  <c r="Z172" i="1"/>
  <c r="AB172" i="1"/>
  <c r="Z180" i="1"/>
  <c r="AB180" i="1"/>
  <c r="AB188" i="1"/>
  <c r="Z188" i="1"/>
  <c r="AB31" i="1"/>
  <c r="Z31" i="1"/>
  <c r="AB63" i="1"/>
  <c r="Z63" i="1"/>
  <c r="Z119" i="1"/>
  <c r="AB119" i="1"/>
  <c r="AB10" i="1"/>
  <c r="Z10" i="1"/>
  <c r="AB26" i="1"/>
  <c r="Z26" i="1"/>
  <c r="AB42" i="1"/>
  <c r="Z42" i="1"/>
  <c r="AB50" i="1"/>
  <c r="Z50" i="1"/>
  <c r="AB66" i="1"/>
  <c r="Z66" i="1"/>
  <c r="AB82" i="1"/>
  <c r="Z82" i="1"/>
  <c r="AB98" i="1"/>
  <c r="Z98" i="1"/>
  <c r="AB114" i="1"/>
  <c r="Z114" i="1"/>
  <c r="AB130" i="1"/>
  <c r="Z130" i="1"/>
  <c r="AB146" i="1"/>
  <c r="Z146" i="1"/>
  <c r="AB162" i="1"/>
  <c r="Z162" i="1"/>
  <c r="AB170" i="1"/>
  <c r="Z170" i="1"/>
  <c r="AB186" i="1"/>
  <c r="Z186" i="1"/>
  <c r="AB19" i="1"/>
  <c r="Z19" i="1"/>
  <c r="Z27" i="1"/>
  <c r="AB27" i="1"/>
  <c r="Z43" i="1"/>
  <c r="AB43" i="1"/>
  <c r="Z59" i="1"/>
  <c r="AB59" i="1"/>
  <c r="AB67" i="1"/>
  <c r="Z67" i="1"/>
  <c r="Z75" i="1"/>
  <c r="AB75" i="1"/>
  <c r="Z91" i="1"/>
  <c r="AB91" i="1"/>
  <c r="AB99" i="1"/>
  <c r="Z99" i="1"/>
  <c r="AB115" i="1"/>
  <c r="Z115" i="1"/>
  <c r="AB131" i="1"/>
  <c r="Z131" i="1"/>
  <c r="AB147" i="1"/>
  <c r="Z147" i="1"/>
  <c r="AB163" i="1"/>
  <c r="Z163" i="1"/>
  <c r="Z187" i="1"/>
  <c r="AB187" i="1"/>
  <c r="AB20" i="1"/>
  <c r="Z20" i="1"/>
  <c r="Z13" i="1"/>
  <c r="AB13" i="1"/>
  <c r="Z21" i="1"/>
  <c r="AB21" i="1"/>
  <c r="Z29" i="1"/>
  <c r="AB29" i="1"/>
  <c r="Z37" i="1"/>
  <c r="AB37" i="1"/>
  <c r="Z45" i="1"/>
  <c r="AB45" i="1"/>
  <c r="Z53" i="1"/>
  <c r="AB53" i="1"/>
  <c r="Z61" i="1"/>
  <c r="AB61" i="1"/>
  <c r="Z69" i="1"/>
  <c r="AB69" i="1"/>
  <c r="Z77" i="1"/>
  <c r="AB77" i="1"/>
  <c r="Z85" i="1"/>
  <c r="AB85" i="1"/>
  <c r="Z93" i="1"/>
  <c r="AB93" i="1"/>
  <c r="Z101" i="1"/>
  <c r="AB101" i="1"/>
  <c r="Z109" i="1"/>
  <c r="AB109" i="1"/>
  <c r="Z117" i="1"/>
  <c r="AB117" i="1"/>
  <c r="Z125" i="1"/>
  <c r="AB125" i="1"/>
  <c r="Z133" i="1"/>
  <c r="AB133" i="1"/>
  <c r="Z141" i="1"/>
  <c r="AB141" i="1"/>
  <c r="Z149" i="1"/>
  <c r="AB149" i="1"/>
  <c r="Z157" i="1"/>
  <c r="AB157" i="1"/>
  <c r="Z165" i="1"/>
  <c r="AB165" i="1"/>
  <c r="Z173" i="1"/>
  <c r="AB173" i="1"/>
  <c r="Z181" i="1"/>
  <c r="AB181" i="1"/>
  <c r="Z14" i="1"/>
  <c r="AB14" i="1"/>
  <c r="Z22" i="1"/>
  <c r="AB22" i="1"/>
  <c r="Z30" i="1"/>
  <c r="AB30" i="1"/>
  <c r="Z38" i="1"/>
  <c r="AB38" i="1"/>
  <c r="Z46" i="1"/>
  <c r="AB46" i="1"/>
  <c r="Z54" i="1"/>
  <c r="AB54" i="1"/>
  <c r="Z62" i="1"/>
  <c r="AB62" i="1"/>
  <c r="Z70" i="1"/>
  <c r="AB70" i="1"/>
  <c r="Z78" i="1"/>
  <c r="AB78" i="1"/>
  <c r="Z86" i="1"/>
  <c r="AB86" i="1"/>
  <c r="Z94" i="1"/>
  <c r="AB94" i="1"/>
  <c r="Z102" i="1"/>
  <c r="AB102" i="1"/>
  <c r="Z110" i="1"/>
  <c r="AB110" i="1"/>
  <c r="Z118" i="1"/>
  <c r="AB118" i="1"/>
  <c r="Z126" i="1"/>
  <c r="AB126" i="1"/>
  <c r="Z134" i="1"/>
  <c r="AB134" i="1"/>
  <c r="Z142" i="1"/>
  <c r="AB142" i="1"/>
  <c r="Z150" i="1"/>
  <c r="AB150" i="1"/>
  <c r="Z158" i="1"/>
  <c r="AB158" i="1"/>
  <c r="Z166" i="1"/>
  <c r="AB166" i="1"/>
  <c r="Z174" i="1"/>
  <c r="AB174" i="1"/>
  <c r="Z182" i="1"/>
  <c r="AB182" i="1"/>
  <c r="AB87" i="1"/>
  <c r="Z87" i="1"/>
  <c r="AB23" i="1"/>
  <c r="Z23" i="1"/>
  <c r="AB55" i="1"/>
  <c r="Z55" i="1"/>
  <c r="AB95" i="1"/>
  <c r="Z95" i="1"/>
  <c r="AB111" i="1"/>
  <c r="Z111" i="1"/>
  <c r="AB135" i="1"/>
  <c r="Z135" i="1"/>
  <c r="AB151" i="1"/>
  <c r="Z151" i="1"/>
  <c r="Z167" i="1"/>
  <c r="AB167" i="1"/>
  <c r="Z183" i="1"/>
  <c r="AB183" i="1"/>
  <c r="AB56" i="1"/>
  <c r="Z56" i="1"/>
  <c r="AB136" i="1"/>
  <c r="Z136" i="1"/>
  <c r="E186" i="25"/>
  <c r="E185" i="25"/>
  <c r="E184" i="25"/>
  <c r="E183" i="25"/>
  <c r="E182" i="25"/>
  <c r="E181" i="25"/>
  <c r="E180" i="25"/>
  <c r="E179" i="25"/>
  <c r="E178" i="25"/>
  <c r="E177" i="25"/>
  <c r="E176" i="25"/>
  <c r="E175" i="25"/>
  <c r="E174" i="25"/>
  <c r="E173" i="25"/>
  <c r="E172" i="25"/>
  <c r="E171" i="25"/>
  <c r="E170" i="25"/>
  <c r="E169" i="25"/>
  <c r="E168" i="25"/>
  <c r="E167" i="25"/>
  <c r="E166" i="25"/>
  <c r="E165" i="25"/>
  <c r="E164" i="25"/>
  <c r="E163" i="25"/>
  <c r="E162" i="25"/>
  <c r="E161" i="25"/>
  <c r="E160" i="25"/>
  <c r="E159" i="25"/>
  <c r="E158" i="25"/>
  <c r="E157" i="25"/>
  <c r="E156" i="25"/>
  <c r="E155" i="25"/>
  <c r="E154" i="25"/>
  <c r="E153" i="25"/>
  <c r="E152" i="25"/>
  <c r="E151" i="25"/>
  <c r="E150" i="25"/>
  <c r="E149" i="25"/>
  <c r="E148" i="25"/>
  <c r="E147" i="25"/>
  <c r="E146" i="25"/>
  <c r="E145" i="25"/>
  <c r="E144" i="25"/>
  <c r="E143" i="25"/>
  <c r="E142" i="25"/>
  <c r="E141" i="25"/>
  <c r="E140" i="25"/>
  <c r="E139" i="25"/>
  <c r="E138" i="25"/>
  <c r="E137" i="25"/>
  <c r="E136" i="25"/>
  <c r="E135" i="25"/>
  <c r="E134" i="25"/>
  <c r="E133" i="25"/>
  <c r="E132" i="25"/>
  <c r="E131" i="25"/>
  <c r="E130" i="25"/>
  <c r="E129" i="25"/>
  <c r="E128" i="25"/>
  <c r="E127" i="25"/>
  <c r="E126" i="25"/>
  <c r="E125" i="25"/>
  <c r="E124" i="25"/>
  <c r="E123" i="25"/>
  <c r="E122" i="25"/>
  <c r="E121" i="25"/>
  <c r="E120" i="25"/>
  <c r="E119" i="25"/>
  <c r="E118" i="25"/>
  <c r="E117" i="25"/>
  <c r="E116" i="25"/>
  <c r="E115" i="25"/>
  <c r="E114" i="25"/>
  <c r="E113" i="25"/>
  <c r="E112" i="25"/>
  <c r="E111" i="25"/>
  <c r="E110" i="25"/>
  <c r="E109" i="25"/>
  <c r="E108" i="25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F18" i="25" s="1"/>
  <c r="E17" i="25"/>
  <c r="F17" i="25" s="1"/>
  <c r="E16" i="25"/>
  <c r="F16" i="25" s="1"/>
  <c r="E15" i="25"/>
  <c r="F15" i="25" s="1"/>
  <c r="E14" i="25"/>
  <c r="F14" i="25" s="1"/>
  <c r="E13" i="25"/>
  <c r="F13" i="25" s="1"/>
  <c r="E12" i="25"/>
  <c r="F12" i="25" s="1"/>
  <c r="E11" i="25"/>
  <c r="F11" i="25" s="1"/>
  <c r="E10" i="25"/>
  <c r="F10" i="25" s="1"/>
  <c r="E9" i="25"/>
  <c r="F9" i="25" s="1"/>
  <c r="E8" i="25"/>
  <c r="F8" i="25" s="1"/>
  <c r="E7" i="25"/>
  <c r="F7" i="25" s="1"/>
  <c r="N17" i="25" l="1"/>
  <c r="N18" i="1"/>
  <c r="O16" i="25"/>
  <c r="P16" i="25" s="1"/>
  <c r="P18" i="1" s="1"/>
  <c r="F19" i="25"/>
  <c r="G19" i="25" s="1"/>
  <c r="C15" i="25"/>
  <c r="H17" i="1" s="1"/>
  <c r="D7" i="25"/>
  <c r="N18" i="25" l="1"/>
  <c r="N19" i="1"/>
  <c r="O17" i="25"/>
  <c r="P17" i="25" s="1"/>
  <c r="P19" i="1" s="1"/>
  <c r="C16" i="25"/>
  <c r="H18" i="1" s="1"/>
  <c r="F20" i="25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F62" i="25" s="1"/>
  <c r="F63" i="25" s="1"/>
  <c r="F64" i="25" s="1"/>
  <c r="F65" i="25" s="1"/>
  <c r="F66" i="25" s="1"/>
  <c r="F67" i="25" s="1"/>
  <c r="F68" i="25" s="1"/>
  <c r="F69" i="25" s="1"/>
  <c r="F70" i="25" s="1"/>
  <c r="F71" i="25" s="1"/>
  <c r="F72" i="25" s="1"/>
  <c r="F73" i="25" s="1"/>
  <c r="F74" i="25" s="1"/>
  <c r="F75" i="25" s="1"/>
  <c r="F76" i="25" s="1"/>
  <c r="F77" i="25" s="1"/>
  <c r="F78" i="25" s="1"/>
  <c r="F79" i="25" s="1"/>
  <c r="F80" i="25" s="1"/>
  <c r="F81" i="25" s="1"/>
  <c r="F82" i="25" s="1"/>
  <c r="F83" i="25" s="1"/>
  <c r="F84" i="25" s="1"/>
  <c r="F85" i="25" s="1"/>
  <c r="F86" i="25" s="1"/>
  <c r="F87" i="25" s="1"/>
  <c r="F88" i="25" s="1"/>
  <c r="F89" i="25" s="1"/>
  <c r="F90" i="25" s="1"/>
  <c r="F91" i="25" s="1"/>
  <c r="F92" i="25" s="1"/>
  <c r="F93" i="25" s="1"/>
  <c r="F94" i="25" s="1"/>
  <c r="F95" i="25" s="1"/>
  <c r="F96" i="25" s="1"/>
  <c r="F97" i="25" s="1"/>
  <c r="F98" i="25" s="1"/>
  <c r="F99" i="25" s="1"/>
  <c r="F100" i="25" s="1"/>
  <c r="F101" i="25" s="1"/>
  <c r="F102" i="25" s="1"/>
  <c r="F103" i="25" s="1"/>
  <c r="F104" i="25" s="1"/>
  <c r="F105" i="25" s="1"/>
  <c r="F106" i="25" s="1"/>
  <c r="F107" i="25" s="1"/>
  <c r="F108" i="25" s="1"/>
  <c r="F109" i="25" s="1"/>
  <c r="F110" i="25" s="1"/>
  <c r="F111" i="25" s="1"/>
  <c r="F112" i="25" s="1"/>
  <c r="F113" i="25" s="1"/>
  <c r="F114" i="25" s="1"/>
  <c r="F115" i="25" s="1"/>
  <c r="F116" i="25" s="1"/>
  <c r="F117" i="25" s="1"/>
  <c r="F118" i="25" s="1"/>
  <c r="F119" i="25" s="1"/>
  <c r="F120" i="25" s="1"/>
  <c r="F121" i="25" s="1"/>
  <c r="F122" i="25" s="1"/>
  <c r="F123" i="25" s="1"/>
  <c r="F124" i="25" s="1"/>
  <c r="F125" i="25" s="1"/>
  <c r="F126" i="25" s="1"/>
  <c r="F127" i="25" s="1"/>
  <c r="F128" i="25" s="1"/>
  <c r="F129" i="25" s="1"/>
  <c r="F130" i="25" s="1"/>
  <c r="F131" i="25" s="1"/>
  <c r="F132" i="25" s="1"/>
  <c r="F133" i="25" s="1"/>
  <c r="F134" i="25" s="1"/>
  <c r="F135" i="25" s="1"/>
  <c r="F136" i="25" s="1"/>
  <c r="F137" i="25" s="1"/>
  <c r="F138" i="25" s="1"/>
  <c r="F139" i="25" s="1"/>
  <c r="F140" i="25" s="1"/>
  <c r="F141" i="25" s="1"/>
  <c r="F142" i="25" s="1"/>
  <c r="F143" i="25" s="1"/>
  <c r="F144" i="25" s="1"/>
  <c r="F145" i="25" s="1"/>
  <c r="F146" i="25" s="1"/>
  <c r="F147" i="25" s="1"/>
  <c r="F148" i="25" s="1"/>
  <c r="F149" i="25" s="1"/>
  <c r="F150" i="25" s="1"/>
  <c r="F151" i="25" s="1"/>
  <c r="F152" i="25" s="1"/>
  <c r="F153" i="25" s="1"/>
  <c r="F154" i="25" s="1"/>
  <c r="F155" i="25" s="1"/>
  <c r="F156" i="25" s="1"/>
  <c r="F157" i="25" s="1"/>
  <c r="F158" i="25" s="1"/>
  <c r="F159" i="25" s="1"/>
  <c r="F160" i="25" s="1"/>
  <c r="F161" i="25" s="1"/>
  <c r="F162" i="25" s="1"/>
  <c r="F163" i="25" s="1"/>
  <c r="F164" i="25" s="1"/>
  <c r="F165" i="25" s="1"/>
  <c r="F166" i="25" s="1"/>
  <c r="F167" i="25" s="1"/>
  <c r="F168" i="25" s="1"/>
  <c r="F169" i="25" s="1"/>
  <c r="F170" i="25" s="1"/>
  <c r="F171" i="25" s="1"/>
  <c r="F172" i="25" s="1"/>
  <c r="F173" i="25" s="1"/>
  <c r="F174" i="25" s="1"/>
  <c r="F175" i="25" s="1"/>
  <c r="F176" i="25" s="1"/>
  <c r="F177" i="25" s="1"/>
  <c r="F178" i="25" s="1"/>
  <c r="F179" i="25" s="1"/>
  <c r="F180" i="25" s="1"/>
  <c r="F181" i="25" s="1"/>
  <c r="F182" i="25" s="1"/>
  <c r="F183" i="25" s="1"/>
  <c r="F184" i="25" s="1"/>
  <c r="F185" i="25" s="1"/>
  <c r="F186" i="25" s="1"/>
  <c r="D8" i="25"/>
  <c r="N19" i="25" l="1"/>
  <c r="N20" i="1"/>
  <c r="O18" i="25"/>
  <c r="P18" i="25" s="1"/>
  <c r="P20" i="1" s="1"/>
  <c r="C17" i="25"/>
  <c r="H19" i="1" s="1"/>
  <c r="D9" i="25"/>
  <c r="N20" i="25" l="1"/>
  <c r="N21" i="1"/>
  <c r="O19" i="25"/>
  <c r="P19" i="25" s="1"/>
  <c r="P21" i="1" s="1"/>
  <c r="C18" i="25"/>
  <c r="H20" i="1" s="1"/>
  <c r="D10" i="25"/>
  <c r="N21" i="25" l="1"/>
  <c r="N22" i="1"/>
  <c r="O20" i="25"/>
  <c r="P20" i="25" s="1"/>
  <c r="P22" i="1" s="1"/>
  <c r="C19" i="25"/>
  <c r="H21" i="1" s="1"/>
  <c r="D11" i="25"/>
  <c r="N22" i="25" l="1"/>
  <c r="N23" i="1"/>
  <c r="O21" i="25"/>
  <c r="P21" i="25" s="1"/>
  <c r="P23" i="1" s="1"/>
  <c r="C20" i="25"/>
  <c r="H22" i="1" s="1"/>
  <c r="D12" i="25"/>
  <c r="N23" i="25" l="1"/>
  <c r="N24" i="1"/>
  <c r="O22" i="25"/>
  <c r="P22" i="25" s="1"/>
  <c r="P24" i="1" s="1"/>
  <c r="C21" i="25"/>
  <c r="H23" i="1" s="1"/>
  <c r="D13" i="25"/>
  <c r="N24" i="25" l="1"/>
  <c r="N25" i="1"/>
  <c r="O23" i="25"/>
  <c r="P23" i="25" s="1"/>
  <c r="P25" i="1" s="1"/>
  <c r="C22" i="25"/>
  <c r="H24" i="1" s="1"/>
  <c r="D14" i="25"/>
  <c r="N25" i="25" l="1"/>
  <c r="N26" i="1"/>
  <c r="O24" i="25"/>
  <c r="P24" i="25" s="1"/>
  <c r="P26" i="1" s="1"/>
  <c r="C23" i="25"/>
  <c r="H25" i="1" s="1"/>
  <c r="D15" i="25"/>
  <c r="N26" i="25" l="1"/>
  <c r="N27" i="1"/>
  <c r="O25" i="25"/>
  <c r="P25" i="25" s="1"/>
  <c r="P27" i="1" s="1"/>
  <c r="C24" i="25"/>
  <c r="H26" i="1" s="1"/>
  <c r="D16" i="25"/>
  <c r="G7" i="25"/>
  <c r="N27" i="25" l="1"/>
  <c r="N28" i="1"/>
  <c r="O26" i="25"/>
  <c r="P26" i="25" s="1"/>
  <c r="P28" i="1" s="1"/>
  <c r="C25" i="25"/>
  <c r="H27" i="1" s="1"/>
  <c r="D17" i="25"/>
  <c r="I7" i="25"/>
  <c r="J7" i="25" s="1"/>
  <c r="J9" i="1" s="1"/>
  <c r="H7" i="25"/>
  <c r="G8" i="25"/>
  <c r="N28" i="25" l="1"/>
  <c r="N29" i="1"/>
  <c r="O27" i="25"/>
  <c r="P27" i="25" s="1"/>
  <c r="P29" i="1" s="1"/>
  <c r="C26" i="25"/>
  <c r="H28" i="1" s="1"/>
  <c r="D18" i="25"/>
  <c r="G9" i="25"/>
  <c r="H8" i="25"/>
  <c r="I8" i="25"/>
  <c r="J8" i="25" s="1"/>
  <c r="J10" i="1" s="1"/>
  <c r="N29" i="25" l="1"/>
  <c r="N30" i="1"/>
  <c r="O28" i="25"/>
  <c r="P28" i="25" s="1"/>
  <c r="P30" i="1" s="1"/>
  <c r="C27" i="25"/>
  <c r="H29" i="1" s="1"/>
  <c r="R9" i="1"/>
  <c r="V9" i="1" s="1"/>
  <c r="AF9" i="1" s="1"/>
  <c r="D19" i="25"/>
  <c r="H9" i="25"/>
  <c r="I9" i="25"/>
  <c r="J9" i="25" s="1"/>
  <c r="J11" i="1" s="1"/>
  <c r="G10" i="25"/>
  <c r="N30" i="25" l="1"/>
  <c r="N31" i="1"/>
  <c r="O29" i="25"/>
  <c r="P29" i="25" s="1"/>
  <c r="P31" i="1" s="1"/>
  <c r="C28" i="25"/>
  <c r="H30" i="1" s="1"/>
  <c r="R10" i="1"/>
  <c r="V10" i="1" s="1"/>
  <c r="AF10" i="1" s="1"/>
  <c r="D20" i="25"/>
  <c r="I10" i="25"/>
  <c r="J10" i="25" s="1"/>
  <c r="J12" i="1" s="1"/>
  <c r="H10" i="25"/>
  <c r="G11" i="25"/>
  <c r="N31" i="25" l="1"/>
  <c r="N32" i="1"/>
  <c r="O30" i="25"/>
  <c r="P30" i="25" s="1"/>
  <c r="P32" i="1" s="1"/>
  <c r="C29" i="25"/>
  <c r="H31" i="1" s="1"/>
  <c r="R11" i="1"/>
  <c r="V11" i="1" s="1"/>
  <c r="AF11" i="1" s="1"/>
  <c r="D21" i="25"/>
  <c r="G12" i="25"/>
  <c r="I11" i="25"/>
  <c r="J11" i="25" s="1"/>
  <c r="J13" i="1" s="1"/>
  <c r="H11" i="25"/>
  <c r="N32" i="25" l="1"/>
  <c r="N33" i="1"/>
  <c r="O31" i="25"/>
  <c r="P31" i="25" s="1"/>
  <c r="P33" i="1" s="1"/>
  <c r="C30" i="25"/>
  <c r="H32" i="1" s="1"/>
  <c r="R12" i="1"/>
  <c r="V12" i="1" s="1"/>
  <c r="AF12" i="1" s="1"/>
  <c r="D22" i="25"/>
  <c r="H12" i="25"/>
  <c r="I12" i="25"/>
  <c r="J12" i="25" s="1"/>
  <c r="J14" i="1" s="1"/>
  <c r="G13" i="25"/>
  <c r="N33" i="25" l="1"/>
  <c r="N34" i="1"/>
  <c r="O32" i="25"/>
  <c r="P32" i="25" s="1"/>
  <c r="P34" i="1" s="1"/>
  <c r="C31" i="25"/>
  <c r="H33" i="1" s="1"/>
  <c r="R13" i="1"/>
  <c r="V13" i="1" s="1"/>
  <c r="AF13" i="1" s="1"/>
  <c r="D23" i="25"/>
  <c r="H13" i="25"/>
  <c r="I13" i="25"/>
  <c r="J13" i="25" s="1"/>
  <c r="J15" i="1" s="1"/>
  <c r="G14" i="25"/>
  <c r="N34" i="25" l="1"/>
  <c r="N35" i="1"/>
  <c r="O33" i="25"/>
  <c r="P33" i="25" s="1"/>
  <c r="P35" i="1" s="1"/>
  <c r="C32" i="25"/>
  <c r="H34" i="1" s="1"/>
  <c r="R14" i="1"/>
  <c r="V14" i="1" s="1"/>
  <c r="AF14" i="1" s="1"/>
  <c r="D24" i="25"/>
  <c r="H14" i="25"/>
  <c r="I14" i="25"/>
  <c r="J14" i="25" s="1"/>
  <c r="J16" i="1" s="1"/>
  <c r="G15" i="25"/>
  <c r="N35" i="25" l="1"/>
  <c r="N36" i="1"/>
  <c r="O34" i="25"/>
  <c r="P34" i="25" s="1"/>
  <c r="P36" i="1" s="1"/>
  <c r="C33" i="25"/>
  <c r="H35" i="1" s="1"/>
  <c r="R15" i="1"/>
  <c r="V15" i="1" s="1"/>
  <c r="AF15" i="1" s="1"/>
  <c r="D25" i="25"/>
  <c r="I15" i="25"/>
  <c r="J15" i="25" s="1"/>
  <c r="J17" i="1" s="1"/>
  <c r="H15" i="25"/>
  <c r="G16" i="25"/>
  <c r="N36" i="25" l="1"/>
  <c r="N37" i="1"/>
  <c r="O35" i="25"/>
  <c r="P35" i="25" s="1"/>
  <c r="P37" i="1" s="1"/>
  <c r="C34" i="25"/>
  <c r="H36" i="1" s="1"/>
  <c r="R16" i="1"/>
  <c r="V16" i="1" s="1"/>
  <c r="AF16" i="1" s="1"/>
  <c r="D26" i="25"/>
  <c r="H16" i="25"/>
  <c r="I16" i="25"/>
  <c r="J16" i="25" s="1"/>
  <c r="J18" i="1" s="1"/>
  <c r="G17" i="25"/>
  <c r="N37" i="25" l="1"/>
  <c r="N38" i="1"/>
  <c r="O36" i="25"/>
  <c r="P36" i="25" s="1"/>
  <c r="P38" i="1" s="1"/>
  <c r="C35" i="25"/>
  <c r="H37" i="1" s="1"/>
  <c r="R17" i="1"/>
  <c r="V17" i="1" s="1"/>
  <c r="AF17" i="1" s="1"/>
  <c r="D27" i="25"/>
  <c r="I17" i="25"/>
  <c r="J17" i="25" s="1"/>
  <c r="J19" i="1" s="1"/>
  <c r="H17" i="25"/>
  <c r="G18" i="25"/>
  <c r="N38" i="25" l="1"/>
  <c r="N39" i="1"/>
  <c r="O37" i="25"/>
  <c r="P37" i="25" s="1"/>
  <c r="P39" i="1" s="1"/>
  <c r="C36" i="25"/>
  <c r="H38" i="1" s="1"/>
  <c r="R18" i="1"/>
  <c r="V18" i="1" s="1"/>
  <c r="AF18" i="1" s="1"/>
  <c r="D28" i="25"/>
  <c r="I18" i="25"/>
  <c r="J18" i="25" s="1"/>
  <c r="J20" i="1" s="1"/>
  <c r="H18" i="25"/>
  <c r="N39" i="25" l="1"/>
  <c r="N40" i="1"/>
  <c r="O38" i="25"/>
  <c r="P38" i="25" s="1"/>
  <c r="P40" i="1" s="1"/>
  <c r="C37" i="25"/>
  <c r="H39" i="1" s="1"/>
  <c r="R19" i="1"/>
  <c r="V19" i="1" s="1"/>
  <c r="AF19" i="1" s="1"/>
  <c r="D29" i="25"/>
  <c r="G20" i="25"/>
  <c r="H19" i="25"/>
  <c r="I19" i="25"/>
  <c r="J19" i="25" s="1"/>
  <c r="J21" i="1" s="1"/>
  <c r="N40" i="25" l="1"/>
  <c r="N41" i="1"/>
  <c r="O39" i="25"/>
  <c r="P39" i="25" s="1"/>
  <c r="P41" i="1" s="1"/>
  <c r="C38" i="25"/>
  <c r="H40" i="1" s="1"/>
  <c r="R20" i="1"/>
  <c r="V20" i="1" s="1"/>
  <c r="AF20" i="1" s="1"/>
  <c r="D30" i="25"/>
  <c r="H20" i="25"/>
  <c r="I20" i="25"/>
  <c r="J20" i="25" s="1"/>
  <c r="J22" i="1" s="1"/>
  <c r="G21" i="25"/>
  <c r="N41" i="25" l="1"/>
  <c r="N42" i="1"/>
  <c r="O40" i="25"/>
  <c r="P40" i="25" s="1"/>
  <c r="P42" i="1" s="1"/>
  <c r="C39" i="25"/>
  <c r="H41" i="1" s="1"/>
  <c r="R21" i="1"/>
  <c r="V21" i="1" s="1"/>
  <c r="AF21" i="1" s="1"/>
  <c r="D31" i="25"/>
  <c r="H21" i="25"/>
  <c r="I21" i="25"/>
  <c r="J21" i="25" s="1"/>
  <c r="J23" i="1" s="1"/>
  <c r="G22" i="25"/>
  <c r="N42" i="25" l="1"/>
  <c r="N43" i="1"/>
  <c r="O41" i="25"/>
  <c r="P41" i="25" s="1"/>
  <c r="P43" i="1" s="1"/>
  <c r="C40" i="25"/>
  <c r="H42" i="1" s="1"/>
  <c r="R22" i="1"/>
  <c r="V22" i="1" s="1"/>
  <c r="AF22" i="1" s="1"/>
  <c r="D32" i="25"/>
  <c r="G23" i="25"/>
  <c r="I22" i="25"/>
  <c r="J22" i="25" s="1"/>
  <c r="J24" i="1" s="1"/>
  <c r="H22" i="25"/>
  <c r="N43" i="25" l="1"/>
  <c r="N44" i="1"/>
  <c r="O42" i="25"/>
  <c r="P42" i="25" s="1"/>
  <c r="P44" i="1" s="1"/>
  <c r="C41" i="25"/>
  <c r="H43" i="1" s="1"/>
  <c r="R23" i="1"/>
  <c r="V23" i="1" s="1"/>
  <c r="AF23" i="1" s="1"/>
  <c r="D33" i="25"/>
  <c r="I23" i="25"/>
  <c r="J23" i="25" s="1"/>
  <c r="J25" i="1" s="1"/>
  <c r="H23" i="25"/>
  <c r="G24" i="25"/>
  <c r="N44" i="25" l="1"/>
  <c r="N45" i="1"/>
  <c r="O43" i="25"/>
  <c r="P43" i="25" s="1"/>
  <c r="P45" i="1" s="1"/>
  <c r="C42" i="25"/>
  <c r="H44" i="1" s="1"/>
  <c r="R24" i="1"/>
  <c r="V24" i="1" s="1"/>
  <c r="AF24" i="1" s="1"/>
  <c r="D34" i="25"/>
  <c r="G25" i="25"/>
  <c r="H24" i="25"/>
  <c r="I24" i="25"/>
  <c r="J24" i="25" s="1"/>
  <c r="J26" i="1" s="1"/>
  <c r="N45" i="25" l="1"/>
  <c r="N46" i="1"/>
  <c r="O44" i="25"/>
  <c r="P44" i="25" s="1"/>
  <c r="P46" i="1" s="1"/>
  <c r="C43" i="25"/>
  <c r="H45" i="1" s="1"/>
  <c r="R25" i="1"/>
  <c r="V25" i="1" s="1"/>
  <c r="AF25" i="1" s="1"/>
  <c r="D35" i="25"/>
  <c r="I25" i="25"/>
  <c r="J25" i="25" s="1"/>
  <c r="J27" i="1" s="1"/>
  <c r="H25" i="25"/>
  <c r="G26" i="25"/>
  <c r="N46" i="25" l="1"/>
  <c r="N47" i="1"/>
  <c r="O45" i="25"/>
  <c r="P45" i="25" s="1"/>
  <c r="P47" i="1" s="1"/>
  <c r="C44" i="25"/>
  <c r="H46" i="1" s="1"/>
  <c r="R26" i="1"/>
  <c r="V26" i="1" s="1"/>
  <c r="AF26" i="1" s="1"/>
  <c r="D36" i="25"/>
  <c r="G27" i="25"/>
  <c r="I26" i="25"/>
  <c r="J26" i="25" s="1"/>
  <c r="J28" i="1" s="1"/>
  <c r="H26" i="25"/>
  <c r="N47" i="25" l="1"/>
  <c r="N48" i="1"/>
  <c r="O46" i="25"/>
  <c r="P46" i="25" s="1"/>
  <c r="P48" i="1" s="1"/>
  <c r="C45" i="25"/>
  <c r="H47" i="1" s="1"/>
  <c r="R27" i="1"/>
  <c r="V27" i="1" s="1"/>
  <c r="AF27" i="1" s="1"/>
  <c r="D37" i="25"/>
  <c r="I27" i="25"/>
  <c r="J27" i="25" s="1"/>
  <c r="J29" i="1" s="1"/>
  <c r="H27" i="25"/>
  <c r="G28" i="25"/>
  <c r="N48" i="25" l="1"/>
  <c r="N49" i="1"/>
  <c r="O47" i="25"/>
  <c r="P47" i="25" s="1"/>
  <c r="P49" i="1" s="1"/>
  <c r="C46" i="25"/>
  <c r="H48" i="1" s="1"/>
  <c r="R28" i="1"/>
  <c r="V28" i="1" s="1"/>
  <c r="AF28" i="1" s="1"/>
  <c r="D38" i="25"/>
  <c r="H28" i="25"/>
  <c r="I28" i="25"/>
  <c r="J28" i="25" s="1"/>
  <c r="J30" i="1" s="1"/>
  <c r="G29" i="25"/>
  <c r="N49" i="25" l="1"/>
  <c r="N50" i="1"/>
  <c r="O48" i="25"/>
  <c r="P48" i="25" s="1"/>
  <c r="P50" i="1" s="1"/>
  <c r="C47" i="25"/>
  <c r="H49" i="1" s="1"/>
  <c r="R29" i="1"/>
  <c r="V29" i="1" s="1"/>
  <c r="AF29" i="1" s="1"/>
  <c r="D39" i="25"/>
  <c r="H29" i="25"/>
  <c r="I29" i="25"/>
  <c r="J29" i="25" s="1"/>
  <c r="J31" i="1" s="1"/>
  <c r="G30" i="25"/>
  <c r="N50" i="25" l="1"/>
  <c r="N51" i="1"/>
  <c r="O49" i="25"/>
  <c r="P49" i="25" s="1"/>
  <c r="P51" i="1" s="1"/>
  <c r="C48" i="25"/>
  <c r="H50" i="1" s="1"/>
  <c r="R30" i="1"/>
  <c r="V30" i="1" s="1"/>
  <c r="AF30" i="1" s="1"/>
  <c r="D40" i="25"/>
  <c r="I30" i="25"/>
  <c r="J30" i="25" s="1"/>
  <c r="J32" i="1" s="1"/>
  <c r="H30" i="25"/>
  <c r="G31" i="25"/>
  <c r="N51" i="25" l="1"/>
  <c r="N52" i="1"/>
  <c r="O50" i="25"/>
  <c r="P50" i="25" s="1"/>
  <c r="P52" i="1" s="1"/>
  <c r="C49" i="25"/>
  <c r="H51" i="1" s="1"/>
  <c r="R31" i="1"/>
  <c r="V31" i="1" s="1"/>
  <c r="AF31" i="1" s="1"/>
  <c r="D41" i="25"/>
  <c r="I31" i="25"/>
  <c r="J31" i="25" s="1"/>
  <c r="J33" i="1" s="1"/>
  <c r="H31" i="25"/>
  <c r="G32" i="25"/>
  <c r="N52" i="25" l="1"/>
  <c r="N53" i="1"/>
  <c r="O51" i="25"/>
  <c r="P51" i="25" s="1"/>
  <c r="P53" i="1" s="1"/>
  <c r="C50" i="25"/>
  <c r="H52" i="1" s="1"/>
  <c r="R32" i="1"/>
  <c r="V32" i="1" s="1"/>
  <c r="AF32" i="1" s="1"/>
  <c r="D42" i="25"/>
  <c r="G33" i="25"/>
  <c r="H32" i="25"/>
  <c r="I32" i="25"/>
  <c r="J32" i="25" s="1"/>
  <c r="J34" i="1" s="1"/>
  <c r="N53" i="25" l="1"/>
  <c r="N54" i="1"/>
  <c r="O52" i="25"/>
  <c r="P52" i="25" s="1"/>
  <c r="P54" i="1" s="1"/>
  <c r="C51" i="25"/>
  <c r="H53" i="1" s="1"/>
  <c r="R33" i="1"/>
  <c r="V33" i="1" s="1"/>
  <c r="AF33" i="1" s="1"/>
  <c r="D43" i="25"/>
  <c r="H33" i="25"/>
  <c r="I33" i="25"/>
  <c r="J33" i="25" s="1"/>
  <c r="J35" i="1" s="1"/>
  <c r="G34" i="25"/>
  <c r="N54" i="25" l="1"/>
  <c r="N55" i="1"/>
  <c r="O53" i="25"/>
  <c r="P53" i="25" s="1"/>
  <c r="P55" i="1" s="1"/>
  <c r="C52" i="25"/>
  <c r="H54" i="1" s="1"/>
  <c r="R34" i="1"/>
  <c r="V34" i="1" s="1"/>
  <c r="AF34" i="1" s="1"/>
  <c r="D44" i="25"/>
  <c r="I34" i="25"/>
  <c r="J34" i="25" s="1"/>
  <c r="J36" i="1" s="1"/>
  <c r="H34" i="25"/>
  <c r="G35" i="25"/>
  <c r="N55" i="25" l="1"/>
  <c r="N56" i="1"/>
  <c r="O54" i="25"/>
  <c r="P54" i="25" s="1"/>
  <c r="P56" i="1" s="1"/>
  <c r="C53" i="25"/>
  <c r="H55" i="1" s="1"/>
  <c r="R35" i="1"/>
  <c r="V35" i="1" s="1"/>
  <c r="AF35" i="1" s="1"/>
  <c r="D45" i="25"/>
  <c r="I35" i="25"/>
  <c r="J35" i="25" s="1"/>
  <c r="J37" i="1" s="1"/>
  <c r="H35" i="25"/>
  <c r="G36" i="25"/>
  <c r="N56" i="25" l="1"/>
  <c r="N57" i="1"/>
  <c r="O55" i="25"/>
  <c r="P55" i="25" s="1"/>
  <c r="P57" i="1" s="1"/>
  <c r="C54" i="25"/>
  <c r="H56" i="1" s="1"/>
  <c r="R36" i="1"/>
  <c r="V36" i="1" s="1"/>
  <c r="AF36" i="1" s="1"/>
  <c r="D46" i="25"/>
  <c r="H36" i="25"/>
  <c r="I36" i="25"/>
  <c r="J36" i="25" s="1"/>
  <c r="J38" i="1" s="1"/>
  <c r="G37" i="25"/>
  <c r="N57" i="25" l="1"/>
  <c r="N58" i="1"/>
  <c r="O56" i="25"/>
  <c r="P56" i="25" s="1"/>
  <c r="P58" i="1" s="1"/>
  <c r="C55" i="25"/>
  <c r="H57" i="1" s="1"/>
  <c r="R37" i="1"/>
  <c r="V37" i="1" s="1"/>
  <c r="AF37" i="1" s="1"/>
  <c r="D47" i="25"/>
  <c r="H37" i="25"/>
  <c r="I37" i="25"/>
  <c r="J37" i="25" s="1"/>
  <c r="J39" i="1" s="1"/>
  <c r="G38" i="25"/>
  <c r="N58" i="25" l="1"/>
  <c r="N59" i="1"/>
  <c r="O57" i="25"/>
  <c r="P57" i="25" s="1"/>
  <c r="P59" i="1" s="1"/>
  <c r="C56" i="25"/>
  <c r="H58" i="1" s="1"/>
  <c r="R38" i="1"/>
  <c r="V38" i="1" s="1"/>
  <c r="AF38" i="1" s="1"/>
  <c r="D48" i="25"/>
  <c r="I38" i="25"/>
  <c r="J38" i="25" s="1"/>
  <c r="J40" i="1" s="1"/>
  <c r="H38" i="25"/>
  <c r="G39" i="25"/>
  <c r="N59" i="25" l="1"/>
  <c r="N60" i="1"/>
  <c r="O58" i="25"/>
  <c r="P58" i="25" s="1"/>
  <c r="P60" i="1" s="1"/>
  <c r="C57" i="25"/>
  <c r="H59" i="1" s="1"/>
  <c r="R39" i="1"/>
  <c r="V39" i="1" s="1"/>
  <c r="AF39" i="1" s="1"/>
  <c r="D49" i="25"/>
  <c r="I39" i="25"/>
  <c r="J39" i="25" s="1"/>
  <c r="J41" i="1" s="1"/>
  <c r="H39" i="25"/>
  <c r="G40" i="25"/>
  <c r="N60" i="25" l="1"/>
  <c r="N61" i="1"/>
  <c r="O59" i="25"/>
  <c r="P59" i="25" s="1"/>
  <c r="P61" i="1" s="1"/>
  <c r="C58" i="25"/>
  <c r="H60" i="1" s="1"/>
  <c r="R40" i="1"/>
  <c r="V40" i="1" s="1"/>
  <c r="AF40" i="1" s="1"/>
  <c r="D50" i="25"/>
  <c r="H40" i="25"/>
  <c r="I40" i="25"/>
  <c r="J40" i="25" s="1"/>
  <c r="J42" i="1" s="1"/>
  <c r="G41" i="25"/>
  <c r="N61" i="25" l="1"/>
  <c r="N62" i="1"/>
  <c r="O60" i="25"/>
  <c r="P60" i="25" s="1"/>
  <c r="P62" i="1" s="1"/>
  <c r="C59" i="25"/>
  <c r="H61" i="1" s="1"/>
  <c r="R41" i="1"/>
  <c r="V41" i="1" s="1"/>
  <c r="AF41" i="1" s="1"/>
  <c r="D51" i="25"/>
  <c r="H41" i="25"/>
  <c r="I41" i="25"/>
  <c r="J41" i="25" s="1"/>
  <c r="J43" i="1" s="1"/>
  <c r="G42" i="25"/>
  <c r="N62" i="25" l="1"/>
  <c r="N63" i="1"/>
  <c r="O61" i="25"/>
  <c r="P61" i="25" s="1"/>
  <c r="P63" i="1" s="1"/>
  <c r="C60" i="25"/>
  <c r="H62" i="1" s="1"/>
  <c r="R42" i="1"/>
  <c r="V42" i="1" s="1"/>
  <c r="AF42" i="1" s="1"/>
  <c r="D52" i="25"/>
  <c r="I42" i="25"/>
  <c r="J42" i="25" s="1"/>
  <c r="J44" i="1" s="1"/>
  <c r="H42" i="25"/>
  <c r="G43" i="25"/>
  <c r="N63" i="25" l="1"/>
  <c r="N64" i="1"/>
  <c r="O62" i="25"/>
  <c r="P62" i="25" s="1"/>
  <c r="P64" i="1" s="1"/>
  <c r="C61" i="25"/>
  <c r="H63" i="1" s="1"/>
  <c r="R43" i="1"/>
  <c r="V43" i="1" s="1"/>
  <c r="AF43" i="1" s="1"/>
  <c r="D53" i="25"/>
  <c r="I43" i="25"/>
  <c r="J43" i="25" s="1"/>
  <c r="J45" i="1" s="1"/>
  <c r="H43" i="25"/>
  <c r="G44" i="25"/>
  <c r="AH181" i="1"/>
  <c r="AH173" i="1"/>
  <c r="AH165" i="1"/>
  <c r="AH157" i="1"/>
  <c r="AH149" i="1"/>
  <c r="AH141" i="1"/>
  <c r="AH133" i="1"/>
  <c r="AH125" i="1"/>
  <c r="AH117" i="1"/>
  <c r="AH109" i="1"/>
  <c r="AH101" i="1"/>
  <c r="AH93" i="1"/>
  <c r="AH85" i="1"/>
  <c r="AH77" i="1"/>
  <c r="AH69" i="1"/>
  <c r="AH61" i="1"/>
  <c r="AH53" i="1"/>
  <c r="AH45" i="1"/>
  <c r="AH37" i="1"/>
  <c r="AH137" i="1"/>
  <c r="AH121" i="1"/>
  <c r="AH97" i="1"/>
  <c r="AH41" i="1"/>
  <c r="AH188" i="1"/>
  <c r="AH180" i="1"/>
  <c r="AH172" i="1"/>
  <c r="AH164" i="1"/>
  <c r="AH156" i="1"/>
  <c r="AH148" i="1"/>
  <c r="AH140" i="1"/>
  <c r="AH132" i="1"/>
  <c r="AH124" i="1"/>
  <c r="AH116" i="1"/>
  <c r="AH108" i="1"/>
  <c r="AH100" i="1"/>
  <c r="AH92" i="1"/>
  <c r="AH84" i="1"/>
  <c r="AH76" i="1"/>
  <c r="AH68" i="1"/>
  <c r="AH60" i="1"/>
  <c r="AH52" i="1"/>
  <c r="AH44" i="1"/>
  <c r="AH36" i="1"/>
  <c r="AH177" i="1"/>
  <c r="AH57" i="1"/>
  <c r="AH187" i="1"/>
  <c r="AH179" i="1"/>
  <c r="AH171" i="1"/>
  <c r="AH163" i="1"/>
  <c r="AH155" i="1"/>
  <c r="AH147" i="1"/>
  <c r="AH139" i="1"/>
  <c r="AH131" i="1"/>
  <c r="AH123" i="1"/>
  <c r="AH115" i="1"/>
  <c r="AH107" i="1"/>
  <c r="AH99" i="1"/>
  <c r="AH91" i="1"/>
  <c r="AH83" i="1"/>
  <c r="AH75" i="1"/>
  <c r="AH67" i="1"/>
  <c r="AH59" i="1"/>
  <c r="AH51" i="1"/>
  <c r="AH43" i="1"/>
  <c r="AH35" i="1"/>
  <c r="AH161" i="1"/>
  <c r="AH81" i="1"/>
  <c r="AH186" i="1"/>
  <c r="AH178" i="1"/>
  <c r="AH170" i="1"/>
  <c r="AH162" i="1"/>
  <c r="AH154" i="1"/>
  <c r="AH146" i="1"/>
  <c r="AH138" i="1"/>
  <c r="AH130" i="1"/>
  <c r="AH122" i="1"/>
  <c r="AH114" i="1"/>
  <c r="AH106" i="1"/>
  <c r="AH98" i="1"/>
  <c r="AH90" i="1"/>
  <c r="AH82" i="1"/>
  <c r="AH74" i="1"/>
  <c r="AH66" i="1"/>
  <c r="AH58" i="1"/>
  <c r="AH50" i="1"/>
  <c r="AH42" i="1"/>
  <c r="AH34" i="1"/>
  <c r="AH169" i="1"/>
  <c r="AH89" i="1"/>
  <c r="AH185" i="1"/>
  <c r="AH184" i="1"/>
  <c r="AH176" i="1"/>
  <c r="AH168" i="1"/>
  <c r="AH160" i="1"/>
  <c r="AH152" i="1"/>
  <c r="AH144" i="1"/>
  <c r="AH136" i="1"/>
  <c r="AH128" i="1"/>
  <c r="AH120" i="1"/>
  <c r="AH112" i="1"/>
  <c r="AH104" i="1"/>
  <c r="AH96" i="1"/>
  <c r="AH88" i="1"/>
  <c r="AH80" i="1"/>
  <c r="AH72" i="1"/>
  <c r="AH64" i="1"/>
  <c r="AH56" i="1"/>
  <c r="AH48" i="1"/>
  <c r="AH40" i="1"/>
  <c r="AH32" i="1"/>
  <c r="AH129" i="1"/>
  <c r="AH105" i="1"/>
  <c r="AH49" i="1"/>
  <c r="AH183" i="1"/>
  <c r="AH175" i="1"/>
  <c r="AH167" i="1"/>
  <c r="AH159" i="1"/>
  <c r="AH151" i="1"/>
  <c r="AH143" i="1"/>
  <c r="AH135" i="1"/>
  <c r="AH127" i="1"/>
  <c r="AH119" i="1"/>
  <c r="AH111" i="1"/>
  <c r="AH103" i="1"/>
  <c r="AH95" i="1"/>
  <c r="AH87" i="1"/>
  <c r="AH79" i="1"/>
  <c r="AH71" i="1"/>
  <c r="AH63" i="1"/>
  <c r="AH55" i="1"/>
  <c r="AH47" i="1"/>
  <c r="AH39" i="1"/>
  <c r="AH145" i="1"/>
  <c r="AH113" i="1"/>
  <c r="AH65" i="1"/>
  <c r="AH33" i="1"/>
  <c r="AH182" i="1"/>
  <c r="AH174" i="1"/>
  <c r="AH166" i="1"/>
  <c r="AH158" i="1"/>
  <c r="AH150" i="1"/>
  <c r="AH142" i="1"/>
  <c r="AH134" i="1"/>
  <c r="AH126" i="1"/>
  <c r="AH118" i="1"/>
  <c r="AH110" i="1"/>
  <c r="AH102" i="1"/>
  <c r="AH94" i="1"/>
  <c r="AH86" i="1"/>
  <c r="AH78" i="1"/>
  <c r="AH70" i="1"/>
  <c r="AH62" i="1"/>
  <c r="AH54" i="1"/>
  <c r="AH46" i="1"/>
  <c r="AH38" i="1"/>
  <c r="AH153" i="1"/>
  <c r="AH73" i="1"/>
  <c r="AH16" i="1"/>
  <c r="AH9" i="1"/>
  <c r="AH17" i="1"/>
  <c r="AH13" i="1"/>
  <c r="AH14" i="1"/>
  <c r="AH10" i="1"/>
  <c r="AH11" i="1"/>
  <c r="AH12" i="1"/>
  <c r="AH15" i="1"/>
  <c r="AH30" i="1"/>
  <c r="AH31" i="1"/>
  <c r="AH26" i="1"/>
  <c r="AH22" i="1"/>
  <c r="AH18" i="1"/>
  <c r="AH21" i="1"/>
  <c r="AH29" i="1"/>
  <c r="AH25" i="1"/>
  <c r="AH23" i="1"/>
  <c r="AH28" i="1"/>
  <c r="AH24" i="1"/>
  <c r="AH20" i="1"/>
  <c r="AH27" i="1"/>
  <c r="AH19" i="1"/>
  <c r="N64" i="25" l="1"/>
  <c r="N65" i="1"/>
  <c r="O63" i="25"/>
  <c r="P63" i="25" s="1"/>
  <c r="P65" i="1" s="1"/>
  <c r="C62" i="25"/>
  <c r="H64" i="1" s="1"/>
  <c r="R44" i="1"/>
  <c r="V44" i="1" s="1"/>
  <c r="AJ9" i="1"/>
  <c r="AJ34" i="1"/>
  <c r="AJ41" i="1"/>
  <c r="AJ33" i="1"/>
  <c r="AJ43" i="1"/>
  <c r="AJ15" i="1"/>
  <c r="AJ16" i="1"/>
  <c r="AJ32" i="1"/>
  <c r="AJ42" i="1"/>
  <c r="AJ17" i="1"/>
  <c r="AJ12" i="1"/>
  <c r="AJ40" i="1"/>
  <c r="AJ19" i="1"/>
  <c r="AJ11" i="1"/>
  <c r="AJ39" i="1"/>
  <c r="AJ18" i="1"/>
  <c r="AJ10" i="1"/>
  <c r="AJ38" i="1"/>
  <c r="AJ36" i="1"/>
  <c r="AJ37" i="1"/>
  <c r="AJ20" i="1"/>
  <c r="AJ14" i="1"/>
  <c r="AJ13" i="1"/>
  <c r="AJ35" i="1"/>
  <c r="D54" i="25"/>
  <c r="H44" i="25"/>
  <c r="I44" i="25"/>
  <c r="J44" i="25" s="1"/>
  <c r="J46" i="1" s="1"/>
  <c r="G45" i="25"/>
  <c r="AJ25" i="1"/>
  <c r="AJ23" i="1"/>
  <c r="AJ30" i="1"/>
  <c r="AJ29" i="1"/>
  <c r="AJ21" i="1"/>
  <c r="AJ27" i="1"/>
  <c r="AJ22" i="1"/>
  <c r="AJ24" i="1"/>
  <c r="AJ26" i="1"/>
  <c r="AJ28" i="1"/>
  <c r="AJ31" i="1"/>
  <c r="AF44" i="1" l="1"/>
  <c r="AJ44" i="1" s="1"/>
  <c r="N65" i="25"/>
  <c r="N66" i="1"/>
  <c r="O64" i="25"/>
  <c r="P64" i="25" s="1"/>
  <c r="P66" i="1" s="1"/>
  <c r="C63" i="25"/>
  <c r="H65" i="1" s="1"/>
  <c r="R45" i="1"/>
  <c r="V45" i="1" s="1"/>
  <c r="E4" i="27"/>
  <c r="D55" i="25"/>
  <c r="H45" i="25"/>
  <c r="I45" i="25"/>
  <c r="J45" i="25" s="1"/>
  <c r="J47" i="1" s="1"/>
  <c r="G46" i="25"/>
  <c r="AF45" i="1" l="1"/>
  <c r="AJ45" i="1" s="1"/>
  <c r="N66" i="25"/>
  <c r="N67" i="1"/>
  <c r="O65" i="25"/>
  <c r="P65" i="25" s="1"/>
  <c r="P67" i="1" s="1"/>
  <c r="C64" i="25"/>
  <c r="H66" i="1" s="1"/>
  <c r="R46" i="1"/>
  <c r="V46" i="1" s="1"/>
  <c r="D56" i="25"/>
  <c r="I46" i="25"/>
  <c r="J46" i="25" s="1"/>
  <c r="J48" i="1" s="1"/>
  <c r="H46" i="25"/>
  <c r="G47" i="25"/>
  <c r="AF46" i="1" l="1"/>
  <c r="AJ46" i="1" s="1"/>
  <c r="N67" i="25"/>
  <c r="N68" i="1"/>
  <c r="O66" i="25"/>
  <c r="P66" i="25" s="1"/>
  <c r="P68" i="1" s="1"/>
  <c r="C65" i="25"/>
  <c r="H67" i="1" s="1"/>
  <c r="R47" i="1"/>
  <c r="V47" i="1" s="1"/>
  <c r="D57" i="25"/>
  <c r="I47" i="25"/>
  <c r="J47" i="25" s="1"/>
  <c r="J49" i="1" s="1"/>
  <c r="H47" i="25"/>
  <c r="G48" i="25"/>
  <c r="AF47" i="1" l="1"/>
  <c r="AJ47" i="1" s="1"/>
  <c r="N68" i="25"/>
  <c r="N69" i="1"/>
  <c r="O67" i="25"/>
  <c r="P67" i="25" s="1"/>
  <c r="P69" i="1" s="1"/>
  <c r="C66" i="25"/>
  <c r="H68" i="1" s="1"/>
  <c r="R48" i="1"/>
  <c r="V48" i="1" s="1"/>
  <c r="D58" i="25"/>
  <c r="G49" i="25"/>
  <c r="H48" i="25"/>
  <c r="I48" i="25"/>
  <c r="J48" i="25" s="1"/>
  <c r="J50" i="1" s="1"/>
  <c r="AF48" i="1" l="1"/>
  <c r="AJ48" i="1" s="1"/>
  <c r="N69" i="25"/>
  <c r="N70" i="1"/>
  <c r="O68" i="25"/>
  <c r="P68" i="25" s="1"/>
  <c r="P70" i="1" s="1"/>
  <c r="C67" i="25"/>
  <c r="H69" i="1" s="1"/>
  <c r="R49" i="1"/>
  <c r="V49" i="1" s="1"/>
  <c r="D59" i="25"/>
  <c r="H49" i="25"/>
  <c r="I49" i="25"/>
  <c r="J49" i="25" s="1"/>
  <c r="J51" i="1" s="1"/>
  <c r="G50" i="25"/>
  <c r="AF49" i="1" l="1"/>
  <c r="AJ49" i="1" s="1"/>
  <c r="N70" i="25"/>
  <c r="N71" i="1"/>
  <c r="O69" i="25"/>
  <c r="P69" i="25" s="1"/>
  <c r="P71" i="1" s="1"/>
  <c r="C68" i="25"/>
  <c r="H70" i="1" s="1"/>
  <c r="R50" i="1"/>
  <c r="V50" i="1" s="1"/>
  <c r="D60" i="25"/>
  <c r="I50" i="25"/>
  <c r="J50" i="25" s="1"/>
  <c r="J52" i="1" s="1"/>
  <c r="H50" i="25"/>
  <c r="G51" i="25"/>
  <c r="N71" i="25" l="1"/>
  <c r="N72" i="1"/>
  <c r="O70" i="25"/>
  <c r="P70" i="25" s="1"/>
  <c r="P72" i="1" s="1"/>
  <c r="AF50" i="1"/>
  <c r="AJ50" i="1" s="1"/>
  <c r="C69" i="25"/>
  <c r="H71" i="1" s="1"/>
  <c r="R51" i="1"/>
  <c r="V51" i="1" s="1"/>
  <c r="D61" i="25"/>
  <c r="I51" i="25"/>
  <c r="J51" i="25" s="1"/>
  <c r="J53" i="1" s="1"/>
  <c r="H51" i="25"/>
  <c r="G52" i="25"/>
  <c r="AF51" i="1" l="1"/>
  <c r="AJ51" i="1" s="1"/>
  <c r="N72" i="25"/>
  <c r="N73" i="1"/>
  <c r="O71" i="25"/>
  <c r="P71" i="25" s="1"/>
  <c r="P73" i="1" s="1"/>
  <c r="C70" i="25"/>
  <c r="H72" i="1" s="1"/>
  <c r="R52" i="1"/>
  <c r="V52" i="1" s="1"/>
  <c r="D62" i="25"/>
  <c r="H52" i="25"/>
  <c r="I52" i="25"/>
  <c r="J52" i="25" s="1"/>
  <c r="J54" i="1" s="1"/>
  <c r="G53" i="25"/>
  <c r="AF52" i="1" l="1"/>
  <c r="AJ52" i="1" s="1"/>
  <c r="N73" i="25"/>
  <c r="N74" i="1"/>
  <c r="O72" i="25"/>
  <c r="P72" i="25" s="1"/>
  <c r="P74" i="1" s="1"/>
  <c r="C71" i="25"/>
  <c r="H73" i="1" s="1"/>
  <c r="R53" i="1"/>
  <c r="V53" i="1" s="1"/>
  <c r="D63" i="25"/>
  <c r="H53" i="25"/>
  <c r="I53" i="25"/>
  <c r="J53" i="25" s="1"/>
  <c r="J55" i="1" s="1"/>
  <c r="G54" i="25"/>
  <c r="AF53" i="1" l="1"/>
  <c r="AJ53" i="1" s="1"/>
  <c r="N74" i="25"/>
  <c r="N75" i="1"/>
  <c r="O73" i="25"/>
  <c r="P73" i="25" s="1"/>
  <c r="P75" i="1" s="1"/>
  <c r="C72" i="25"/>
  <c r="H74" i="1" s="1"/>
  <c r="R54" i="1"/>
  <c r="V54" i="1" s="1"/>
  <c r="D64" i="25"/>
  <c r="I54" i="25"/>
  <c r="J54" i="25" s="1"/>
  <c r="J56" i="1" s="1"/>
  <c r="H54" i="25"/>
  <c r="G55" i="25"/>
  <c r="AF54" i="1" l="1"/>
  <c r="AJ54" i="1" s="1"/>
  <c r="N75" i="25"/>
  <c r="N76" i="1"/>
  <c r="O74" i="25"/>
  <c r="P74" i="25" s="1"/>
  <c r="P76" i="1" s="1"/>
  <c r="C73" i="25"/>
  <c r="H75" i="1" s="1"/>
  <c r="R55" i="1"/>
  <c r="V55" i="1" s="1"/>
  <c r="D65" i="25"/>
  <c r="I55" i="25"/>
  <c r="J55" i="25" s="1"/>
  <c r="J57" i="1" s="1"/>
  <c r="H55" i="25"/>
  <c r="G56" i="25"/>
  <c r="AF55" i="1" l="1"/>
  <c r="AJ55" i="1" s="1"/>
  <c r="N76" i="25"/>
  <c r="N77" i="1"/>
  <c r="O75" i="25"/>
  <c r="P75" i="25" s="1"/>
  <c r="P77" i="1" s="1"/>
  <c r="C74" i="25"/>
  <c r="H76" i="1" s="1"/>
  <c r="R56" i="1"/>
  <c r="V56" i="1" s="1"/>
  <c r="D66" i="25"/>
  <c r="H56" i="25"/>
  <c r="I56" i="25"/>
  <c r="J56" i="25" s="1"/>
  <c r="J58" i="1" s="1"/>
  <c r="G57" i="25"/>
  <c r="AF56" i="1" l="1"/>
  <c r="AJ56" i="1" s="1"/>
  <c r="N77" i="25"/>
  <c r="N78" i="1"/>
  <c r="O76" i="25"/>
  <c r="P76" i="25" s="1"/>
  <c r="P78" i="1" s="1"/>
  <c r="C75" i="25"/>
  <c r="H77" i="1" s="1"/>
  <c r="R57" i="1"/>
  <c r="V57" i="1" s="1"/>
  <c r="D67" i="25"/>
  <c r="G58" i="25"/>
  <c r="H57" i="25"/>
  <c r="I57" i="25"/>
  <c r="J57" i="25" s="1"/>
  <c r="J59" i="1" s="1"/>
  <c r="AF57" i="1" l="1"/>
  <c r="AJ57" i="1" s="1"/>
  <c r="N78" i="25"/>
  <c r="N79" i="1"/>
  <c r="O77" i="25"/>
  <c r="P77" i="25" s="1"/>
  <c r="P79" i="1" s="1"/>
  <c r="C76" i="25"/>
  <c r="H78" i="1" s="1"/>
  <c r="R58" i="1"/>
  <c r="V58" i="1" s="1"/>
  <c r="D68" i="25"/>
  <c r="I58" i="25"/>
  <c r="J58" i="25" s="1"/>
  <c r="J60" i="1" s="1"/>
  <c r="H58" i="25"/>
  <c r="G59" i="25"/>
  <c r="AF58" i="1" l="1"/>
  <c r="AJ58" i="1" s="1"/>
  <c r="N80" i="1"/>
  <c r="O78" i="25"/>
  <c r="P78" i="25" s="1"/>
  <c r="P80" i="1" s="1"/>
  <c r="C77" i="25"/>
  <c r="H79" i="1" s="1"/>
  <c r="R59" i="1"/>
  <c r="V59" i="1" s="1"/>
  <c r="D69" i="25"/>
  <c r="I59" i="25"/>
  <c r="J59" i="25" s="1"/>
  <c r="J61" i="1" s="1"/>
  <c r="H59" i="25"/>
  <c r="G60" i="25"/>
  <c r="AF59" i="1" l="1"/>
  <c r="AJ59" i="1" s="1"/>
  <c r="C78" i="25"/>
  <c r="H80" i="1" s="1"/>
  <c r="R60" i="1"/>
  <c r="V60" i="1" s="1"/>
  <c r="D70" i="25"/>
  <c r="H60" i="25"/>
  <c r="I60" i="25"/>
  <c r="J60" i="25" s="1"/>
  <c r="J62" i="1" s="1"/>
  <c r="G61" i="25"/>
  <c r="AF60" i="1" l="1"/>
  <c r="AJ60" i="1" s="1"/>
  <c r="C79" i="25"/>
  <c r="R61" i="1"/>
  <c r="V61" i="1" s="1"/>
  <c r="D71" i="25"/>
  <c r="H61" i="25"/>
  <c r="I61" i="25"/>
  <c r="J61" i="25" s="1"/>
  <c r="J63" i="1" s="1"/>
  <c r="G62" i="25"/>
  <c r="C80" i="25" l="1"/>
  <c r="H81" i="1"/>
  <c r="AF61" i="1"/>
  <c r="AJ61" i="1" s="1"/>
  <c r="R62" i="1"/>
  <c r="V62" i="1" s="1"/>
  <c r="D72" i="25"/>
  <c r="I62" i="25"/>
  <c r="J62" i="25" s="1"/>
  <c r="J64" i="1" s="1"/>
  <c r="H62" i="25"/>
  <c r="G63" i="25"/>
  <c r="C81" i="25" l="1"/>
  <c r="H82" i="1"/>
  <c r="AF62" i="1"/>
  <c r="AJ62" i="1" s="1"/>
  <c r="R63" i="1"/>
  <c r="V63" i="1" s="1"/>
  <c r="D73" i="25"/>
  <c r="I63" i="25"/>
  <c r="J63" i="25" s="1"/>
  <c r="J65" i="1" s="1"/>
  <c r="H63" i="25"/>
  <c r="G64" i="25"/>
  <c r="C82" i="25" l="1"/>
  <c r="H83" i="1"/>
  <c r="AF63" i="1"/>
  <c r="AJ63" i="1" s="1"/>
  <c r="R64" i="1"/>
  <c r="V64" i="1" s="1"/>
  <c r="D74" i="25"/>
  <c r="G8" i="27"/>
  <c r="F8" i="27"/>
  <c r="J4" i="27" s="1"/>
  <c r="H64" i="25"/>
  <c r="I64" i="25"/>
  <c r="J64" i="25" s="1"/>
  <c r="J66" i="1" s="1"/>
  <c r="G65" i="25"/>
  <c r="C83" i="25" l="1"/>
  <c r="H84" i="1"/>
  <c r="AF64" i="1"/>
  <c r="AJ64" i="1" s="1"/>
  <c r="R65" i="1"/>
  <c r="V65" i="1" s="1"/>
  <c r="G12" i="27"/>
  <c r="K5" i="27" s="1"/>
  <c r="J5" i="27"/>
  <c r="D75" i="25"/>
  <c r="F12" i="27"/>
  <c r="K4" i="27" s="1"/>
  <c r="E8" i="27"/>
  <c r="E12" i="27" s="1"/>
  <c r="I65" i="25"/>
  <c r="J65" i="25" s="1"/>
  <c r="J67" i="1" s="1"/>
  <c r="H65" i="25"/>
  <c r="G66" i="25"/>
  <c r="C84" i="25" l="1"/>
  <c r="H85" i="1"/>
  <c r="AF65" i="1"/>
  <c r="AJ65" i="1" s="1"/>
  <c r="R66" i="1"/>
  <c r="V66" i="1" s="1"/>
  <c r="R5" i="27"/>
  <c r="Q10" i="27" s="1"/>
  <c r="R4" i="27"/>
  <c r="Q4" i="27" s="1"/>
  <c r="P4" i="27" s="1"/>
  <c r="D76" i="25"/>
  <c r="I66" i="25"/>
  <c r="J66" i="25" s="1"/>
  <c r="J68" i="1" s="1"/>
  <c r="H66" i="25"/>
  <c r="G67" i="25"/>
  <c r="C85" i="25" l="1"/>
  <c r="H86" i="1"/>
  <c r="Q12" i="27"/>
  <c r="P12" i="27" s="1"/>
  <c r="Q11" i="27"/>
  <c r="P11" i="27" s="1"/>
  <c r="P10" i="27"/>
  <c r="Q8" i="27"/>
  <c r="P8" i="27" s="1"/>
  <c r="Q6" i="27"/>
  <c r="P6" i="27" s="1"/>
  <c r="Q7" i="27"/>
  <c r="P7" i="27" s="1"/>
  <c r="Q5" i="27"/>
  <c r="P5" i="27" s="1"/>
  <c r="Q9" i="27"/>
  <c r="P9" i="27" s="1"/>
  <c r="AF66" i="1"/>
  <c r="AJ66" i="1" s="1"/>
  <c r="R67" i="1"/>
  <c r="V67" i="1" s="1"/>
  <c r="F14" i="27"/>
  <c r="F16" i="27" s="1"/>
  <c r="D77" i="25"/>
  <c r="I67" i="25"/>
  <c r="J67" i="25" s="1"/>
  <c r="J69" i="1" s="1"/>
  <c r="H67" i="25"/>
  <c r="G68" i="25"/>
  <c r="C86" i="25" l="1"/>
  <c r="H87" i="1"/>
  <c r="AF67" i="1"/>
  <c r="AJ67" i="1" s="1"/>
  <c r="R68" i="1"/>
  <c r="V68" i="1" s="1"/>
  <c r="D78" i="25"/>
  <c r="H68" i="25"/>
  <c r="I68" i="25"/>
  <c r="J68" i="25" s="1"/>
  <c r="J70" i="1" s="1"/>
  <c r="G69" i="25"/>
  <c r="C87" i="25" l="1"/>
  <c r="H88" i="1"/>
  <c r="AF68" i="1"/>
  <c r="AJ68" i="1" s="1"/>
  <c r="R69" i="1"/>
  <c r="V69" i="1" s="1"/>
  <c r="D79" i="25"/>
  <c r="H69" i="25"/>
  <c r="I69" i="25"/>
  <c r="J69" i="25" s="1"/>
  <c r="J71" i="1" s="1"/>
  <c r="G70" i="25"/>
  <c r="C88" i="25" l="1"/>
  <c r="H89" i="1"/>
  <c r="AF69" i="1"/>
  <c r="AJ69" i="1" s="1"/>
  <c r="R70" i="1"/>
  <c r="V70" i="1" s="1"/>
  <c r="D80" i="25"/>
  <c r="I70" i="25"/>
  <c r="J70" i="25" s="1"/>
  <c r="J72" i="1" s="1"/>
  <c r="H70" i="25"/>
  <c r="G71" i="25"/>
  <c r="C89" i="25" l="1"/>
  <c r="H90" i="1"/>
  <c r="AF70" i="1"/>
  <c r="AJ70" i="1" s="1"/>
  <c r="R71" i="1"/>
  <c r="V71" i="1" s="1"/>
  <c r="D81" i="25"/>
  <c r="H71" i="25"/>
  <c r="I71" i="25"/>
  <c r="J71" i="25" s="1"/>
  <c r="J73" i="1" s="1"/>
  <c r="G72" i="25"/>
  <c r="C90" i="25" l="1"/>
  <c r="H91" i="1"/>
  <c r="AF71" i="1"/>
  <c r="AJ71" i="1" s="1"/>
  <c r="R72" i="1"/>
  <c r="V72" i="1" s="1"/>
  <c r="D82" i="25"/>
  <c r="G73" i="25"/>
  <c r="H72" i="25"/>
  <c r="I72" i="25"/>
  <c r="J72" i="25" s="1"/>
  <c r="J74" i="1" s="1"/>
  <c r="C91" i="25" l="1"/>
  <c r="H92" i="1"/>
  <c r="AF72" i="1"/>
  <c r="AJ72" i="1" s="1"/>
  <c r="R73" i="1"/>
  <c r="V73" i="1" s="1"/>
  <c r="D83" i="25"/>
  <c r="I73" i="25"/>
  <c r="J73" i="25" s="1"/>
  <c r="J75" i="1" s="1"/>
  <c r="H73" i="25"/>
  <c r="G74" i="25"/>
  <c r="C92" i="25" l="1"/>
  <c r="H93" i="1"/>
  <c r="AF73" i="1"/>
  <c r="AJ73" i="1" s="1"/>
  <c r="R74" i="1"/>
  <c r="V74" i="1" s="1"/>
  <c r="D84" i="25"/>
  <c r="I74" i="25"/>
  <c r="J74" i="25" s="1"/>
  <c r="J76" i="1" s="1"/>
  <c r="H74" i="25"/>
  <c r="G75" i="25"/>
  <c r="C93" i="25" l="1"/>
  <c r="H94" i="1"/>
  <c r="AF74" i="1"/>
  <c r="AJ74" i="1" s="1"/>
  <c r="R75" i="1"/>
  <c r="V75" i="1" s="1"/>
  <c r="D85" i="25"/>
  <c r="G76" i="25"/>
  <c r="H75" i="25"/>
  <c r="I75" i="25"/>
  <c r="J75" i="25" s="1"/>
  <c r="J77" i="1" s="1"/>
  <c r="C94" i="25" l="1"/>
  <c r="H95" i="1"/>
  <c r="AF75" i="1"/>
  <c r="AJ75" i="1" s="1"/>
  <c r="R76" i="1"/>
  <c r="V76" i="1" s="1"/>
  <c r="D86" i="25"/>
  <c r="H76" i="25"/>
  <c r="I76" i="25"/>
  <c r="J76" i="25" s="1"/>
  <c r="J78" i="1" s="1"/>
  <c r="G77" i="25"/>
  <c r="C95" i="25" l="1"/>
  <c r="H96" i="1"/>
  <c r="AF76" i="1"/>
  <c r="AJ76" i="1" s="1"/>
  <c r="R77" i="1"/>
  <c r="V77" i="1" s="1"/>
  <c r="D87" i="25"/>
  <c r="H77" i="25"/>
  <c r="I77" i="25"/>
  <c r="J77" i="25" s="1"/>
  <c r="J79" i="1" s="1"/>
  <c r="G78" i="25"/>
  <c r="C96" i="25" l="1"/>
  <c r="H97" i="1"/>
  <c r="AF77" i="1"/>
  <c r="AJ77" i="1" s="1"/>
  <c r="R78" i="1"/>
  <c r="V78" i="1" s="1"/>
  <c r="D88" i="25"/>
  <c r="I78" i="25"/>
  <c r="J78" i="25" s="1"/>
  <c r="J80" i="1" s="1"/>
  <c r="H78" i="25"/>
  <c r="G79" i="25"/>
  <c r="C97" i="25" l="1"/>
  <c r="H98" i="1"/>
  <c r="AF78" i="1"/>
  <c r="AJ78" i="1" s="1"/>
  <c r="R79" i="1"/>
  <c r="V79" i="1" s="1"/>
  <c r="D89" i="25"/>
  <c r="I79" i="25"/>
  <c r="J79" i="25" s="1"/>
  <c r="J81" i="1" s="1"/>
  <c r="H79" i="25"/>
  <c r="G80" i="25"/>
  <c r="C98" i="25" l="1"/>
  <c r="H99" i="1"/>
  <c r="AF79" i="1"/>
  <c r="AJ79" i="1" s="1"/>
  <c r="R80" i="1"/>
  <c r="V80" i="1" s="1"/>
  <c r="AF80" i="1" s="1"/>
  <c r="D90" i="25"/>
  <c r="H80" i="25"/>
  <c r="I80" i="25"/>
  <c r="J80" i="25" s="1"/>
  <c r="J82" i="1" s="1"/>
  <c r="G81" i="25"/>
  <c r="C99" i="25" l="1"/>
  <c r="H100" i="1"/>
  <c r="AJ80" i="1"/>
  <c r="R81" i="1"/>
  <c r="V81" i="1" s="1"/>
  <c r="D91" i="25"/>
  <c r="I81" i="25"/>
  <c r="J81" i="25" s="1"/>
  <c r="J83" i="1" s="1"/>
  <c r="H81" i="25"/>
  <c r="G82" i="25"/>
  <c r="AF81" i="1" l="1"/>
  <c r="AJ81" i="1" s="1"/>
  <c r="C100" i="25"/>
  <c r="H101" i="1"/>
  <c r="R82" i="1"/>
  <c r="V82" i="1" s="1"/>
  <c r="D92" i="25"/>
  <c r="I82" i="25"/>
  <c r="J82" i="25" s="1"/>
  <c r="J84" i="1" s="1"/>
  <c r="H82" i="25"/>
  <c r="G83" i="25"/>
  <c r="AF82" i="1" l="1"/>
  <c r="AJ82" i="1" s="1"/>
  <c r="C101" i="25"/>
  <c r="H102" i="1"/>
  <c r="R83" i="1"/>
  <c r="V83" i="1" s="1"/>
  <c r="D93" i="25"/>
  <c r="I83" i="25"/>
  <c r="J83" i="25" s="1"/>
  <c r="J85" i="1" s="1"/>
  <c r="H83" i="25"/>
  <c r="G84" i="25"/>
  <c r="C102" i="25" l="1"/>
  <c r="H103" i="1"/>
  <c r="AF83" i="1"/>
  <c r="AJ83" i="1" s="1"/>
  <c r="R84" i="1"/>
  <c r="V84" i="1" s="1"/>
  <c r="D94" i="25"/>
  <c r="H84" i="25"/>
  <c r="I84" i="25"/>
  <c r="J84" i="25" s="1"/>
  <c r="J86" i="1" s="1"/>
  <c r="G85" i="25"/>
  <c r="AF84" i="1" l="1"/>
  <c r="AJ84" i="1" s="1"/>
  <c r="C103" i="25"/>
  <c r="H104" i="1"/>
  <c r="R85" i="1"/>
  <c r="V85" i="1" s="1"/>
  <c r="D95" i="25"/>
  <c r="H85" i="25"/>
  <c r="I85" i="25"/>
  <c r="J85" i="25" s="1"/>
  <c r="J87" i="1" s="1"/>
  <c r="G86" i="25"/>
  <c r="C104" i="25" l="1"/>
  <c r="H105" i="1"/>
  <c r="AF85" i="1"/>
  <c r="AJ85" i="1" s="1"/>
  <c r="R86" i="1"/>
  <c r="V86" i="1" s="1"/>
  <c r="D96" i="25"/>
  <c r="I86" i="25"/>
  <c r="J86" i="25" s="1"/>
  <c r="J88" i="1" s="1"/>
  <c r="H86" i="25"/>
  <c r="G87" i="25"/>
  <c r="AF86" i="1" l="1"/>
  <c r="AJ86" i="1" s="1"/>
  <c r="C105" i="25"/>
  <c r="H106" i="1"/>
  <c r="R87" i="1"/>
  <c r="V87" i="1" s="1"/>
  <c r="D97" i="25"/>
  <c r="I87" i="25"/>
  <c r="J87" i="25" s="1"/>
  <c r="J89" i="1" s="1"/>
  <c r="H87" i="25"/>
  <c r="G88" i="25"/>
  <c r="C106" i="25" l="1"/>
  <c r="H107" i="1"/>
  <c r="AF87" i="1"/>
  <c r="AJ87" i="1" s="1"/>
  <c r="R88" i="1"/>
  <c r="V88" i="1" s="1"/>
  <c r="D98" i="25"/>
  <c r="H88" i="25"/>
  <c r="I88" i="25"/>
  <c r="J88" i="25" s="1"/>
  <c r="J90" i="1" s="1"/>
  <c r="G89" i="25"/>
  <c r="AF88" i="1" l="1"/>
  <c r="AJ88" i="1" s="1"/>
  <c r="C107" i="25"/>
  <c r="H108" i="1"/>
  <c r="R89" i="1"/>
  <c r="V89" i="1" s="1"/>
  <c r="D99" i="25"/>
  <c r="I89" i="25"/>
  <c r="J89" i="25" s="1"/>
  <c r="J91" i="1" s="1"/>
  <c r="H89" i="25"/>
  <c r="G90" i="25"/>
  <c r="AF89" i="1" l="1"/>
  <c r="AJ89" i="1" s="1"/>
  <c r="C108" i="25"/>
  <c r="H109" i="1"/>
  <c r="R90" i="1"/>
  <c r="V90" i="1" s="1"/>
  <c r="D100" i="25"/>
  <c r="I90" i="25"/>
  <c r="J90" i="25" s="1"/>
  <c r="J92" i="1" s="1"/>
  <c r="H90" i="25"/>
  <c r="G91" i="25"/>
  <c r="C109" i="25" l="1"/>
  <c r="H110" i="1"/>
  <c r="AF90" i="1"/>
  <c r="AJ90" i="1" s="1"/>
  <c r="R91" i="1"/>
  <c r="V91" i="1" s="1"/>
  <c r="D101" i="25"/>
  <c r="H91" i="25"/>
  <c r="I91" i="25"/>
  <c r="J91" i="25" s="1"/>
  <c r="J93" i="1" s="1"/>
  <c r="G92" i="25"/>
  <c r="AF91" i="1" l="1"/>
  <c r="AJ91" i="1" s="1"/>
  <c r="C110" i="25"/>
  <c r="H111" i="1"/>
  <c r="R92" i="1"/>
  <c r="V92" i="1" s="1"/>
  <c r="D102" i="25"/>
  <c r="H92" i="25"/>
  <c r="I92" i="25"/>
  <c r="J92" i="25" s="1"/>
  <c r="J94" i="1" s="1"/>
  <c r="G93" i="25"/>
  <c r="AF92" i="1" l="1"/>
  <c r="AJ92" i="1" s="1"/>
  <c r="C111" i="25"/>
  <c r="H112" i="1"/>
  <c r="R93" i="1"/>
  <c r="V93" i="1" s="1"/>
  <c r="D103" i="25"/>
  <c r="G94" i="25"/>
  <c r="H93" i="25"/>
  <c r="I93" i="25"/>
  <c r="J93" i="25" s="1"/>
  <c r="J95" i="1" s="1"/>
  <c r="AF93" i="1" l="1"/>
  <c r="AJ93" i="1" s="1"/>
  <c r="C112" i="25"/>
  <c r="H113" i="1"/>
  <c r="R94" i="1"/>
  <c r="V94" i="1" s="1"/>
  <c r="D104" i="25"/>
  <c r="I94" i="25"/>
  <c r="J94" i="25" s="1"/>
  <c r="J96" i="1" s="1"/>
  <c r="H94" i="25"/>
  <c r="G95" i="25"/>
  <c r="AF94" i="1" l="1"/>
  <c r="AJ94" i="1" s="1"/>
  <c r="C113" i="25"/>
  <c r="H114" i="1"/>
  <c r="R95" i="1"/>
  <c r="V95" i="1" s="1"/>
  <c r="D105" i="25"/>
  <c r="I95" i="25"/>
  <c r="J95" i="25" s="1"/>
  <c r="J97" i="1" s="1"/>
  <c r="H95" i="25"/>
  <c r="G96" i="25"/>
  <c r="AF95" i="1" l="1"/>
  <c r="AJ95" i="1" s="1"/>
  <c r="C114" i="25"/>
  <c r="H115" i="1"/>
  <c r="R96" i="1"/>
  <c r="V96" i="1" s="1"/>
  <c r="D106" i="25"/>
  <c r="H96" i="25"/>
  <c r="I96" i="25"/>
  <c r="J96" i="25" s="1"/>
  <c r="J98" i="1" s="1"/>
  <c r="G97" i="25"/>
  <c r="AF96" i="1" l="1"/>
  <c r="AJ96" i="1" s="1"/>
  <c r="C115" i="25"/>
  <c r="H116" i="1"/>
  <c r="R97" i="1"/>
  <c r="V97" i="1" s="1"/>
  <c r="D107" i="25"/>
  <c r="I97" i="25"/>
  <c r="J97" i="25" s="1"/>
  <c r="J99" i="1" s="1"/>
  <c r="H97" i="25"/>
  <c r="G98" i="25"/>
  <c r="C116" i="25" l="1"/>
  <c r="H117" i="1"/>
  <c r="AF97" i="1"/>
  <c r="AJ97" i="1" s="1"/>
  <c r="R98" i="1"/>
  <c r="V98" i="1" s="1"/>
  <c r="D108" i="25"/>
  <c r="I98" i="25"/>
  <c r="J98" i="25" s="1"/>
  <c r="J100" i="1" s="1"/>
  <c r="H98" i="25"/>
  <c r="G99" i="25"/>
  <c r="AF98" i="1" l="1"/>
  <c r="AJ98" i="1" s="1"/>
  <c r="C117" i="25"/>
  <c r="H118" i="1"/>
  <c r="R99" i="1"/>
  <c r="V99" i="1" s="1"/>
  <c r="D109" i="25"/>
  <c r="H99" i="25"/>
  <c r="I99" i="25"/>
  <c r="J99" i="25" s="1"/>
  <c r="J101" i="1" s="1"/>
  <c r="G100" i="25"/>
  <c r="AF99" i="1" l="1"/>
  <c r="AJ99" i="1" s="1"/>
  <c r="C118" i="25"/>
  <c r="H119" i="1"/>
  <c r="R100" i="1"/>
  <c r="V100" i="1" s="1"/>
  <c r="D110" i="25"/>
  <c r="H100" i="25"/>
  <c r="I100" i="25"/>
  <c r="J100" i="25" s="1"/>
  <c r="J102" i="1" s="1"/>
  <c r="G101" i="25"/>
  <c r="C119" i="25" l="1"/>
  <c r="H120" i="1"/>
  <c r="AF100" i="1"/>
  <c r="AJ100" i="1" s="1"/>
  <c r="R101" i="1"/>
  <c r="V101" i="1" s="1"/>
  <c r="D111" i="25"/>
  <c r="H101" i="25"/>
  <c r="I101" i="25"/>
  <c r="J101" i="25" s="1"/>
  <c r="J103" i="1" s="1"/>
  <c r="G102" i="25"/>
  <c r="AF101" i="1" l="1"/>
  <c r="AJ101" i="1" s="1"/>
  <c r="C120" i="25"/>
  <c r="H121" i="1"/>
  <c r="R102" i="1"/>
  <c r="V102" i="1" s="1"/>
  <c r="D112" i="25"/>
  <c r="H102" i="25"/>
  <c r="I102" i="25"/>
  <c r="J102" i="25" s="1"/>
  <c r="J104" i="1" s="1"/>
  <c r="G103" i="25"/>
  <c r="C121" i="25" l="1"/>
  <c r="H122" i="1"/>
  <c r="AF102" i="1"/>
  <c r="AJ102" i="1" s="1"/>
  <c r="R103" i="1"/>
  <c r="V103" i="1" s="1"/>
  <c r="D113" i="25"/>
  <c r="I103" i="25"/>
  <c r="J103" i="25" s="1"/>
  <c r="J105" i="1" s="1"/>
  <c r="H103" i="25"/>
  <c r="G104" i="25"/>
  <c r="AF103" i="1" l="1"/>
  <c r="AJ103" i="1" s="1"/>
  <c r="C122" i="25"/>
  <c r="H123" i="1"/>
  <c r="R104" i="1"/>
  <c r="V104" i="1" s="1"/>
  <c r="D114" i="25"/>
  <c r="H104" i="25"/>
  <c r="I104" i="25"/>
  <c r="J104" i="25" s="1"/>
  <c r="J106" i="1" s="1"/>
  <c r="G105" i="25"/>
  <c r="C123" i="25" l="1"/>
  <c r="H124" i="1"/>
  <c r="AF104" i="1"/>
  <c r="AJ104" i="1" s="1"/>
  <c r="R105" i="1"/>
  <c r="V105" i="1" s="1"/>
  <c r="D115" i="25"/>
  <c r="I105" i="25"/>
  <c r="J105" i="25" s="1"/>
  <c r="J107" i="1" s="1"/>
  <c r="H105" i="25"/>
  <c r="G106" i="25"/>
  <c r="AF105" i="1" l="1"/>
  <c r="AJ105" i="1" s="1"/>
  <c r="C124" i="25"/>
  <c r="H125" i="1"/>
  <c r="R106" i="1"/>
  <c r="V106" i="1" s="1"/>
  <c r="D116" i="25"/>
  <c r="I106" i="25"/>
  <c r="J106" i="25" s="1"/>
  <c r="J108" i="1" s="1"/>
  <c r="H106" i="25"/>
  <c r="G107" i="25"/>
  <c r="AF106" i="1" l="1"/>
  <c r="AJ106" i="1" s="1"/>
  <c r="C125" i="25"/>
  <c r="H126" i="1"/>
  <c r="R107" i="1"/>
  <c r="V107" i="1" s="1"/>
  <c r="D117" i="25"/>
  <c r="I107" i="25"/>
  <c r="J107" i="25" s="1"/>
  <c r="J109" i="1" s="1"/>
  <c r="H107" i="25"/>
  <c r="G108" i="25"/>
  <c r="AF107" i="1" l="1"/>
  <c r="AJ107" i="1" s="1"/>
  <c r="C126" i="25"/>
  <c r="H127" i="1"/>
  <c r="R108" i="1"/>
  <c r="V108" i="1" s="1"/>
  <c r="D118" i="25"/>
  <c r="H108" i="25"/>
  <c r="I108" i="25"/>
  <c r="J108" i="25" s="1"/>
  <c r="J110" i="1" s="1"/>
  <c r="G109" i="25"/>
  <c r="C127" i="25" l="1"/>
  <c r="H128" i="1"/>
  <c r="AF108" i="1"/>
  <c r="AJ108" i="1" s="1"/>
  <c r="R109" i="1"/>
  <c r="V109" i="1" s="1"/>
  <c r="D119" i="25"/>
  <c r="H109" i="25"/>
  <c r="I109" i="25"/>
  <c r="J109" i="25" s="1"/>
  <c r="J111" i="1" s="1"/>
  <c r="G110" i="25"/>
  <c r="AF109" i="1" l="1"/>
  <c r="AJ109" i="1" s="1"/>
  <c r="C128" i="25"/>
  <c r="H129" i="1"/>
  <c r="R110" i="1"/>
  <c r="V110" i="1" s="1"/>
  <c r="D120" i="25"/>
  <c r="I110" i="25"/>
  <c r="J110" i="25" s="1"/>
  <c r="J112" i="1" s="1"/>
  <c r="H110" i="25"/>
  <c r="G111" i="25"/>
  <c r="C129" i="25" l="1"/>
  <c r="H130" i="1"/>
  <c r="AF110" i="1"/>
  <c r="AJ110" i="1" s="1"/>
  <c r="R111" i="1"/>
  <c r="V111" i="1" s="1"/>
  <c r="D121" i="25"/>
  <c r="I111" i="25"/>
  <c r="J111" i="25" s="1"/>
  <c r="J113" i="1" s="1"/>
  <c r="H111" i="25"/>
  <c r="G112" i="25"/>
  <c r="AF111" i="1" l="1"/>
  <c r="AJ111" i="1" s="1"/>
  <c r="C130" i="25"/>
  <c r="H131" i="1"/>
  <c r="R112" i="1"/>
  <c r="V112" i="1" s="1"/>
  <c r="D122" i="25"/>
  <c r="H112" i="25"/>
  <c r="I112" i="25"/>
  <c r="J112" i="25" s="1"/>
  <c r="J114" i="1" s="1"/>
  <c r="G113" i="25"/>
  <c r="C131" i="25" l="1"/>
  <c r="H132" i="1"/>
  <c r="AF112" i="1"/>
  <c r="AJ112" i="1" s="1"/>
  <c r="R113" i="1"/>
  <c r="V113" i="1" s="1"/>
  <c r="D123" i="25"/>
  <c r="I113" i="25"/>
  <c r="J113" i="25" s="1"/>
  <c r="J115" i="1" s="1"/>
  <c r="H113" i="25"/>
  <c r="G114" i="25"/>
  <c r="AF113" i="1" l="1"/>
  <c r="AJ113" i="1" s="1"/>
  <c r="C132" i="25"/>
  <c r="H133" i="1"/>
  <c r="R114" i="1"/>
  <c r="V114" i="1" s="1"/>
  <c r="D124" i="25"/>
  <c r="I114" i="25"/>
  <c r="J114" i="25" s="1"/>
  <c r="J116" i="1" s="1"/>
  <c r="H114" i="25"/>
  <c r="G115" i="25"/>
  <c r="C133" i="25" l="1"/>
  <c r="H134" i="1"/>
  <c r="AF114" i="1"/>
  <c r="AJ114" i="1" s="1"/>
  <c r="R115" i="1"/>
  <c r="V115" i="1" s="1"/>
  <c r="D125" i="25"/>
  <c r="H115" i="25"/>
  <c r="I115" i="25"/>
  <c r="J115" i="25" s="1"/>
  <c r="J117" i="1" s="1"/>
  <c r="G116" i="25"/>
  <c r="AF115" i="1" l="1"/>
  <c r="AJ115" i="1" s="1"/>
  <c r="C134" i="25"/>
  <c r="H135" i="1"/>
  <c r="R116" i="1"/>
  <c r="V116" i="1" s="1"/>
  <c r="D126" i="25"/>
  <c r="H116" i="25"/>
  <c r="I116" i="25"/>
  <c r="J116" i="25" s="1"/>
  <c r="J118" i="1" s="1"/>
  <c r="G117" i="25"/>
  <c r="C135" i="25" l="1"/>
  <c r="H136" i="1"/>
  <c r="AF116" i="1"/>
  <c r="AJ116" i="1" s="1"/>
  <c r="R117" i="1"/>
  <c r="V117" i="1" s="1"/>
  <c r="D127" i="25"/>
  <c r="H117" i="25"/>
  <c r="I117" i="25"/>
  <c r="J117" i="25" s="1"/>
  <c r="J119" i="1" s="1"/>
  <c r="G118" i="25"/>
  <c r="AF117" i="1" l="1"/>
  <c r="AJ117" i="1" s="1"/>
  <c r="C136" i="25"/>
  <c r="H137" i="1"/>
  <c r="R118" i="1"/>
  <c r="V118" i="1" s="1"/>
  <c r="D128" i="25"/>
  <c r="I118" i="25"/>
  <c r="J118" i="25" s="1"/>
  <c r="J120" i="1" s="1"/>
  <c r="H118" i="25"/>
  <c r="G119" i="25"/>
  <c r="C137" i="25" l="1"/>
  <c r="H138" i="1"/>
  <c r="AF118" i="1"/>
  <c r="AJ118" i="1" s="1"/>
  <c r="R119" i="1"/>
  <c r="V119" i="1" s="1"/>
  <c r="D129" i="25"/>
  <c r="I119" i="25"/>
  <c r="J119" i="25" s="1"/>
  <c r="J121" i="1" s="1"/>
  <c r="H119" i="25"/>
  <c r="G120" i="25"/>
  <c r="AF119" i="1" l="1"/>
  <c r="AJ119" i="1" s="1"/>
  <c r="C138" i="25"/>
  <c r="H139" i="1"/>
  <c r="R120" i="1"/>
  <c r="V120" i="1" s="1"/>
  <c r="D130" i="25"/>
  <c r="H120" i="25"/>
  <c r="I120" i="25"/>
  <c r="J120" i="25" s="1"/>
  <c r="J122" i="1" s="1"/>
  <c r="G121" i="25"/>
  <c r="AF120" i="1" l="1"/>
  <c r="AJ120" i="1" s="1"/>
  <c r="C139" i="25"/>
  <c r="H140" i="1"/>
  <c r="R121" i="1"/>
  <c r="V121" i="1" s="1"/>
  <c r="D131" i="25"/>
  <c r="G122" i="25"/>
  <c r="I121" i="25"/>
  <c r="J121" i="25" s="1"/>
  <c r="J123" i="1" s="1"/>
  <c r="H121" i="25"/>
  <c r="AF121" i="1" l="1"/>
  <c r="AJ121" i="1" s="1"/>
  <c r="C140" i="25"/>
  <c r="H141" i="1"/>
  <c r="R122" i="1"/>
  <c r="V122" i="1" s="1"/>
  <c r="D132" i="25"/>
  <c r="I122" i="25"/>
  <c r="J122" i="25" s="1"/>
  <c r="J124" i="1" s="1"/>
  <c r="H122" i="25"/>
  <c r="G123" i="25"/>
  <c r="C141" i="25" l="1"/>
  <c r="H142" i="1"/>
  <c r="AF122" i="1"/>
  <c r="AJ122" i="1" s="1"/>
  <c r="R123" i="1"/>
  <c r="V123" i="1" s="1"/>
  <c r="D133" i="25"/>
  <c r="I123" i="25"/>
  <c r="J123" i="25" s="1"/>
  <c r="J125" i="1" s="1"/>
  <c r="H123" i="25"/>
  <c r="G124" i="25"/>
  <c r="C142" i="25" l="1"/>
  <c r="H143" i="1"/>
  <c r="AF123" i="1"/>
  <c r="AJ123" i="1" s="1"/>
  <c r="R124" i="1"/>
  <c r="V124" i="1" s="1"/>
  <c r="D134" i="25"/>
  <c r="H124" i="25"/>
  <c r="I124" i="25"/>
  <c r="J124" i="25" s="1"/>
  <c r="J126" i="1" s="1"/>
  <c r="G125" i="25"/>
  <c r="AF124" i="1" l="1"/>
  <c r="AJ124" i="1" s="1"/>
  <c r="C143" i="25"/>
  <c r="H144" i="1"/>
  <c r="R125" i="1"/>
  <c r="V125" i="1" s="1"/>
  <c r="D135" i="25"/>
  <c r="H125" i="25"/>
  <c r="I125" i="25"/>
  <c r="J125" i="25" s="1"/>
  <c r="J127" i="1" s="1"/>
  <c r="G126" i="25"/>
  <c r="AF125" i="1" l="1"/>
  <c r="AJ125" i="1" s="1"/>
  <c r="C144" i="25"/>
  <c r="H145" i="1"/>
  <c r="R126" i="1"/>
  <c r="V126" i="1" s="1"/>
  <c r="D136" i="25"/>
  <c r="I126" i="25"/>
  <c r="J126" i="25" s="1"/>
  <c r="J128" i="1" s="1"/>
  <c r="H126" i="25"/>
  <c r="G127" i="25"/>
  <c r="C145" i="25" l="1"/>
  <c r="H146" i="1"/>
  <c r="AF126" i="1"/>
  <c r="AJ126" i="1" s="1"/>
  <c r="R127" i="1"/>
  <c r="V127" i="1" s="1"/>
  <c r="D137" i="25"/>
  <c r="I127" i="25"/>
  <c r="J127" i="25" s="1"/>
  <c r="J129" i="1" s="1"/>
  <c r="H127" i="25"/>
  <c r="G128" i="25"/>
  <c r="AF127" i="1" l="1"/>
  <c r="AJ127" i="1" s="1"/>
  <c r="C146" i="25"/>
  <c r="H147" i="1"/>
  <c r="R128" i="1"/>
  <c r="V128" i="1" s="1"/>
  <c r="D138" i="25"/>
  <c r="H128" i="25"/>
  <c r="I128" i="25"/>
  <c r="J128" i="25" s="1"/>
  <c r="J130" i="1" s="1"/>
  <c r="G129" i="25"/>
  <c r="C147" i="25" l="1"/>
  <c r="H148" i="1"/>
  <c r="AF128" i="1"/>
  <c r="AJ128" i="1" s="1"/>
  <c r="R129" i="1"/>
  <c r="V129" i="1" s="1"/>
  <c r="D139" i="25"/>
  <c r="I129" i="25"/>
  <c r="J129" i="25" s="1"/>
  <c r="J131" i="1" s="1"/>
  <c r="H129" i="25"/>
  <c r="G130" i="25"/>
  <c r="AF129" i="1" l="1"/>
  <c r="AJ129" i="1" s="1"/>
  <c r="C148" i="25"/>
  <c r="H149" i="1"/>
  <c r="R130" i="1"/>
  <c r="V130" i="1" s="1"/>
  <c r="D140" i="25"/>
  <c r="I130" i="25"/>
  <c r="J130" i="25" s="1"/>
  <c r="J132" i="1" s="1"/>
  <c r="H130" i="25"/>
  <c r="G131" i="25"/>
  <c r="AF130" i="1" l="1"/>
  <c r="AJ130" i="1" s="1"/>
  <c r="C149" i="25"/>
  <c r="H150" i="1"/>
  <c r="R131" i="1"/>
  <c r="V131" i="1" s="1"/>
  <c r="D141" i="25"/>
  <c r="H131" i="25"/>
  <c r="I131" i="25"/>
  <c r="J131" i="25" s="1"/>
  <c r="J133" i="1" s="1"/>
  <c r="G132" i="25"/>
  <c r="C150" i="25" l="1"/>
  <c r="H151" i="1"/>
  <c r="AF131" i="1"/>
  <c r="AJ131" i="1" s="1"/>
  <c r="R132" i="1"/>
  <c r="V132" i="1" s="1"/>
  <c r="D142" i="25"/>
  <c r="H132" i="25"/>
  <c r="I132" i="25"/>
  <c r="J132" i="25" s="1"/>
  <c r="J134" i="1" s="1"/>
  <c r="G133" i="25"/>
  <c r="AF132" i="1" l="1"/>
  <c r="AJ132" i="1" s="1"/>
  <c r="C151" i="25"/>
  <c r="H152" i="1"/>
  <c r="R133" i="1"/>
  <c r="V133" i="1" s="1"/>
  <c r="D143" i="25"/>
  <c r="H133" i="25"/>
  <c r="I133" i="25"/>
  <c r="J133" i="25" s="1"/>
  <c r="J135" i="1" s="1"/>
  <c r="G134" i="25"/>
  <c r="C152" i="25" l="1"/>
  <c r="H153" i="1"/>
  <c r="AF133" i="1"/>
  <c r="AJ133" i="1" s="1"/>
  <c r="R134" i="1"/>
  <c r="V134" i="1" s="1"/>
  <c r="D144" i="25"/>
  <c r="I134" i="25"/>
  <c r="J134" i="25" s="1"/>
  <c r="J136" i="1" s="1"/>
  <c r="H134" i="25"/>
  <c r="G135" i="25"/>
  <c r="AF134" i="1" l="1"/>
  <c r="AJ134" i="1" s="1"/>
  <c r="C153" i="25"/>
  <c r="H154" i="1"/>
  <c r="R135" i="1"/>
  <c r="V135" i="1" s="1"/>
  <c r="D145" i="25"/>
  <c r="I135" i="25"/>
  <c r="J135" i="25" s="1"/>
  <c r="J137" i="1" s="1"/>
  <c r="H135" i="25"/>
  <c r="G136" i="25"/>
  <c r="AF135" i="1" l="1"/>
  <c r="AJ135" i="1" s="1"/>
  <c r="C154" i="25"/>
  <c r="H155" i="1"/>
  <c r="R136" i="1"/>
  <c r="V136" i="1" s="1"/>
  <c r="D146" i="25"/>
  <c r="H136" i="25"/>
  <c r="I136" i="25"/>
  <c r="J136" i="25" s="1"/>
  <c r="J138" i="1" s="1"/>
  <c r="G137" i="25"/>
  <c r="AF136" i="1" l="1"/>
  <c r="AJ136" i="1" s="1"/>
  <c r="C155" i="25"/>
  <c r="H156" i="1"/>
  <c r="R137" i="1"/>
  <c r="V137" i="1" s="1"/>
  <c r="D147" i="25"/>
  <c r="I137" i="25"/>
  <c r="J137" i="25" s="1"/>
  <c r="J139" i="1" s="1"/>
  <c r="H137" i="25"/>
  <c r="G138" i="25"/>
  <c r="C156" i="25" l="1"/>
  <c r="H157" i="1"/>
  <c r="AF137" i="1"/>
  <c r="AJ137" i="1" s="1"/>
  <c r="R138" i="1"/>
  <c r="V138" i="1" s="1"/>
  <c r="D148" i="25"/>
  <c r="I138" i="25"/>
  <c r="J138" i="25" s="1"/>
  <c r="J140" i="1" s="1"/>
  <c r="H138" i="25"/>
  <c r="G139" i="25"/>
  <c r="AF138" i="1" l="1"/>
  <c r="AJ138" i="1" s="1"/>
  <c r="C157" i="25"/>
  <c r="H158" i="1"/>
  <c r="R139" i="1"/>
  <c r="V139" i="1" s="1"/>
  <c r="D149" i="25"/>
  <c r="H139" i="25"/>
  <c r="I139" i="25"/>
  <c r="J139" i="25" s="1"/>
  <c r="J141" i="1" s="1"/>
  <c r="G140" i="25"/>
  <c r="AF139" i="1" l="1"/>
  <c r="AJ139" i="1" s="1"/>
  <c r="C158" i="25"/>
  <c r="H159" i="1"/>
  <c r="R140" i="1"/>
  <c r="V140" i="1" s="1"/>
  <c r="D150" i="25"/>
  <c r="H140" i="25"/>
  <c r="I140" i="25"/>
  <c r="J140" i="25" s="1"/>
  <c r="J142" i="1" s="1"/>
  <c r="G141" i="25"/>
  <c r="AF140" i="1" l="1"/>
  <c r="AJ140" i="1" s="1"/>
  <c r="C159" i="25"/>
  <c r="H160" i="1"/>
  <c r="R141" i="1"/>
  <c r="V141" i="1" s="1"/>
  <c r="D151" i="25"/>
  <c r="H141" i="25"/>
  <c r="I141" i="25"/>
  <c r="J141" i="25" s="1"/>
  <c r="J143" i="1" s="1"/>
  <c r="G142" i="25"/>
  <c r="AF141" i="1" l="1"/>
  <c r="AJ141" i="1" s="1"/>
  <c r="C160" i="25"/>
  <c r="H161" i="1"/>
  <c r="R142" i="1"/>
  <c r="V142" i="1" s="1"/>
  <c r="D152" i="25"/>
  <c r="I142" i="25"/>
  <c r="J142" i="25" s="1"/>
  <c r="J144" i="1" s="1"/>
  <c r="H142" i="25"/>
  <c r="G143" i="25"/>
  <c r="C161" i="25" l="1"/>
  <c r="H162" i="1"/>
  <c r="AF142" i="1"/>
  <c r="AJ142" i="1" s="1"/>
  <c r="R143" i="1"/>
  <c r="V143" i="1" s="1"/>
  <c r="D153" i="25"/>
  <c r="I143" i="25"/>
  <c r="J143" i="25" s="1"/>
  <c r="J145" i="1" s="1"/>
  <c r="H143" i="25"/>
  <c r="G144" i="25"/>
  <c r="AF143" i="1" l="1"/>
  <c r="AJ143" i="1" s="1"/>
  <c r="C162" i="25"/>
  <c r="H163" i="1"/>
  <c r="R144" i="1"/>
  <c r="V144" i="1" s="1"/>
  <c r="D154" i="25"/>
  <c r="H144" i="25"/>
  <c r="I144" i="25"/>
  <c r="J144" i="25" s="1"/>
  <c r="J146" i="1" s="1"/>
  <c r="G145" i="25"/>
  <c r="C163" i="25" l="1"/>
  <c r="H164" i="1"/>
  <c r="AF144" i="1"/>
  <c r="AJ144" i="1" s="1"/>
  <c r="R145" i="1"/>
  <c r="V145" i="1" s="1"/>
  <c r="D155" i="25"/>
  <c r="I145" i="25"/>
  <c r="J145" i="25" s="1"/>
  <c r="J147" i="1" s="1"/>
  <c r="H145" i="25"/>
  <c r="G146" i="25"/>
  <c r="AF145" i="1" l="1"/>
  <c r="AJ145" i="1" s="1"/>
  <c r="C164" i="25"/>
  <c r="H165" i="1"/>
  <c r="R146" i="1"/>
  <c r="V146" i="1" s="1"/>
  <c r="D156" i="25"/>
  <c r="I146" i="25"/>
  <c r="J146" i="25" s="1"/>
  <c r="J148" i="1" s="1"/>
  <c r="H146" i="25"/>
  <c r="G147" i="25"/>
  <c r="AF146" i="1" l="1"/>
  <c r="AJ146" i="1" s="1"/>
  <c r="C165" i="25"/>
  <c r="H166" i="1"/>
  <c r="R147" i="1"/>
  <c r="V147" i="1" s="1"/>
  <c r="D157" i="25"/>
  <c r="I147" i="25"/>
  <c r="J147" i="25" s="1"/>
  <c r="J149" i="1" s="1"/>
  <c r="H147" i="25"/>
  <c r="G148" i="25"/>
  <c r="C166" i="25" l="1"/>
  <c r="H167" i="1"/>
  <c r="AF147" i="1"/>
  <c r="AJ147" i="1" s="1"/>
  <c r="R148" i="1"/>
  <c r="V148" i="1" s="1"/>
  <c r="D158" i="25"/>
  <c r="H148" i="25"/>
  <c r="I148" i="25"/>
  <c r="J148" i="25" s="1"/>
  <c r="J150" i="1" s="1"/>
  <c r="G149" i="25"/>
  <c r="AF148" i="1" l="1"/>
  <c r="AJ148" i="1" s="1"/>
  <c r="C167" i="25"/>
  <c r="H168" i="1"/>
  <c r="R149" i="1"/>
  <c r="V149" i="1" s="1"/>
  <c r="D159" i="25"/>
  <c r="H149" i="25"/>
  <c r="I149" i="25"/>
  <c r="J149" i="25" s="1"/>
  <c r="J151" i="1" s="1"/>
  <c r="G150" i="25"/>
  <c r="C168" i="25" l="1"/>
  <c r="H169" i="1"/>
  <c r="AF149" i="1"/>
  <c r="AJ149" i="1" s="1"/>
  <c r="R150" i="1"/>
  <c r="V150" i="1" s="1"/>
  <c r="D160" i="25"/>
  <c r="I150" i="25"/>
  <c r="J150" i="25" s="1"/>
  <c r="J152" i="1" s="1"/>
  <c r="H150" i="25"/>
  <c r="G151" i="25"/>
  <c r="AF150" i="1" l="1"/>
  <c r="AJ150" i="1" s="1"/>
  <c r="C169" i="25"/>
  <c r="H170" i="1"/>
  <c r="R151" i="1"/>
  <c r="V151" i="1" s="1"/>
  <c r="D161" i="25"/>
  <c r="I151" i="25"/>
  <c r="J151" i="25" s="1"/>
  <c r="J153" i="1" s="1"/>
  <c r="H151" i="25"/>
  <c r="G152" i="25"/>
  <c r="C170" i="25" l="1"/>
  <c r="H171" i="1"/>
  <c r="AF151" i="1"/>
  <c r="AJ151" i="1" s="1"/>
  <c r="R152" i="1"/>
  <c r="V152" i="1" s="1"/>
  <c r="D162" i="25"/>
  <c r="H152" i="25"/>
  <c r="I152" i="25"/>
  <c r="J152" i="25" s="1"/>
  <c r="J154" i="1" s="1"/>
  <c r="G153" i="25"/>
  <c r="AF152" i="1" l="1"/>
  <c r="AJ152" i="1" s="1"/>
  <c r="C171" i="25"/>
  <c r="H172" i="1"/>
  <c r="R153" i="1"/>
  <c r="V153" i="1" s="1"/>
  <c r="D163" i="25"/>
  <c r="I153" i="25"/>
  <c r="J153" i="25" s="1"/>
  <c r="J155" i="1" s="1"/>
  <c r="H153" i="25"/>
  <c r="G154" i="25"/>
  <c r="C172" i="25" l="1"/>
  <c r="H173" i="1"/>
  <c r="AF153" i="1"/>
  <c r="AJ153" i="1" s="1"/>
  <c r="R154" i="1"/>
  <c r="V154" i="1" s="1"/>
  <c r="D164" i="25"/>
  <c r="I154" i="25"/>
  <c r="J154" i="25" s="1"/>
  <c r="J156" i="1" s="1"/>
  <c r="H154" i="25"/>
  <c r="G155" i="25"/>
  <c r="AF154" i="1" l="1"/>
  <c r="AJ154" i="1" s="1"/>
  <c r="C173" i="25"/>
  <c r="H174" i="1"/>
  <c r="R155" i="1"/>
  <c r="V155" i="1" s="1"/>
  <c r="D165" i="25"/>
  <c r="H155" i="25"/>
  <c r="I155" i="25"/>
  <c r="J155" i="25" s="1"/>
  <c r="J157" i="1" s="1"/>
  <c r="G156" i="25"/>
  <c r="AF155" i="1" l="1"/>
  <c r="AJ155" i="1" s="1"/>
  <c r="C174" i="25"/>
  <c r="H175" i="1"/>
  <c r="R156" i="1"/>
  <c r="V156" i="1" s="1"/>
  <c r="D166" i="25"/>
  <c r="H156" i="25"/>
  <c r="I156" i="25"/>
  <c r="J156" i="25" s="1"/>
  <c r="J158" i="1" s="1"/>
  <c r="G157" i="25"/>
  <c r="AF156" i="1" l="1"/>
  <c r="AJ156" i="1" s="1"/>
  <c r="C175" i="25"/>
  <c r="H176" i="1"/>
  <c r="R157" i="1"/>
  <c r="V157" i="1" s="1"/>
  <c r="D167" i="25"/>
  <c r="H157" i="25"/>
  <c r="I157" i="25"/>
  <c r="J157" i="25" s="1"/>
  <c r="J159" i="1" s="1"/>
  <c r="G158" i="25"/>
  <c r="AF157" i="1" l="1"/>
  <c r="AJ157" i="1" s="1"/>
  <c r="C176" i="25"/>
  <c r="H177" i="1"/>
  <c r="R158" i="1"/>
  <c r="V158" i="1" s="1"/>
  <c r="D168" i="25"/>
  <c r="I158" i="25"/>
  <c r="J158" i="25" s="1"/>
  <c r="J160" i="1" s="1"/>
  <c r="H158" i="25"/>
  <c r="G159" i="25"/>
  <c r="AF158" i="1" l="1"/>
  <c r="AJ158" i="1" s="1"/>
  <c r="C177" i="25"/>
  <c r="H178" i="1"/>
  <c r="R159" i="1"/>
  <c r="V159" i="1" s="1"/>
  <c r="D169" i="25"/>
  <c r="I159" i="25"/>
  <c r="J159" i="25" s="1"/>
  <c r="J161" i="1" s="1"/>
  <c r="H159" i="25"/>
  <c r="G160" i="25"/>
  <c r="AF159" i="1" l="1"/>
  <c r="AJ159" i="1" s="1"/>
  <c r="C178" i="25"/>
  <c r="H179" i="1"/>
  <c r="R160" i="1"/>
  <c r="V160" i="1" s="1"/>
  <c r="D170" i="25"/>
  <c r="H160" i="25"/>
  <c r="I160" i="25"/>
  <c r="J160" i="25" s="1"/>
  <c r="J162" i="1" s="1"/>
  <c r="G161" i="25"/>
  <c r="AF160" i="1" l="1"/>
  <c r="AJ160" i="1" s="1"/>
  <c r="C179" i="25"/>
  <c r="H180" i="1"/>
  <c r="R161" i="1"/>
  <c r="V161" i="1" s="1"/>
  <c r="D171" i="25"/>
  <c r="I161" i="25"/>
  <c r="J161" i="25" s="1"/>
  <c r="J163" i="1" s="1"/>
  <c r="H161" i="25"/>
  <c r="G162" i="25"/>
  <c r="AF161" i="1" l="1"/>
  <c r="AJ161" i="1" s="1"/>
  <c r="C180" i="25"/>
  <c r="H181" i="1"/>
  <c r="R162" i="1"/>
  <c r="V162" i="1" s="1"/>
  <c r="D172" i="25"/>
  <c r="I162" i="25"/>
  <c r="J162" i="25" s="1"/>
  <c r="J164" i="1" s="1"/>
  <c r="H162" i="25"/>
  <c r="G163" i="25"/>
  <c r="C181" i="25" l="1"/>
  <c r="H182" i="1"/>
  <c r="AF162" i="1"/>
  <c r="AJ162" i="1" s="1"/>
  <c r="R163" i="1"/>
  <c r="V163" i="1" s="1"/>
  <c r="D173" i="25"/>
  <c r="I163" i="25"/>
  <c r="J163" i="25" s="1"/>
  <c r="J165" i="1" s="1"/>
  <c r="H163" i="25"/>
  <c r="G164" i="25"/>
  <c r="AF163" i="1" l="1"/>
  <c r="AJ163" i="1" s="1"/>
  <c r="C182" i="25"/>
  <c r="H183" i="1"/>
  <c r="R164" i="1"/>
  <c r="V164" i="1" s="1"/>
  <c r="D174" i="25"/>
  <c r="H164" i="25"/>
  <c r="I164" i="25"/>
  <c r="J164" i="25" s="1"/>
  <c r="J166" i="1" s="1"/>
  <c r="G165" i="25"/>
  <c r="C183" i="25" l="1"/>
  <c r="H184" i="1"/>
  <c r="AF164" i="1"/>
  <c r="AJ164" i="1" s="1"/>
  <c r="R165" i="1"/>
  <c r="V165" i="1" s="1"/>
  <c r="D175" i="25"/>
  <c r="H165" i="25"/>
  <c r="I165" i="25"/>
  <c r="J165" i="25" s="1"/>
  <c r="J167" i="1" s="1"/>
  <c r="G166" i="25"/>
  <c r="AF165" i="1" l="1"/>
  <c r="AJ165" i="1" s="1"/>
  <c r="C184" i="25"/>
  <c r="H185" i="1"/>
  <c r="R166" i="1"/>
  <c r="V166" i="1" s="1"/>
  <c r="D176" i="25"/>
  <c r="I166" i="25"/>
  <c r="J166" i="25" s="1"/>
  <c r="J168" i="1" s="1"/>
  <c r="H166" i="25"/>
  <c r="G167" i="25"/>
  <c r="C185" i="25" l="1"/>
  <c r="H186" i="1"/>
  <c r="AF166" i="1"/>
  <c r="AJ166" i="1" s="1"/>
  <c r="R167" i="1"/>
  <c r="V167" i="1" s="1"/>
  <c r="D177" i="25"/>
  <c r="I167" i="25"/>
  <c r="J167" i="25" s="1"/>
  <c r="J169" i="1" s="1"/>
  <c r="H167" i="25"/>
  <c r="G168" i="25"/>
  <c r="AF167" i="1" l="1"/>
  <c r="AJ167" i="1" s="1"/>
  <c r="C186" i="25"/>
  <c r="H188" i="1" s="1"/>
  <c r="H187" i="1"/>
  <c r="R168" i="1"/>
  <c r="V168" i="1" s="1"/>
  <c r="D178" i="25"/>
  <c r="H168" i="25"/>
  <c r="I168" i="25"/>
  <c r="J168" i="25" s="1"/>
  <c r="J170" i="1" s="1"/>
  <c r="G169" i="25"/>
  <c r="AF168" i="1" l="1"/>
  <c r="AJ168" i="1" s="1"/>
  <c r="R169" i="1"/>
  <c r="V169" i="1" s="1"/>
  <c r="D179" i="25"/>
  <c r="I169" i="25"/>
  <c r="J169" i="25" s="1"/>
  <c r="J171" i="1" s="1"/>
  <c r="H169" i="25"/>
  <c r="G170" i="25"/>
  <c r="AF169" i="1" l="1"/>
  <c r="AJ169" i="1" s="1"/>
  <c r="R170" i="1"/>
  <c r="V170" i="1" s="1"/>
  <c r="D180" i="25"/>
  <c r="I170" i="25"/>
  <c r="J170" i="25" s="1"/>
  <c r="J172" i="1" s="1"/>
  <c r="H170" i="25"/>
  <c r="G171" i="25"/>
  <c r="AF170" i="1" l="1"/>
  <c r="AJ170" i="1" s="1"/>
  <c r="R171" i="1"/>
  <c r="V171" i="1" s="1"/>
  <c r="D181" i="25"/>
  <c r="H171" i="25"/>
  <c r="I171" i="25"/>
  <c r="J171" i="25" s="1"/>
  <c r="J173" i="1" s="1"/>
  <c r="G172" i="25"/>
  <c r="AF171" i="1" l="1"/>
  <c r="AJ171" i="1" s="1"/>
  <c r="R172" i="1"/>
  <c r="V172" i="1" s="1"/>
  <c r="D182" i="25"/>
  <c r="H172" i="25"/>
  <c r="I172" i="25"/>
  <c r="J172" i="25" s="1"/>
  <c r="J174" i="1" s="1"/>
  <c r="G173" i="25"/>
  <c r="AF172" i="1" l="1"/>
  <c r="AJ172" i="1" s="1"/>
  <c r="R173" i="1"/>
  <c r="V173" i="1" s="1"/>
  <c r="D183" i="25"/>
  <c r="G174" i="25"/>
  <c r="H173" i="25"/>
  <c r="I173" i="25"/>
  <c r="J173" i="25" s="1"/>
  <c r="J175" i="1" s="1"/>
  <c r="AF173" i="1" l="1"/>
  <c r="AJ173" i="1" s="1"/>
  <c r="R174" i="1"/>
  <c r="V174" i="1" s="1"/>
  <c r="D184" i="25"/>
  <c r="I174" i="25"/>
  <c r="J174" i="25" s="1"/>
  <c r="J176" i="1" s="1"/>
  <c r="H174" i="25"/>
  <c r="G175" i="25"/>
  <c r="AF174" i="1" l="1"/>
  <c r="AJ174" i="1" s="1"/>
  <c r="R175" i="1"/>
  <c r="V175" i="1" s="1"/>
  <c r="D185" i="25"/>
  <c r="I175" i="25"/>
  <c r="J175" i="25" s="1"/>
  <c r="J177" i="1" s="1"/>
  <c r="H175" i="25"/>
  <c r="G176" i="25"/>
  <c r="AF175" i="1" l="1"/>
  <c r="AJ175" i="1" s="1"/>
  <c r="R176" i="1"/>
  <c r="V176" i="1" s="1"/>
  <c r="D186" i="25"/>
  <c r="H176" i="25"/>
  <c r="I176" i="25"/>
  <c r="J176" i="25" s="1"/>
  <c r="J178" i="1" s="1"/>
  <c r="G177" i="25"/>
  <c r="AF176" i="1" l="1"/>
  <c r="AJ176" i="1" s="1"/>
  <c r="R177" i="1"/>
  <c r="V177" i="1" s="1"/>
  <c r="I177" i="25"/>
  <c r="J177" i="25" s="1"/>
  <c r="J179" i="1" s="1"/>
  <c r="H177" i="25"/>
  <c r="G178" i="25"/>
  <c r="AF177" i="1" l="1"/>
  <c r="AJ177" i="1" s="1"/>
  <c r="R178" i="1"/>
  <c r="V178" i="1" s="1"/>
  <c r="I178" i="25"/>
  <c r="J178" i="25" s="1"/>
  <c r="J180" i="1" s="1"/>
  <c r="H178" i="25"/>
  <c r="G179" i="25"/>
  <c r="AF178" i="1" l="1"/>
  <c r="AJ178" i="1" s="1"/>
  <c r="R179" i="1"/>
  <c r="V179" i="1" s="1"/>
  <c r="I179" i="25"/>
  <c r="J179" i="25" s="1"/>
  <c r="J181" i="1" s="1"/>
  <c r="H179" i="25"/>
  <c r="G180" i="25"/>
  <c r="AF179" i="1" l="1"/>
  <c r="AJ179" i="1" s="1"/>
  <c r="R180" i="1"/>
  <c r="V180" i="1" s="1"/>
  <c r="H180" i="25"/>
  <c r="I180" i="25"/>
  <c r="J180" i="25" s="1"/>
  <c r="J182" i="1" s="1"/>
  <c r="G181" i="25"/>
  <c r="AF180" i="1" l="1"/>
  <c r="AJ180" i="1" s="1"/>
  <c r="R181" i="1"/>
  <c r="V181" i="1" s="1"/>
  <c r="H181" i="25"/>
  <c r="I181" i="25"/>
  <c r="J181" i="25" s="1"/>
  <c r="J183" i="1" s="1"/>
  <c r="G182" i="25"/>
  <c r="AF181" i="1" l="1"/>
  <c r="AJ181" i="1" s="1"/>
  <c r="R182" i="1"/>
  <c r="V182" i="1" s="1"/>
  <c r="I182" i="25"/>
  <c r="J182" i="25" s="1"/>
  <c r="J184" i="1" s="1"/>
  <c r="H182" i="25"/>
  <c r="G183" i="25"/>
  <c r="AF182" i="1" l="1"/>
  <c r="AJ182" i="1" s="1"/>
  <c r="R183" i="1"/>
  <c r="V183" i="1" s="1"/>
  <c r="I183" i="25"/>
  <c r="J183" i="25" s="1"/>
  <c r="J185" i="1" s="1"/>
  <c r="H183" i="25"/>
  <c r="G184" i="25"/>
  <c r="AF183" i="1" l="1"/>
  <c r="AJ183" i="1" s="1"/>
  <c r="R184" i="1"/>
  <c r="V184" i="1" s="1"/>
  <c r="I184" i="25"/>
  <c r="J184" i="25" s="1"/>
  <c r="J186" i="1" s="1"/>
  <c r="H184" i="25"/>
  <c r="G186" i="25"/>
  <c r="G185" i="25"/>
  <c r="AF184" i="1" l="1"/>
  <c r="AJ184" i="1" s="1"/>
  <c r="R185" i="1"/>
  <c r="V185" i="1" s="1"/>
  <c r="I186" i="25"/>
  <c r="J186" i="25" s="1"/>
  <c r="J188" i="1" s="1"/>
  <c r="H186" i="25"/>
  <c r="I185" i="25"/>
  <c r="J185" i="25" s="1"/>
  <c r="J187" i="1" s="1"/>
  <c r="H185" i="25"/>
  <c r="AF185" i="1" l="1"/>
  <c r="AJ185" i="1" s="1"/>
  <c r="R186" i="1"/>
  <c r="V186" i="1" s="1"/>
  <c r="AF186" i="1" l="1"/>
  <c r="AJ186" i="1" s="1"/>
  <c r="R188" i="1"/>
  <c r="V188" i="1" s="1"/>
  <c r="R187" i="1"/>
  <c r="V187" i="1" s="1"/>
  <c r="AF187" i="1" l="1"/>
  <c r="AJ187" i="1" s="1"/>
  <c r="AF188" i="1"/>
  <c r="AJ188" i="1" s="1"/>
</calcChain>
</file>

<file path=xl/sharedStrings.xml><?xml version="1.0" encoding="utf-8"?>
<sst xmlns="http://schemas.openxmlformats.org/spreadsheetml/2006/main" count="570" uniqueCount="237">
  <si>
    <t xml:space="preserve"> </t>
  </si>
  <si>
    <t>Accumulated Depreciation</t>
  </si>
  <si>
    <t xml:space="preserve">ADFIT </t>
  </si>
  <si>
    <t>Rate Base</t>
  </si>
  <si>
    <t>Monthly Return on Rate Base</t>
  </si>
  <si>
    <t>Monthly O &amp; M</t>
  </si>
  <si>
    <t>Month</t>
  </si>
  <si>
    <t>Year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</si>
  <si>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</si>
  <si>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</si>
  <si>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</si>
  <si>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</si>
  <si>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</si>
  <si>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</si>
  <si>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</si>
  <si>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</si>
  <si>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</si>
  <si>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</si>
  <si>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</si>
  <si>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</si>
  <si>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MACRS Tax Depreciation Tables</t>
  </si>
  <si>
    <t xml:space="preserve">     Accum DFIT @  -  Asset &lt;Liability&gt;</t>
  </si>
  <si>
    <t>Expense Month</t>
  </si>
  <si>
    <t>Monthly Depreciation Expense</t>
  </si>
  <si>
    <t>Month
(Actuals)</t>
  </si>
  <si>
    <t>Month Filed</t>
  </si>
  <si>
    <t>Month Billed</t>
  </si>
  <si>
    <t>KY Retail Allocation Factor</t>
  </si>
  <si>
    <t>Allocation Factor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</si>
  <si>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</si>
  <si>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</si>
  <si>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</si>
  <si>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</si>
  <si>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</si>
  <si>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</si>
  <si>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</si>
  <si>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</si>
  <si>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</si>
  <si>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</si>
  <si>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</si>
  <si>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</si>
  <si>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</si>
  <si>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</si>
  <si>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</si>
  <si>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</si>
  <si>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</si>
  <si>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</si>
  <si>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</si>
  <si>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Operating  Income Percentage</t>
  </si>
  <si>
    <t>Gross Up Factor  (100.00/Ln 9)</t>
  </si>
  <si>
    <t>Twelve Mo. Average</t>
  </si>
  <si>
    <t>Total Monthly Environmental Revenue Requirement</t>
  </si>
  <si>
    <t>Residential</t>
  </si>
  <si>
    <t>All Other</t>
  </si>
  <si>
    <t>Installed Book Cost</t>
  </si>
  <si>
    <t>Depreciation Rate</t>
  </si>
  <si>
    <t>Net Book Basis</t>
  </si>
  <si>
    <t>Tax Depr</t>
  </si>
  <si>
    <t>Accumulated Depr</t>
  </si>
  <si>
    <t>Net Tax Basis</t>
  </si>
  <si>
    <t>Installed Year</t>
  </si>
  <si>
    <t>Accum Tax Depr</t>
  </si>
  <si>
    <t>% Tax Depr</t>
  </si>
  <si>
    <t>Book v. Tax Temporary Difference</t>
  </si>
  <si>
    <t>Federal Income Tax</t>
  </si>
  <si>
    <t>Estimated Revenue Requirement for ELG Through 2040</t>
  </si>
  <si>
    <t>Less State Income Taxes (Ln 4 x 5.0065)</t>
  </si>
  <si>
    <t>Taxable Income for Federal Income Taxes</t>
  </si>
  <si>
    <t>Less Federal Income Taxes (Ln 11*21%)</t>
  </si>
  <si>
    <t>KENTUCKY POWER COMPANY</t>
  </si>
  <si>
    <t>Environmental Surcharge</t>
  </si>
  <si>
    <t>Mitchell Plant Cost of Capital</t>
  </si>
  <si>
    <t>3/31/2023</t>
  </si>
  <si>
    <t>Property Tax Rates</t>
  </si>
  <si>
    <t>Marshall County WV Rate</t>
  </si>
  <si>
    <t>WV Listing Percentage</t>
  </si>
  <si>
    <t>Pollution Control Value (Salvage)</t>
  </si>
  <si>
    <t>Allocation Factors</t>
  </si>
  <si>
    <t>Allocation of E(m) by Classification</t>
  </si>
  <si>
    <t>Line 1 * 2</t>
  </si>
  <si>
    <t>KPCo's Twelve Months Ended December 2020 Revenues</t>
  </si>
  <si>
    <t>Percent Annual Increase</t>
  </si>
  <si>
    <t>Line 3 / 4</t>
  </si>
  <si>
    <t>Line 6 * 12</t>
  </si>
  <si>
    <t>ES Form 1.10, Line 9</t>
  </si>
  <si>
    <t>Year 1 Effect of Project 23</t>
  </si>
  <si>
    <t>12 MONTHS BILLED AND ACCRUED - MCSR0162 - FINAL</t>
  </si>
  <si>
    <t>Tariff Code</t>
  </si>
  <si>
    <t>Revenue</t>
  </si>
  <si>
    <t>Metered KWH</t>
  </si>
  <si>
    <t>Billing Demand</t>
  </si>
  <si>
    <t># of Customers</t>
  </si>
  <si>
    <t>Avg kWh</t>
  </si>
  <si>
    <t>Avg Bill</t>
  </si>
  <si>
    <t>Avg Peak</t>
  </si>
  <si>
    <t>RSW-LMWH</t>
  </si>
  <si>
    <t>RSW-A</t>
  </si>
  <si>
    <t>RSW-B</t>
  </si>
  <si>
    <t>RSW-C</t>
  </si>
  <si>
    <t>RS</t>
  </si>
  <si>
    <t>RS EMP</t>
  </si>
  <si>
    <t>RSW-RS</t>
  </si>
  <si>
    <t>AORH-W ON</t>
  </si>
  <si>
    <t>RSW-ONPK</t>
  </si>
  <si>
    <t>RS LM-ON</t>
  </si>
  <si>
    <t>AORH-ON</t>
  </si>
  <si>
    <t>RS-TOD-ON</t>
  </si>
  <si>
    <t>RES Subtotal</t>
  </si>
  <si>
    <t>OL 175 MV</t>
  </si>
  <si>
    <t>OL 100 HP</t>
  </si>
  <si>
    <t>OL 400 MV</t>
  </si>
  <si>
    <t>OL 200 HP</t>
  </si>
  <si>
    <t>OL 400 HP</t>
  </si>
  <si>
    <t>OL175 MVP</t>
  </si>
  <si>
    <t>OL 250 HP</t>
  </si>
  <si>
    <t>OL 200HPF</t>
  </si>
  <si>
    <t>OL400 HPF</t>
  </si>
  <si>
    <t>OL 250 MH</t>
  </si>
  <si>
    <t>OL100 HPP</t>
  </si>
  <si>
    <t>OL 150 HP</t>
  </si>
  <si>
    <t>OL 400 MH</t>
  </si>
  <si>
    <t>OL 250HPP</t>
  </si>
  <si>
    <t>OL150 HPP</t>
  </si>
  <si>
    <t>OL 400HPP</t>
  </si>
  <si>
    <t>OL 250MON</t>
  </si>
  <si>
    <t>OL 1000MH</t>
  </si>
  <si>
    <t>OL 400MON</t>
  </si>
  <si>
    <t>OL Subtotal</t>
  </si>
  <si>
    <t>SGS-MTRD</t>
  </si>
  <si>
    <t>SGS</t>
  </si>
  <si>
    <t>SGS-UMR</t>
  </si>
  <si>
    <t>MGS - AF</t>
  </si>
  <si>
    <t>MGS SEC</t>
  </si>
  <si>
    <t>MGS PRI</t>
  </si>
  <si>
    <t>MGS M SEC</t>
  </si>
  <si>
    <t>MGSCC PRI</t>
  </si>
  <si>
    <t>MGS LM ON</t>
  </si>
  <si>
    <t>SGSTOD ON</t>
  </si>
  <si>
    <t>EXPSGSTOD</t>
  </si>
  <si>
    <t>SGS-TOD Subtotal</t>
  </si>
  <si>
    <t>MGS-TOD</t>
  </si>
  <si>
    <t>MGS-TOD Subtotal</t>
  </si>
  <si>
    <t>MGSCC SUB</t>
  </si>
  <si>
    <t>GS Subtotal</t>
  </si>
  <si>
    <t>LGS SEC</t>
  </si>
  <si>
    <t>LGS M SEC</t>
  </si>
  <si>
    <t>LGS PRI</t>
  </si>
  <si>
    <t>LGS M PRI</t>
  </si>
  <si>
    <t>LGS SUB</t>
  </si>
  <si>
    <t>LGS TRAN</t>
  </si>
  <si>
    <t>LGS-LM-TD</t>
  </si>
  <si>
    <t>LGSSECTOD</t>
  </si>
  <si>
    <t>LGSPRITOD</t>
  </si>
  <si>
    <t>PS SEC</t>
  </si>
  <si>
    <t>PS PRI</t>
  </si>
  <si>
    <t>LGS Subtotal</t>
  </si>
  <si>
    <t>CS-IRP PR</t>
  </si>
  <si>
    <t>CS-IRP ST</t>
  </si>
  <si>
    <t>CS-IRP TR</t>
  </si>
  <si>
    <t>CS-IRP</t>
  </si>
  <si>
    <t>IGS SEC</t>
  </si>
  <si>
    <t>IGS PRI</t>
  </si>
  <si>
    <t>IGS SUB</t>
  </si>
  <si>
    <t>IGS</t>
  </si>
  <si>
    <t>IGS Subtotal</t>
  </si>
  <si>
    <t>SL</t>
  </si>
  <si>
    <t>SL Subtotal</t>
  </si>
  <si>
    <t>MW</t>
  </si>
  <si>
    <t>MW Subtotal</t>
  </si>
  <si>
    <t>Customer Classification</t>
  </si>
  <si>
    <t>R.S.</t>
  </si>
  <si>
    <t>S.G.S. - T.O.D.</t>
  </si>
  <si>
    <t>M.G.S. - T.O.D.</t>
  </si>
  <si>
    <t>G.S.</t>
  </si>
  <si>
    <t>L.G.S.</t>
  </si>
  <si>
    <t>I.G.S.</t>
  </si>
  <si>
    <t>M.W.</t>
  </si>
  <si>
    <t>O.L.</t>
  </si>
  <si>
    <t>S.L.**</t>
  </si>
  <si>
    <t>Line</t>
  </si>
  <si>
    <t>Description</t>
  </si>
  <si>
    <t>Source</t>
  </si>
  <si>
    <t>Total Retail</t>
  </si>
  <si>
    <t>Total Retail Impact</t>
  </si>
  <si>
    <t>** Number of lamps, not customers</t>
  </si>
  <si>
    <t>55W LEDOL</t>
  </si>
  <si>
    <t>100WLEDOL</t>
  </si>
  <si>
    <t>175WLEDOL</t>
  </si>
  <si>
    <t>300WLEDOL</t>
  </si>
  <si>
    <t>64W LEDOL</t>
  </si>
  <si>
    <t>146WLEDOL</t>
  </si>
  <si>
    <t>297WLEDOL</t>
  </si>
  <si>
    <t>Check</t>
  </si>
  <si>
    <t>CWIP</t>
  </si>
  <si>
    <t>WACC</t>
  </si>
  <si>
    <t>Gross Plant</t>
  </si>
  <si>
    <t>Federal and State Income Taxes</t>
  </si>
  <si>
    <t>Taxes Other than Income</t>
  </si>
  <si>
    <t>Retail Allocation</t>
  </si>
  <si>
    <t>Monthly Property Tax</t>
  </si>
  <si>
    <t>Filing Month</t>
  </si>
  <si>
    <t>WPCo Repayment</t>
  </si>
  <si>
    <t>Plant</t>
  </si>
  <si>
    <t xml:space="preserve"> Impact by Customer Classification</t>
  </si>
  <si>
    <t>Annual Percent Change</t>
  </si>
  <si>
    <t>Annual $ Increase for Class</t>
  </si>
  <si>
    <t>Monthly Average Usage (kWh)*</t>
  </si>
  <si>
    <t>Monthly Average Customer Demand (kW)*</t>
  </si>
  <si>
    <t>Current Monthly Average Bill $*</t>
  </si>
  <si>
    <t>Proposed Monthly Average Bill $</t>
  </si>
  <si>
    <t>Monthly  $ Increase</t>
  </si>
  <si>
    <t>Monthly Percent Increase</t>
  </si>
  <si>
    <t>* Based on 12-months ending May 2025</t>
  </si>
  <si>
    <t>Monthly Effect on a Residential Customer using 1189 kWh</t>
  </si>
  <si>
    <t>Annual Effect on a Residential Customer using 14268 kWh</t>
  </si>
  <si>
    <t>12 Mos. Ended April 2025
Average Retail Allocation</t>
  </si>
  <si>
    <t>Exhibit LMK-4, ELG Rev Req tab</t>
  </si>
  <si>
    <t>Exhibit LMK-4, 12mos BA tab</t>
  </si>
  <si>
    <t>Exhibit LMK-4, Retail Impact tab</t>
  </si>
  <si>
    <t>Base Costs of Operation</t>
  </si>
  <si>
    <t>Material Direct Purchase</t>
  </si>
  <si>
    <t>Non-Outage Maintenance Improvements</t>
  </si>
  <si>
    <t>Scheduled Outage O&amp;M</t>
  </si>
  <si>
    <t>Total</t>
  </si>
  <si>
    <t>Monthly Total Plant</t>
  </si>
  <si>
    <t>Monthly KP</t>
  </si>
  <si>
    <t>Figure JDS-3</t>
  </si>
  <si>
    <t>Amortization Mos.</t>
  </si>
  <si>
    <t>Accumulated Amortization Expense</t>
  </si>
  <si>
    <t>Reg Asset Balance</t>
  </si>
  <si>
    <t>Starting Reg Asset</t>
  </si>
  <si>
    <t>Regulatory Asset</t>
  </si>
  <si>
    <t>Regulatory Asset Amortization Expense</t>
  </si>
  <si>
    <t>ADFIT</t>
  </si>
  <si>
    <t>Annual Average Usage (kWh)*</t>
  </si>
  <si>
    <t>As discussed at pp. 24 of Company Wolffram's Direct Testimony</t>
  </si>
  <si>
    <t>As discussed at pp. 25 of Company Wolffram's Direct Testimony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</si>
</sst>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&quot;$&quot;#,##0"/>
    <numFmt numFmtId="166" formatCode="&quot;$&quot;#,##0.00"/>
    <numFmt numFmtId="167" formatCode="0.0%"/>
    <numFmt numFmtId="168" formatCode="0.0000%"/>
    <numFmt numFmtId="169" formatCode="0.000%"/>
    <numFmt numFmtId="170" formatCode="_(* #,##0.0000_);_(* \(#,##0.0000\);_(* &quot;-&quot;??_);_(@_)"/>
    <numFmt numFmtId="171" formatCode="0.000000"/>
    <numFmt numFmtId="172" formatCode="0.0000"/>
    <numFmt numFmtId="173" formatCode="#,##0.0000_);\(#,##0.0000\)"/>
    <numFmt numFmtId="174" formatCode="_(&quot;$&quot;* #,##0_);_(&quot;$&quot;* \(#,##0\);_(&quot;$&quot;* &quot;-&quot;??_);_(@_)"/>
    <numFmt numFmtId="175" formatCode="_(* #,##0_);_(* \(#,##0\);_(* &quot;-&quot;??_);_(@_)"/>
    <numFmt numFmtId="176" formatCode="#,##0.0"/>
    <numFmt numFmtId="177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1"/>
      <color rgb="FF0000FF"/>
      <name val="Times New Roman"/>
      <family val="1"/>
    </font>
    <font>
      <sz val="8"/>
      <color theme="1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4"/>
      <color theme="1"/>
      <name val="Times New Roman"/>
      <family val="1"/>
    </font>
    <font>
      <i/>
      <sz val="10"/>
      <color rgb="FFFF0000"/>
      <name val="Times New Roman"/>
      <family val="1"/>
    </font>
    <font>
      <b/>
      <sz val="10"/>
      <color rgb="FFFFFFFF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i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0" fillId="0" borderId="0"/>
    <xf numFmtId="0" fontId="1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1">
    <xf numFmtId="0" fontId="0" fillId="0" borderId="0" xfId="0"/>
    <xf numFmtId="3" fontId="4" fillId="0" borderId="0" xfId="4" applyNumberFormat="1" applyFont="1" applyFill="1" applyBorder="1" applyAlignment="1" applyProtection="1">
      <alignment horizontal="center"/>
      <protection locked="0"/>
    </xf>
    <xf numFmtId="0" fontId="4" fillId="0" borderId="0" xfId="4" applyFont="1" applyFill="1" applyBorder="1" applyAlignment="1">
      <alignment horizontal="center"/>
    </xf>
    <xf numFmtId="0" fontId="5" fillId="0" borderId="0" xfId="2" applyFont="1"/>
    <xf numFmtId="0" fontId="6" fillId="0" borderId="0" xfId="2" applyFont="1"/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5" fillId="0" borderId="0" xfId="2" applyFont="1" applyFill="1"/>
    <xf numFmtId="0" fontId="5" fillId="0" borderId="0" xfId="2" applyFont="1" applyFill="1" applyAlignment="1"/>
    <xf numFmtId="0" fontId="5" fillId="0" borderId="0" xfId="0" applyFont="1"/>
    <xf numFmtId="0" fontId="6" fillId="2" borderId="0" xfId="0" applyFont="1" applyFill="1" applyAlignment="1">
      <alignment horizontal="center" wrapText="1"/>
    </xf>
    <xf numFmtId="0" fontId="5" fillId="0" borderId="0" xfId="0" applyFont="1" applyFill="1"/>
    <xf numFmtId="168" fontId="5" fillId="0" borderId="0" xfId="1" applyNumberFormat="1" applyFont="1" applyFill="1"/>
    <xf numFmtId="0" fontId="0" fillId="0" borderId="0" xfId="0" applyFill="1"/>
    <xf numFmtId="167" fontId="5" fillId="2" borderId="0" xfId="1" applyNumberFormat="1" applyFont="1" applyFill="1"/>
    <xf numFmtId="0" fontId="7" fillId="0" borderId="0" xfId="2" applyFont="1" applyFill="1" applyAlignment="1"/>
    <xf numFmtId="6" fontId="5" fillId="0" borderId="0" xfId="2" applyNumberFormat="1" applyFont="1" applyFill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5" fillId="0" borderId="0" xfId="2" applyFont="1" applyFill="1" applyBorder="1"/>
    <xf numFmtId="6" fontId="5" fillId="0" borderId="0" xfId="2" applyNumberFormat="1" applyFont="1" applyFill="1" applyBorder="1"/>
    <xf numFmtId="165" fontId="5" fillId="0" borderId="0" xfId="3" applyNumberFormat="1" applyFont="1" applyFill="1" applyBorder="1"/>
    <xf numFmtId="0" fontId="6" fillId="0" borderId="0" xfId="2" applyFont="1" applyFill="1" applyBorder="1"/>
    <xf numFmtId="6" fontId="6" fillId="0" borderId="0" xfId="2" applyNumberFormat="1" applyFont="1" applyFill="1" applyBorder="1"/>
    <xf numFmtId="6" fontId="5" fillId="0" borderId="0" xfId="2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/>
    <xf numFmtId="10" fontId="5" fillId="0" borderId="0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5" fontId="5" fillId="0" borderId="0" xfId="2" applyNumberFormat="1" applyFont="1"/>
    <xf numFmtId="166" fontId="5" fillId="0" borderId="0" xfId="2" applyNumberFormat="1" applyFont="1" applyFill="1"/>
    <xf numFmtId="0" fontId="6" fillId="0" borderId="0" xfId="2" quotePrefix="1" applyFont="1" applyFill="1" applyBorder="1"/>
    <xf numFmtId="165" fontId="5" fillId="0" borderId="0" xfId="2" applyNumberFormat="1" applyFont="1" applyFill="1" applyBorder="1"/>
    <xf numFmtId="0" fontId="5" fillId="0" borderId="0" xfId="0" applyFont="1" applyAlignment="1">
      <alignment horizontal="center" vertical="center" wrapText="1"/>
    </xf>
    <xf numFmtId="3" fontId="4" fillId="0" borderId="16" xfId="4" applyNumberFormat="1" applyFont="1" applyFill="1" applyBorder="1" applyAlignment="1" applyProtection="1">
      <protection locked="0"/>
    </xf>
    <xf numFmtId="0" fontId="0" fillId="0" borderId="4" xfId="0" applyFill="1" applyBorder="1"/>
    <xf numFmtId="3" fontId="4" fillId="0" borderId="4" xfId="4" applyNumberFormat="1" applyFont="1" applyFill="1" applyBorder="1" applyAlignment="1" applyProtection="1">
      <alignment horizontal="center"/>
      <protection locked="0"/>
    </xf>
    <xf numFmtId="169" fontId="3" fillId="0" borderId="5" xfId="6" applyNumberFormat="1" applyFont="1" applyFill="1" applyBorder="1" applyAlignment="1" applyProtection="1">
      <protection locked="0"/>
    </xf>
    <xf numFmtId="3" fontId="3" fillId="0" borderId="12" xfId="4" applyNumberFormat="1" applyFont="1" applyFill="1" applyBorder="1" applyAlignment="1" applyProtection="1">
      <protection locked="0"/>
    </xf>
    <xf numFmtId="0" fontId="0" fillId="0" borderId="0" xfId="0" applyFill="1" applyBorder="1"/>
    <xf numFmtId="169" fontId="3" fillId="0" borderId="11" xfId="6" applyNumberFormat="1" applyFont="1" applyFill="1" applyBorder="1" applyAlignment="1" applyProtection="1">
      <protection locked="0"/>
    </xf>
    <xf numFmtId="0" fontId="3" fillId="0" borderId="12" xfId="4" applyFont="1" applyFill="1" applyBorder="1" applyAlignment="1"/>
    <xf numFmtId="0" fontId="3" fillId="0" borderId="17" xfId="4" applyFont="1" applyFill="1" applyBorder="1" applyAlignment="1"/>
    <xf numFmtId="0" fontId="0" fillId="0" borderId="6" xfId="0" applyFill="1" applyBorder="1"/>
    <xf numFmtId="0" fontId="4" fillId="0" borderId="6" xfId="4" applyFont="1" applyFill="1" applyBorder="1" applyAlignment="1">
      <alignment horizontal="center"/>
    </xf>
    <xf numFmtId="169" fontId="3" fillId="0" borderId="7" xfId="6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/>
    </xf>
    <xf numFmtId="3" fontId="3" fillId="0" borderId="4" xfId="4" applyNumberFormat="1" applyFont="1" applyFill="1" applyBorder="1" applyAlignment="1" applyProtection="1">
      <alignment horizontal="center"/>
      <protection locked="0"/>
    </xf>
    <xf numFmtId="3" fontId="3" fillId="0" borderId="0" xfId="4" applyNumberFormat="1" applyFont="1" applyFill="1" applyBorder="1" applyAlignment="1" applyProtection="1">
      <alignment horizontal="center"/>
      <protection locked="0"/>
    </xf>
    <xf numFmtId="0" fontId="3" fillId="0" borderId="0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165" fontId="6" fillId="0" borderId="0" xfId="2" applyNumberFormat="1" applyFont="1"/>
    <xf numFmtId="0" fontId="13" fillId="0" borderId="0" xfId="12" applyFont="1"/>
    <xf numFmtId="49" fontId="13" fillId="0" borderId="1" xfId="13" applyNumberFormat="1" applyFont="1" applyBorder="1" applyAlignment="1">
      <alignment horizontal="center" wrapText="1"/>
    </xf>
    <xf numFmtId="49" fontId="13" fillId="3" borderId="4" xfId="13" applyNumberFormat="1" applyFont="1" applyFill="1" applyBorder="1" applyAlignment="1">
      <alignment wrapText="1"/>
    </xf>
    <xf numFmtId="49" fontId="13" fillId="0" borderId="8" xfId="13" applyNumberFormat="1" applyFont="1" applyBorder="1" applyAlignment="1">
      <alignment horizontal="center" wrapText="1"/>
    </xf>
    <xf numFmtId="49" fontId="13" fillId="3" borderId="9" xfId="13" applyNumberFormat="1" applyFont="1" applyFill="1" applyBorder="1" applyAlignment="1">
      <alignment wrapText="1"/>
    </xf>
    <xf numFmtId="49" fontId="13" fillId="0" borderId="9" xfId="13" applyNumberFormat="1" applyFont="1" applyBorder="1" applyAlignment="1">
      <alignment horizontal="center" wrapText="1"/>
    </xf>
    <xf numFmtId="49" fontId="13" fillId="0" borderId="1" xfId="13" applyNumberFormat="1" applyFont="1" applyBorder="1" applyAlignment="1">
      <alignment wrapText="1"/>
    </xf>
    <xf numFmtId="0" fontId="13" fillId="3" borderId="9" xfId="13" applyFont="1" applyFill="1" applyBorder="1" applyAlignment="1">
      <alignment horizontal="center"/>
    </xf>
    <xf numFmtId="0" fontId="13" fillId="0" borderId="9" xfId="13" applyFont="1" applyBorder="1" applyAlignment="1">
      <alignment horizontal="center"/>
    </xf>
    <xf numFmtId="0" fontId="13" fillId="0" borderId="9" xfId="13" applyFont="1" applyBorder="1"/>
    <xf numFmtId="0" fontId="13" fillId="3" borderId="9" xfId="13" applyFont="1" applyFill="1" applyBorder="1"/>
    <xf numFmtId="49" fontId="13" fillId="0" borderId="10" xfId="13" applyNumberFormat="1" applyFont="1" applyBorder="1" applyAlignment="1">
      <alignment horizontal="center" wrapText="1"/>
    </xf>
    <xf numFmtId="49" fontId="13" fillId="0" borderId="0" xfId="12" applyNumberFormat="1" applyFont="1" applyAlignment="1">
      <alignment horizontal="center" wrapText="1"/>
    </xf>
    <xf numFmtId="49" fontId="13" fillId="0" borderId="12" xfId="13" applyNumberFormat="1" applyFont="1" applyBorder="1" applyAlignment="1">
      <alignment horizontal="center" wrapText="1"/>
    </xf>
    <xf numFmtId="49" fontId="13" fillId="3" borderId="0" xfId="13" applyNumberFormat="1" applyFont="1" applyFill="1" applyAlignment="1">
      <alignment wrapText="1"/>
    </xf>
    <xf numFmtId="49" fontId="13" fillId="0" borderId="0" xfId="13" applyNumberFormat="1" applyFont="1" applyAlignment="1">
      <alignment horizontal="center" wrapText="1"/>
    </xf>
    <xf numFmtId="0" fontId="14" fillId="0" borderId="0" xfId="13" applyFont="1" applyAlignment="1">
      <alignment horizontal="center" wrapText="1"/>
    </xf>
    <xf numFmtId="49" fontId="13" fillId="0" borderId="13" xfId="13" applyNumberFormat="1" applyFont="1" applyBorder="1" applyAlignment="1">
      <alignment wrapText="1"/>
    </xf>
    <xf numFmtId="0" fontId="13" fillId="3" borderId="0" xfId="13" applyFont="1" applyFill="1" applyAlignment="1">
      <alignment horizontal="center"/>
    </xf>
    <xf numFmtId="0" fontId="13" fillId="0" borderId="0" xfId="13" applyFont="1" applyAlignment="1">
      <alignment horizontal="center"/>
    </xf>
    <xf numFmtId="0" fontId="13" fillId="0" borderId="0" xfId="13" applyFont="1"/>
    <xf numFmtId="0" fontId="13" fillId="3" borderId="0" xfId="13" applyFont="1" applyFill="1"/>
    <xf numFmtId="49" fontId="13" fillId="0" borderId="11" xfId="13" applyNumberFormat="1" applyFont="1" applyBorder="1" applyAlignment="1">
      <alignment horizontal="center" wrapText="1"/>
    </xf>
    <xf numFmtId="0" fontId="13" fillId="0" borderId="14" xfId="13" applyFont="1" applyBorder="1" applyAlignment="1">
      <alignment horizontal="center"/>
    </xf>
    <xf numFmtId="0" fontId="13" fillId="3" borderId="4" xfId="13" applyFont="1" applyFill="1" applyBorder="1"/>
    <xf numFmtId="0" fontId="13" fillId="0" borderId="4" xfId="13" applyFont="1" applyBorder="1"/>
    <xf numFmtId="0" fontId="13" fillId="0" borderId="14" xfId="13" applyFont="1" applyBorder="1"/>
    <xf numFmtId="0" fontId="13" fillId="0" borderId="5" xfId="13" applyFont="1" applyBorder="1"/>
    <xf numFmtId="0" fontId="13" fillId="0" borderId="13" xfId="13" applyFont="1" applyBorder="1" applyAlignment="1">
      <alignment horizontal="center"/>
    </xf>
    <xf numFmtId="5" fontId="15" fillId="0" borderId="0" xfId="13" applyNumberFormat="1" applyFont="1"/>
    <xf numFmtId="10" fontId="13" fillId="0" borderId="0" xfId="13" applyNumberFormat="1" applyFont="1"/>
    <xf numFmtId="10" fontId="15" fillId="0" borderId="0" xfId="13" applyNumberFormat="1" applyFont="1"/>
    <xf numFmtId="0" fontId="13" fillId="0" borderId="13" xfId="13" applyFont="1" applyBorder="1"/>
    <xf numFmtId="171" fontId="13" fillId="0" borderId="0" xfId="13" applyNumberFormat="1" applyFont="1" applyAlignment="1">
      <alignment horizontal="center"/>
    </xf>
    <xf numFmtId="10" fontId="13" fillId="0" borderId="11" xfId="13" applyNumberFormat="1" applyFont="1" applyBorder="1"/>
    <xf numFmtId="10" fontId="13" fillId="0" borderId="0" xfId="12" applyNumberFormat="1" applyFont="1"/>
    <xf numFmtId="49" fontId="13" fillId="0" borderId="0" xfId="13" applyNumberFormat="1" applyFont="1" applyAlignment="1">
      <alignment wrapText="1"/>
    </xf>
    <xf numFmtId="10" fontId="14" fillId="0" borderId="0" xfId="13" applyNumberFormat="1" applyFont="1"/>
    <xf numFmtId="171" fontId="14" fillId="0" borderId="0" xfId="13" applyNumberFormat="1" applyFont="1" applyAlignment="1">
      <alignment horizontal="center"/>
    </xf>
    <xf numFmtId="169" fontId="13" fillId="0" borderId="0" xfId="13" applyNumberFormat="1" applyFont="1"/>
    <xf numFmtId="169" fontId="16" fillId="0" borderId="0" xfId="13" applyNumberFormat="1" applyFont="1"/>
    <xf numFmtId="173" fontId="13" fillId="0" borderId="11" xfId="13" applyNumberFormat="1" applyFont="1" applyBorder="1"/>
    <xf numFmtId="173" fontId="13" fillId="0" borderId="0" xfId="12" applyNumberFormat="1" applyFont="1"/>
    <xf numFmtId="5" fontId="17" fillId="0" borderId="0" xfId="13" applyNumberFormat="1" applyFont="1"/>
    <xf numFmtId="10" fontId="18" fillId="0" borderId="0" xfId="13" applyNumberFormat="1" applyFont="1"/>
    <xf numFmtId="10" fontId="18" fillId="0" borderId="11" xfId="13" applyNumberFormat="1" applyFont="1" applyBorder="1" applyAlignment="1">
      <alignment horizontal="right" wrapText="1"/>
    </xf>
    <xf numFmtId="10" fontId="18" fillId="0" borderId="0" xfId="12" applyNumberFormat="1" applyFont="1" applyAlignment="1">
      <alignment horizontal="center" wrapText="1"/>
    </xf>
    <xf numFmtId="0" fontId="13" fillId="0" borderId="11" xfId="13" applyFont="1" applyBorder="1"/>
    <xf numFmtId="0" fontId="13" fillId="0" borderId="15" xfId="13" applyFont="1" applyBorder="1" applyAlignment="1">
      <alignment horizontal="center"/>
    </xf>
    <xf numFmtId="0" fontId="13" fillId="3" borderId="6" xfId="13" applyFont="1" applyFill="1" applyBorder="1"/>
    <xf numFmtId="0" fontId="13" fillId="0" borderId="6" xfId="13" applyFont="1" applyBorder="1"/>
    <xf numFmtId="0" fontId="13" fillId="0" borderId="15" xfId="13" applyFont="1" applyBorder="1"/>
    <xf numFmtId="0" fontId="13" fillId="0" borderId="7" xfId="13" applyFont="1" applyBorder="1"/>
    <xf numFmtId="0" fontId="13" fillId="0" borderId="0" xfId="12" applyFont="1" applyAlignment="1">
      <alignment horizontal="center"/>
    </xf>
    <xf numFmtId="0" fontId="19" fillId="0" borderId="0" xfId="12" applyFont="1" applyAlignment="1">
      <alignment horizontal="center"/>
    </xf>
    <xf numFmtId="170" fontId="13" fillId="0" borderId="0" xfId="9" applyNumberFormat="1" applyFont="1" applyFill="1" applyBorder="1"/>
    <xf numFmtId="170" fontId="13" fillId="0" borderId="0" xfId="9" applyNumberFormat="1" applyFont="1" applyFill="1" applyBorder="1" applyAlignment="1">
      <alignment horizontal="right"/>
    </xf>
    <xf numFmtId="170" fontId="13" fillId="0" borderId="0" xfId="9" applyNumberFormat="1" applyFont="1" applyFill="1" applyAlignment="1">
      <alignment horizontal="right"/>
    </xf>
    <xf numFmtId="172" fontId="13" fillId="0" borderId="0" xfId="13" applyNumberFormat="1" applyFont="1"/>
    <xf numFmtId="168" fontId="13" fillId="0" borderId="0" xfId="6" applyNumberFormat="1" applyFont="1" applyFill="1"/>
    <xf numFmtId="170" fontId="13" fillId="0" borderId="0" xfId="9" applyNumberFormat="1" applyFont="1" applyFill="1" applyAlignment="1">
      <alignment horizontal="right" vertical="center"/>
    </xf>
    <xf numFmtId="0" fontId="13" fillId="0" borderId="0" xfId="13" applyFont="1" applyAlignment="1">
      <alignment horizontal="right"/>
    </xf>
    <xf numFmtId="171" fontId="13" fillId="0" borderId="0" xfId="13" applyNumberFormat="1" applyFont="1"/>
    <xf numFmtId="171" fontId="13" fillId="0" borderId="0" xfId="13" applyNumberFormat="1" applyFont="1" applyAlignment="1">
      <alignment horizontal="right"/>
    </xf>
    <xf numFmtId="0" fontId="13" fillId="0" borderId="0" xfId="4" applyFont="1"/>
    <xf numFmtId="49" fontId="18" fillId="0" borderId="0" xfId="12" applyNumberFormat="1" applyFont="1"/>
    <xf numFmtId="49" fontId="7" fillId="0" borderId="0" xfId="12" applyNumberFormat="1" applyFont="1"/>
    <xf numFmtId="0" fontId="7" fillId="0" borderId="0" xfId="4" applyFont="1" applyAlignment="1">
      <alignment horizontal="center"/>
    </xf>
    <xf numFmtId="0" fontId="13" fillId="0" borderId="0" xfId="4" applyFont="1" applyAlignment="1">
      <alignment horizontal="center" vertical="center"/>
    </xf>
    <xf numFmtId="0" fontId="13" fillId="0" borderId="0" xfId="12" applyFont="1" applyAlignment="1">
      <alignment horizontal="center" vertical="center"/>
    </xf>
    <xf numFmtId="0" fontId="13" fillId="0" borderId="0" xfId="12" applyFont="1" applyAlignment="1">
      <alignment horizontal="left" wrapText="1"/>
    </xf>
    <xf numFmtId="0" fontId="18" fillId="0" borderId="0" xfId="13" applyFont="1" applyAlignment="1">
      <alignment horizontal="center" vertical="center"/>
    </xf>
    <xf numFmtId="37" fontId="13" fillId="0" borderId="0" xfId="13" applyNumberFormat="1" applyFont="1" applyAlignment="1">
      <alignment horizontal="center"/>
    </xf>
    <xf numFmtId="0" fontId="5" fillId="5" borderId="0" xfId="0" applyFont="1" applyFill="1"/>
    <xf numFmtId="169" fontId="9" fillId="0" borderId="0" xfId="1" applyNumberFormat="1" applyFont="1" applyFill="1" applyAlignment="1">
      <alignment horizontal="center"/>
    </xf>
    <xf numFmtId="9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2" applyFont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6" borderId="0" xfId="2" quotePrefix="1" applyFont="1" applyFill="1"/>
    <xf numFmtId="0" fontId="5" fillId="6" borderId="0" xfId="2" applyFont="1" applyFill="1"/>
    <xf numFmtId="6" fontId="5" fillId="6" borderId="0" xfId="2" applyNumberFormat="1" applyFont="1" applyFill="1"/>
    <xf numFmtId="0" fontId="6" fillId="6" borderId="0" xfId="2" applyFont="1" applyFill="1"/>
    <xf numFmtId="6" fontId="5" fillId="6" borderId="0" xfId="2" applyNumberFormat="1" applyFont="1" applyFill="1" applyAlignment="1">
      <alignment horizontal="center" vertical="center" wrapText="1"/>
    </xf>
    <xf numFmtId="10" fontId="5" fillId="6" borderId="0" xfId="1" applyNumberFormat="1" applyFont="1" applyFill="1" applyBorder="1" applyAlignment="1">
      <alignment horizontal="center"/>
    </xf>
    <xf numFmtId="165" fontId="5" fillId="6" borderId="0" xfId="3" applyNumberFormat="1" applyFont="1" applyFill="1" applyBorder="1"/>
    <xf numFmtId="37" fontId="13" fillId="0" borderId="13" xfId="4" applyNumberFormat="1" applyFont="1" applyBorder="1" applyAlignment="1">
      <alignment horizontal="center"/>
    </xf>
    <xf numFmtId="0" fontId="13" fillId="0" borderId="13" xfId="4" applyFont="1" applyBorder="1"/>
    <xf numFmtId="5" fontId="13" fillId="0" borderId="13" xfId="4" applyNumberFormat="1" applyFont="1" applyBorder="1"/>
    <xf numFmtId="37" fontId="13" fillId="0" borderId="13" xfId="4" applyNumberFormat="1" applyFont="1" applyBorder="1" applyAlignment="1">
      <alignment horizontal="center" wrapText="1"/>
    </xf>
    <xf numFmtId="9" fontId="13" fillId="0" borderId="13" xfId="1" applyFont="1" applyFill="1" applyBorder="1"/>
    <xf numFmtId="10" fontId="13" fillId="0" borderId="13" xfId="1" applyNumberFormat="1" applyFont="1" applyFill="1" applyBorder="1"/>
    <xf numFmtId="0" fontId="13" fillId="0" borderId="13" xfId="4" applyFont="1" applyBorder="1" applyAlignment="1">
      <alignment horizontal="center"/>
    </xf>
    <xf numFmtId="168" fontId="13" fillId="0" borderId="13" xfId="6" applyNumberFormat="1" applyFont="1" applyFill="1" applyBorder="1" applyAlignment="1">
      <alignment horizontal="right"/>
    </xf>
    <xf numFmtId="0" fontId="13" fillId="0" borderId="13" xfId="4" applyFont="1" applyBorder="1" applyAlignment="1">
      <alignment horizontal="center" wrapText="1"/>
    </xf>
    <xf numFmtId="10" fontId="5" fillId="0" borderId="13" xfId="1" applyNumberFormat="1" applyFont="1" applyFill="1" applyBorder="1" applyAlignment="1">
      <alignment horizontal="right"/>
    </xf>
    <xf numFmtId="44" fontId="5" fillId="0" borderId="13" xfId="1" applyNumberFormat="1" applyFont="1" applyFill="1" applyBorder="1" applyAlignment="1">
      <alignment horizontal="right"/>
    </xf>
    <xf numFmtId="37" fontId="13" fillId="0" borderId="15" xfId="4" applyNumberFormat="1" applyFont="1" applyBorder="1" applyAlignment="1">
      <alignment horizontal="center"/>
    </xf>
    <xf numFmtId="37" fontId="13" fillId="0" borderId="15" xfId="4" applyNumberFormat="1" applyFont="1" applyBorder="1" applyAlignment="1">
      <alignment horizontal="right"/>
    </xf>
    <xf numFmtId="37" fontId="13" fillId="0" borderId="6" xfId="4" applyNumberFormat="1" applyFont="1" applyBorder="1" applyAlignment="1">
      <alignment horizontal="right"/>
    </xf>
    <xf numFmtId="43" fontId="5" fillId="0" borderId="0" xfId="10" applyFont="1"/>
    <xf numFmtId="175" fontId="5" fillId="0" borderId="0" xfId="10" applyNumberFormat="1" applyFont="1"/>
    <xf numFmtId="0" fontId="1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3" fontId="5" fillId="0" borderId="0" xfId="10" applyFont="1" applyFill="1"/>
    <xf numFmtId="3" fontId="5" fillId="0" borderId="0" xfId="0" applyNumberFormat="1" applyFont="1"/>
    <xf numFmtId="176" fontId="5" fillId="0" borderId="0" xfId="0" applyNumberFormat="1" applyFont="1"/>
    <xf numFmtId="0" fontId="5" fillId="2" borderId="0" xfId="0" applyFont="1" applyFill="1"/>
    <xf numFmtId="43" fontId="5" fillId="2" borderId="0" xfId="10" applyFont="1" applyFill="1"/>
    <xf numFmtId="175" fontId="5" fillId="2" borderId="0" xfId="10" applyNumberFormat="1" applyFont="1" applyFill="1"/>
    <xf numFmtId="44" fontId="5" fillId="2" borderId="0" xfId="11" applyFont="1" applyFill="1"/>
    <xf numFmtId="43" fontId="5" fillId="0" borderId="0" xfId="10" applyFont="1" applyFill="1" applyBorder="1"/>
    <xf numFmtId="0" fontId="5" fillId="0" borderId="4" xfId="0" applyFont="1" applyBorder="1"/>
    <xf numFmtId="43" fontId="5" fillId="0" borderId="4" xfId="10" applyFont="1" applyFill="1" applyBorder="1"/>
    <xf numFmtId="0" fontId="5" fillId="0" borderId="5" xfId="0" applyFont="1" applyBorder="1"/>
    <xf numFmtId="0" fontId="5" fillId="0" borderId="11" xfId="0" applyFont="1" applyBorder="1"/>
    <xf numFmtId="0" fontId="5" fillId="5" borderId="12" xfId="0" applyFont="1" applyFill="1" applyBorder="1"/>
    <xf numFmtId="43" fontId="5" fillId="5" borderId="0" xfId="10" applyFont="1" applyFill="1" applyBorder="1"/>
    <xf numFmtId="175" fontId="5" fillId="5" borderId="0" xfId="10" applyNumberFormat="1" applyFont="1" applyFill="1" applyBorder="1"/>
    <xf numFmtId="44" fontId="5" fillId="5" borderId="0" xfId="11" applyFont="1" applyFill="1" applyBorder="1"/>
    <xf numFmtId="175" fontId="5" fillId="5" borderId="11" xfId="10" applyNumberFormat="1" applyFont="1" applyFill="1" applyBorder="1"/>
    <xf numFmtId="0" fontId="5" fillId="5" borderId="17" xfId="0" applyFont="1" applyFill="1" applyBorder="1"/>
    <xf numFmtId="0" fontId="5" fillId="5" borderId="6" xfId="0" applyFont="1" applyFill="1" applyBorder="1"/>
    <xf numFmtId="43" fontId="5" fillId="5" borderId="6" xfId="10" applyFont="1" applyFill="1" applyBorder="1"/>
    <xf numFmtId="175" fontId="5" fillId="5" borderId="6" xfId="10" applyNumberFormat="1" applyFont="1" applyFill="1" applyBorder="1"/>
    <xf numFmtId="44" fontId="5" fillId="5" borderId="6" xfId="11" applyFont="1" applyFill="1" applyBorder="1"/>
    <xf numFmtId="175" fontId="5" fillId="5" borderId="7" xfId="10" applyNumberFormat="1" applyFont="1" applyFill="1" applyBorder="1"/>
    <xf numFmtId="175" fontId="5" fillId="0" borderId="0" xfId="0" applyNumberFormat="1" applyFont="1"/>
    <xf numFmtId="43" fontId="5" fillId="0" borderId="0" xfId="0" applyNumberFormat="1" applyFont="1"/>
    <xf numFmtId="175" fontId="5" fillId="0" borderId="0" xfId="9" applyNumberFormat="1" applyFont="1" applyFill="1"/>
    <xf numFmtId="176" fontId="5" fillId="0" borderId="0" xfId="9" applyNumberFormat="1" applyFont="1" applyFill="1"/>
    <xf numFmtId="0" fontId="13" fillId="0" borderId="0" xfId="4" applyFont="1" applyBorder="1"/>
    <xf numFmtId="49" fontId="13" fillId="0" borderId="0" xfId="4" applyNumberFormat="1" applyFont="1" applyBorder="1" applyAlignment="1">
      <alignment wrapText="1"/>
    </xf>
    <xf numFmtId="0" fontId="0" fillId="0" borderId="0" xfId="0" applyAlignment="1">
      <alignment vertical="center"/>
    </xf>
    <xf numFmtId="0" fontId="18" fillId="0" borderId="8" xfId="4" applyFont="1" applyBorder="1" applyAlignment="1">
      <alignment horizontal="center" vertical="center" wrapText="1"/>
    </xf>
    <xf numFmtId="0" fontId="18" fillId="0" borderId="9" xfId="4" applyFont="1" applyBorder="1" applyAlignment="1">
      <alignment horizontal="center" vertical="center" wrapText="1"/>
    </xf>
    <xf numFmtId="0" fontId="18" fillId="0" borderId="10" xfId="4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43" fontId="6" fillId="0" borderId="0" xfId="0" applyNumberFormat="1" applyFont="1"/>
    <xf numFmtId="165" fontId="13" fillId="0" borderId="13" xfId="4" applyNumberFormat="1" applyFont="1" applyFill="1" applyBorder="1" applyAlignment="1">
      <alignment horizontal="right"/>
    </xf>
    <xf numFmtId="0" fontId="6" fillId="0" borderId="3" xfId="2" quotePrefix="1" applyFont="1" applyFill="1" applyBorder="1"/>
    <xf numFmtId="0" fontId="5" fillId="0" borderId="3" xfId="2" applyFont="1" applyFill="1" applyBorder="1"/>
    <xf numFmtId="0" fontId="6" fillId="0" borderId="3" xfId="2" applyFont="1" applyFill="1" applyBorder="1"/>
    <xf numFmtId="6" fontId="5" fillId="0" borderId="3" xfId="2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>
      <alignment vertical="center"/>
    </xf>
    <xf numFmtId="3" fontId="5" fillId="0" borderId="0" xfId="0" applyNumberFormat="1" applyFont="1" applyFill="1"/>
    <xf numFmtId="176" fontId="5" fillId="0" borderId="0" xfId="0" applyNumberFormat="1" applyFont="1" applyFill="1"/>
    <xf numFmtId="0" fontId="13" fillId="0" borderId="0" xfId="0" applyFont="1" applyFill="1"/>
    <xf numFmtId="175" fontId="5" fillId="0" borderId="0" xfId="0" applyNumberFormat="1" applyFont="1" applyFill="1"/>
    <xf numFmtId="0" fontId="5" fillId="0" borderId="12" xfId="0" applyFont="1" applyFill="1" applyBorder="1"/>
    <xf numFmtId="0" fontId="5" fillId="0" borderId="16" xfId="0" applyFont="1" applyFill="1" applyBorder="1"/>
    <xf numFmtId="0" fontId="5" fillId="0" borderId="4" xfId="0" applyFont="1" applyFill="1" applyBorder="1"/>
    <xf numFmtId="3" fontId="5" fillId="0" borderId="4" xfId="0" applyNumberFormat="1" applyFont="1" applyFill="1" applyBorder="1"/>
    <xf numFmtId="176" fontId="5" fillId="0" borderId="4" xfId="0" applyNumberFormat="1" applyFont="1" applyFill="1" applyBorder="1"/>
    <xf numFmtId="0" fontId="13" fillId="0" borderId="13" xfId="4" applyFont="1" applyFill="1" applyBorder="1"/>
    <xf numFmtId="9" fontId="5" fillId="0" borderId="0" xfId="1" applyFont="1" applyFill="1"/>
    <xf numFmtId="164" fontId="6" fillId="0" borderId="0" xfId="2" applyNumberFormat="1" applyFont="1" applyAlignment="1">
      <alignment horizontal="center"/>
    </xf>
    <xf numFmtId="164" fontId="6" fillId="0" borderId="0" xfId="2" applyNumberFormat="1" applyFont="1" applyFill="1" applyAlignment="1">
      <alignment horizontal="center"/>
    </xf>
    <xf numFmtId="0" fontId="21" fillId="0" borderId="0" xfId="2" applyFont="1"/>
    <xf numFmtId="165" fontId="5" fillId="0" borderId="0" xfId="3" quotePrefix="1" applyNumberFormat="1" applyFont="1" applyFill="1" applyBorder="1"/>
    <xf numFmtId="0" fontId="21" fillId="0" borderId="0" xfId="2" applyFont="1" applyAlignment="1">
      <alignment horizontal="left"/>
    </xf>
    <xf numFmtId="0" fontId="6" fillId="0" borderId="0" xfId="2" applyFont="1" applyAlignment="1">
      <alignment horizontal="center" wrapText="1"/>
    </xf>
    <xf numFmtId="0" fontId="8" fillId="0" borderId="0" xfId="2" applyFont="1" applyFill="1" applyBorder="1" applyAlignment="1">
      <alignment horizontal="center" vertical="center"/>
    </xf>
    <xf numFmtId="44" fontId="5" fillId="0" borderId="0" xfId="11" applyFont="1"/>
    <xf numFmtId="44" fontId="5" fillId="0" borderId="0" xfId="2" applyNumberFormat="1" applyFont="1" applyFill="1" applyBorder="1"/>
    <xf numFmtId="174" fontId="5" fillId="0" borderId="0" xfId="2" applyNumberFormat="1" applyFont="1" applyFill="1" applyBorder="1"/>
    <xf numFmtId="174" fontId="5" fillId="0" borderId="3" xfId="2" applyNumberFormat="1" applyFont="1" applyFill="1" applyBorder="1"/>
    <xf numFmtId="174" fontId="5" fillId="0" borderId="0" xfId="2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Alignment="1">
      <alignment horizontal="center"/>
    </xf>
    <xf numFmtId="0" fontId="6" fillId="0" borderId="0" xfId="2" applyFont="1" applyAlignment="1">
      <alignment horizontal="center" wrapText="1"/>
    </xf>
    <xf numFmtId="6" fontId="5" fillId="0" borderId="0" xfId="2" applyNumberFormat="1" applyFont="1" applyAlignment="1">
      <alignment horizontal="center" vertical="center" wrapText="1"/>
    </xf>
    <xf numFmtId="165" fontId="6" fillId="4" borderId="3" xfId="3" applyNumberFormat="1" applyFont="1" applyFill="1" applyBorder="1"/>
    <xf numFmtId="165" fontId="6" fillId="7" borderId="1" xfId="3" applyNumberFormat="1" applyFont="1" applyFill="1" applyBorder="1"/>
    <xf numFmtId="165" fontId="6" fillId="7" borderId="1" xfId="2" applyNumberFormat="1" applyFont="1" applyFill="1" applyBorder="1" applyAlignment="1">
      <alignment vertical="center"/>
    </xf>
    <xf numFmtId="0" fontId="13" fillId="0" borderId="0" xfId="4" applyFont="1" applyFill="1"/>
    <xf numFmtId="177" fontId="5" fillId="2" borderId="0" xfId="10" applyNumberFormat="1" applyFont="1" applyFill="1"/>
    <xf numFmtId="6" fontId="5" fillId="0" borderId="0" xfId="2" applyNumberFormat="1" applyFont="1"/>
    <xf numFmtId="0" fontId="22" fillId="8" borderId="16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3" fillId="9" borderId="24" xfId="0" applyFont="1" applyFill="1" applyBorder="1" applyAlignment="1">
      <alignment horizontal="center" vertical="center"/>
    </xf>
    <xf numFmtId="6" fontId="24" fillId="0" borderId="25" xfId="0" applyNumberFormat="1" applyFont="1" applyBorder="1" applyAlignment="1">
      <alignment horizontal="center" vertical="center"/>
    </xf>
    <xf numFmtId="6" fontId="24" fillId="0" borderId="26" xfId="0" applyNumberFormat="1" applyFont="1" applyBorder="1" applyAlignment="1">
      <alignment horizontal="center" vertical="center"/>
    </xf>
    <xf numFmtId="0" fontId="23" fillId="9" borderId="17" xfId="0" applyFont="1" applyFill="1" applyBorder="1" applyAlignment="1">
      <alignment horizontal="center" vertical="center"/>
    </xf>
    <xf numFmtId="6" fontId="24" fillId="0" borderId="15" xfId="0" applyNumberFormat="1" applyFont="1" applyBorder="1" applyAlignment="1">
      <alignment horizontal="center" vertical="center"/>
    </xf>
    <xf numFmtId="6" fontId="24" fillId="0" borderId="7" xfId="0" applyNumberFormat="1" applyFont="1" applyBorder="1" applyAlignment="1">
      <alignment horizontal="center" vertical="center"/>
    </xf>
    <xf numFmtId="0" fontId="23" fillId="9" borderId="27" xfId="0" applyFont="1" applyFill="1" applyBorder="1" applyAlignment="1">
      <alignment horizontal="center" vertical="center"/>
    </xf>
    <xf numFmtId="6" fontId="23" fillId="0" borderId="15" xfId="0" applyNumberFormat="1" applyFont="1" applyBorder="1" applyAlignment="1">
      <alignment horizontal="center" vertical="center"/>
    </xf>
    <xf numFmtId="6" fontId="23" fillId="0" borderId="1" xfId="0" applyNumberFormat="1" applyFont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0" fontId="0" fillId="10" borderId="0" xfId="0" applyFill="1"/>
    <xf numFmtId="174" fontId="5" fillId="0" borderId="0" xfId="11" applyNumberFormat="1" applyFont="1"/>
    <xf numFmtId="174" fontId="5" fillId="0" borderId="0" xfId="2" applyNumberFormat="1" applyFont="1"/>
    <xf numFmtId="174" fontId="5" fillId="0" borderId="0" xfId="2" applyNumberFormat="1" applyFont="1" applyFill="1" applyAlignment="1">
      <alignment horizontal="center" vertical="center" wrapText="1"/>
    </xf>
    <xf numFmtId="1" fontId="5" fillId="0" borderId="0" xfId="1" applyNumberFormat="1" applyFont="1" applyFill="1"/>
    <xf numFmtId="0" fontId="5" fillId="0" borderId="0" xfId="10" applyNumberFormat="1" applyFont="1" applyFill="1"/>
    <xf numFmtId="0" fontId="6" fillId="0" borderId="0" xfId="2" applyFont="1" applyBorder="1"/>
    <xf numFmtId="0" fontId="5" fillId="0" borderId="0" xfId="2" applyFont="1" applyBorder="1"/>
    <xf numFmtId="0" fontId="6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64" fontId="6" fillId="0" borderId="31" xfId="2" applyNumberFormat="1" applyFont="1" applyBorder="1" applyAlignment="1">
      <alignment horizontal="center"/>
    </xf>
    <xf numFmtId="164" fontId="6" fillId="0" borderId="0" xfId="2" applyNumberFormat="1" applyFont="1" applyBorder="1" applyAlignment="1">
      <alignment horizontal="center"/>
    </xf>
    <xf numFmtId="164" fontId="6" fillId="0" borderId="32" xfId="2" applyNumberFormat="1" applyFont="1" applyBorder="1" applyAlignment="1">
      <alignment horizontal="center"/>
    </xf>
    <xf numFmtId="174" fontId="5" fillId="6" borderId="31" xfId="2" applyNumberFormat="1" applyFont="1" applyFill="1" applyBorder="1"/>
    <xf numFmtId="0" fontId="6" fillId="6" borderId="0" xfId="2" applyFont="1" applyFill="1" applyBorder="1"/>
    <xf numFmtId="6" fontId="5" fillId="6" borderId="0" xfId="2" applyNumberFormat="1" applyFont="1" applyFill="1" applyBorder="1" applyAlignment="1">
      <alignment horizontal="center" vertical="center" wrapText="1"/>
    </xf>
    <xf numFmtId="0" fontId="5" fillId="6" borderId="0" xfId="2" applyFont="1" applyFill="1" applyBorder="1"/>
    <xf numFmtId="6" fontId="5" fillId="6" borderId="32" xfId="2" applyNumberFormat="1" applyFont="1" applyFill="1" applyBorder="1" applyAlignment="1">
      <alignment horizontal="center" vertical="center" wrapText="1"/>
    </xf>
    <xf numFmtId="174" fontId="5" fillId="0" borderId="31" xfId="2" applyNumberFormat="1" applyFont="1" applyFill="1" applyBorder="1"/>
    <xf numFmtId="6" fontId="5" fillId="0" borderId="32" xfId="2" applyNumberFormat="1" applyFont="1" applyFill="1" applyBorder="1" applyAlignment="1">
      <alignment horizontal="center" vertical="center" wrapText="1"/>
    </xf>
    <xf numFmtId="174" fontId="5" fillId="0" borderId="33" xfId="2" applyNumberFormat="1" applyFont="1" applyFill="1" applyBorder="1"/>
    <xf numFmtId="0" fontId="5" fillId="0" borderId="3" xfId="2" applyFont="1" applyBorder="1"/>
    <xf numFmtId="6" fontId="5" fillId="0" borderId="34" xfId="2" applyNumberFormat="1" applyFont="1" applyFill="1" applyBorder="1" applyAlignment="1">
      <alignment horizontal="center" vertical="center" wrapText="1"/>
    </xf>
    <xf numFmtId="6" fontId="5" fillId="6" borderId="31" xfId="2" applyNumberFormat="1" applyFont="1" applyFill="1" applyBorder="1" applyAlignment="1">
      <alignment horizontal="center" vertical="center" wrapText="1"/>
    </xf>
    <xf numFmtId="6" fontId="5" fillId="0" borderId="31" xfId="2" applyNumberFormat="1" applyFont="1" applyFill="1" applyBorder="1" applyAlignment="1">
      <alignment horizontal="center" vertical="center" wrapText="1"/>
    </xf>
    <xf numFmtId="6" fontId="5" fillId="0" borderId="33" xfId="2" applyNumberFormat="1" applyFont="1" applyFill="1" applyBorder="1" applyAlignment="1">
      <alignment horizontal="center" vertical="center" wrapText="1"/>
    </xf>
    <xf numFmtId="0" fontId="18" fillId="0" borderId="8" xfId="4" applyFont="1" applyFill="1" applyBorder="1" applyAlignment="1">
      <alignment horizontal="center" vertical="center" wrapText="1"/>
    </xf>
    <xf numFmtId="0" fontId="13" fillId="0" borderId="22" xfId="4" applyFont="1" applyFill="1" applyBorder="1"/>
    <xf numFmtId="0" fontId="13" fillId="0" borderId="19" xfId="4" applyFont="1" applyFill="1" applyBorder="1"/>
    <xf numFmtId="0" fontId="13" fillId="0" borderId="20" xfId="4" applyFont="1" applyFill="1" applyBorder="1"/>
    <xf numFmtId="0" fontId="18" fillId="0" borderId="9" xfId="4" applyFont="1" applyFill="1" applyBorder="1" applyAlignment="1">
      <alignment horizontal="center" vertical="center" wrapText="1"/>
    </xf>
    <xf numFmtId="0" fontId="18" fillId="0" borderId="10" xfId="4" applyFont="1" applyFill="1" applyBorder="1" applyAlignment="1">
      <alignment horizontal="center" vertical="center" wrapText="1"/>
    </xf>
    <xf numFmtId="10" fontId="13" fillId="0" borderId="21" xfId="4" applyNumberFormat="1" applyFont="1" applyFill="1" applyBorder="1" applyAlignment="1">
      <alignment horizontal="center" vertical="center"/>
    </xf>
    <xf numFmtId="175" fontId="13" fillId="0" borderId="21" xfId="10" applyNumberFormat="1" applyFont="1" applyFill="1" applyBorder="1" applyAlignment="1">
      <alignment horizontal="center" vertical="center"/>
    </xf>
    <xf numFmtId="175" fontId="13" fillId="0" borderId="21" xfId="10" applyNumberFormat="1" applyFont="1" applyFill="1" applyBorder="1" applyAlignment="1">
      <alignment horizontal="left"/>
    </xf>
    <xf numFmtId="1" fontId="13" fillId="0" borderId="21" xfId="4" applyNumberFormat="1" applyFont="1" applyFill="1" applyBorder="1"/>
    <xf numFmtId="44" fontId="13" fillId="0" borderId="21" xfId="4" applyNumberFormat="1" applyFont="1" applyFill="1" applyBorder="1"/>
    <xf numFmtId="175" fontId="13" fillId="0" borderId="2" xfId="10" applyNumberFormat="1" applyFont="1" applyFill="1" applyBorder="1" applyAlignment="1">
      <alignment horizontal="left"/>
    </xf>
    <xf numFmtId="1" fontId="13" fillId="0" borderId="2" xfId="4" applyNumberFormat="1" applyFont="1" applyFill="1" applyBorder="1"/>
    <xf numFmtId="44" fontId="13" fillId="0" borderId="2" xfId="4" applyNumberFormat="1" applyFont="1" applyFill="1" applyBorder="1"/>
    <xf numFmtId="175" fontId="13" fillId="0" borderId="2" xfId="10" applyNumberFormat="1" applyFont="1" applyFill="1" applyBorder="1"/>
    <xf numFmtId="175" fontId="13" fillId="0" borderId="38" xfId="10" applyNumberFormat="1" applyFont="1" applyFill="1" applyBorder="1" applyAlignment="1">
      <alignment horizontal="center" vertical="center"/>
    </xf>
    <xf numFmtId="175" fontId="13" fillId="0" borderId="18" xfId="10" applyNumberFormat="1" applyFont="1" applyFill="1" applyBorder="1" applyAlignment="1">
      <alignment horizontal="left"/>
    </xf>
    <xf numFmtId="1" fontId="13" fillId="0" borderId="18" xfId="4" applyNumberFormat="1" applyFont="1" applyFill="1" applyBorder="1"/>
    <xf numFmtId="44" fontId="13" fillId="0" borderId="18" xfId="4" applyNumberFormat="1" applyFont="1" applyFill="1" applyBorder="1"/>
    <xf numFmtId="44" fontId="13" fillId="0" borderId="21" xfId="11" applyFont="1" applyFill="1" applyBorder="1"/>
    <xf numFmtId="44" fontId="13" fillId="0" borderId="2" xfId="11" applyFont="1" applyFill="1" applyBorder="1"/>
    <xf numFmtId="10" fontId="5" fillId="0" borderId="23" xfId="1" applyNumberFormat="1" applyFont="1" applyFill="1" applyBorder="1" applyAlignment="1">
      <alignment horizontal="center"/>
    </xf>
    <xf numFmtId="44" fontId="13" fillId="0" borderId="18" xfId="11" applyFont="1" applyFill="1" applyBorder="1"/>
    <xf numFmtId="5" fontId="13" fillId="0" borderId="21" xfId="4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164" fontId="6" fillId="0" borderId="31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164" fontId="6" fillId="0" borderId="32" xfId="2" applyNumberFormat="1" applyFont="1" applyFill="1" applyBorder="1" applyAlignment="1">
      <alignment horizontal="center"/>
    </xf>
    <xf numFmtId="167" fontId="5" fillId="0" borderId="0" xfId="1" applyNumberFormat="1" applyFont="1" applyFill="1" applyAlignment="1">
      <alignment horizontal="center"/>
    </xf>
    <xf numFmtId="10" fontId="5" fillId="0" borderId="0" xfId="1" applyNumberFormat="1" applyFont="1" applyFill="1"/>
    <xf numFmtId="0" fontId="5" fillId="0" borderId="0" xfId="0" quotePrefix="1" applyFont="1" applyFill="1"/>
    <xf numFmtId="174" fontId="5" fillId="0" borderId="0" xfId="11" applyNumberFormat="1" applyFont="1" applyFill="1"/>
    <xf numFmtId="0" fontId="20" fillId="6" borderId="6" xfId="0" applyFont="1" applyFill="1" applyBorder="1" applyAlignment="1">
      <alignment horizontal="center" vertical="center"/>
    </xf>
    <xf numFmtId="5" fontId="13" fillId="0" borderId="2" xfId="4" applyNumberFormat="1" applyFont="1" applyFill="1" applyBorder="1" applyAlignment="1">
      <alignment horizontal="center" vertical="center"/>
    </xf>
    <xf numFmtId="5" fontId="13" fillId="0" borderId="18" xfId="4" applyNumberFormat="1" applyFont="1" applyFill="1" applyBorder="1" applyAlignment="1">
      <alignment horizontal="center" vertical="center"/>
    </xf>
    <xf numFmtId="10" fontId="13" fillId="0" borderId="2" xfId="4" applyNumberFormat="1" applyFont="1" applyFill="1" applyBorder="1" applyAlignment="1">
      <alignment horizontal="center" vertical="center"/>
    </xf>
    <xf numFmtId="10" fontId="5" fillId="0" borderId="35" xfId="1" applyNumberFormat="1" applyFont="1" applyFill="1" applyBorder="1" applyAlignment="1">
      <alignment horizontal="center" vertical="center"/>
    </xf>
    <xf numFmtId="10" fontId="5" fillId="0" borderId="36" xfId="1" applyNumberFormat="1" applyFont="1" applyFill="1" applyBorder="1" applyAlignment="1">
      <alignment horizontal="center" vertical="center"/>
    </xf>
    <xf numFmtId="10" fontId="5" fillId="0" borderId="37" xfId="1" applyNumberFormat="1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25" fillId="0" borderId="28" xfId="2" applyFont="1" applyBorder="1" applyAlignment="1">
      <alignment horizontal="center"/>
    </xf>
    <xf numFmtId="0" fontId="25" fillId="0" borderId="29" xfId="2" applyFont="1" applyBorder="1" applyAlignment="1">
      <alignment horizontal="center"/>
    </xf>
    <xf numFmtId="0" fontId="25" fillId="0" borderId="30" xfId="2" applyFont="1" applyBorder="1" applyAlignment="1">
      <alignment horizontal="center"/>
    </xf>
    <xf numFmtId="0" fontId="25" fillId="0" borderId="28" xfId="2" applyFont="1" applyFill="1" applyBorder="1" applyAlignment="1">
      <alignment horizontal="center"/>
    </xf>
    <xf numFmtId="0" fontId="25" fillId="0" borderId="29" xfId="2" applyFont="1" applyFill="1" applyBorder="1" applyAlignment="1">
      <alignment horizontal="center"/>
    </xf>
    <xf numFmtId="0" fontId="25" fillId="0" borderId="3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wrapText="1"/>
    </xf>
    <xf numFmtId="0" fontId="6" fillId="0" borderId="0" xfId="2" applyFont="1" applyAlignment="1">
      <alignment horizontal="center" wrapText="1"/>
    </xf>
    <xf numFmtId="0" fontId="6" fillId="0" borderId="31" xfId="2" applyFont="1" applyFill="1" applyBorder="1" applyAlignment="1">
      <alignment horizontal="center" wrapText="1"/>
    </xf>
    <xf numFmtId="0" fontId="6" fillId="0" borderId="0" xfId="2" applyFont="1" applyBorder="1" applyAlignment="1">
      <alignment horizontal="center" wrapText="1"/>
    </xf>
    <xf numFmtId="0" fontId="6" fillId="0" borderId="32" xfId="2" applyFont="1" applyBorder="1" applyAlignment="1">
      <alignment horizontal="center" wrapText="1"/>
    </xf>
    <xf numFmtId="9" fontId="6" fillId="0" borderId="0" xfId="2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49" fontId="18" fillId="0" borderId="0" xfId="12" applyNumberFormat="1" applyFont="1" applyAlignment="1">
      <alignment horizontal="center"/>
    </xf>
    <xf numFmtId="49" fontId="7" fillId="0" borderId="0" xfId="12" applyNumberFormat="1" applyFont="1" applyAlignment="1">
      <alignment horizontal="center"/>
    </xf>
    <xf numFmtId="0" fontId="13" fillId="0" borderId="0" xfId="12" applyFont="1" applyAlignment="1">
      <alignment horizontal="left" wrapText="1"/>
    </xf>
    <xf numFmtId="0" fontId="13" fillId="0" borderId="0" xfId="13" applyFont="1" applyAlignment="1">
      <alignment horizontal="left" wrapText="1"/>
    </xf>
  </cellXfs>
  <cellStyles count="17">
    <cellStyle name="Comma" xfId="10" builtinId="3"/>
    <cellStyle name="Comma 10" xfId="5" xr:uid="{00000000-0005-0000-0000-000001000000}"/>
    <cellStyle name="Comma 2" xfId="9" xr:uid="{00000000-0005-0000-0000-000002000000}"/>
    <cellStyle name="Comma 2 2" xfId="16" xr:uid="{6B3B7284-F1A8-4067-A208-0F2607A0B323}"/>
    <cellStyle name="Currency" xfId="11" builtinId="4"/>
    <cellStyle name="Currency 2" xfId="3" xr:uid="{00000000-0005-0000-0000-000004000000}"/>
    <cellStyle name="Currency 2 2" xfId="8" xr:uid="{00000000-0005-0000-0000-000005000000}"/>
    <cellStyle name="Normal" xfId="0" builtinId="0"/>
    <cellStyle name="Normal 2" xfId="2" xr:uid="{00000000-0005-0000-0000-000007000000}"/>
    <cellStyle name="Normal 2 2" xfId="13" xr:uid="{00000000-0005-0000-0000-000008000000}"/>
    <cellStyle name="Normal 2 2 2" xfId="4" xr:uid="{00000000-0005-0000-0000-000009000000}"/>
    <cellStyle name="Normal 3" xfId="12" xr:uid="{00000000-0005-0000-0000-00000A000000}"/>
    <cellStyle name="Normal 4" xfId="7" xr:uid="{00000000-0005-0000-0000-00000B000000}"/>
    <cellStyle name="Normal 5" xfId="14" xr:uid="{00000000-0005-0000-0000-00000C000000}"/>
    <cellStyle name="Percent" xfId="1" builtinId="5"/>
    <cellStyle name="Percent 10" xfId="6" xr:uid="{00000000-0005-0000-0000-00000E000000}"/>
    <cellStyle name="Percent 10 2" xfId="15" xr:uid="{161495AC-FA99-4834-B5EB-5A26D3AE67F0}"/>
  </cellStyles>
  <dxfs count="0"/>
  <tableStyles count="0" defaultTableStyle="TableStyleMedium2" defaultPivotStyle="PivotStyleLight16"/>
  <colors>
    <mruColors>
      <color rgb="FFCCFFFF"/>
      <color rgb="FFFFFFCC"/>
      <color rgb="FFFFCCFF"/>
      <color rgb="FF0000FF"/>
      <color rgb="FFEAE1FB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91093-8923-432D-9CB1-309A92162CA7}">
  <sheetPr>
    <pageSetUpPr fitToPage="1"/>
  </sheetPr>
  <dimension ref="A1:R21"/>
  <sheetViews>
    <sheetView showGridLines="0" tabSelected="1" zoomScaleNormal="100" workbookViewId="0">
      <selection activeCell="H24" sqref="H24"/>
    </sheetView>
  </sheetViews>
  <sheetFormatPr defaultRowHeight="15" x14ac:dyDescent="0.25"/>
  <cols>
    <col min="1" max="1" width="1.7109375" customWidth="1"/>
    <col min="2" max="2" width="5.42578125" customWidth="1"/>
    <col min="3" max="3" width="46.85546875" bestFit="1" customWidth="1"/>
    <col min="4" max="4" width="37.28515625" customWidth="1"/>
    <col min="5" max="7" width="12.85546875" customWidth="1"/>
    <col min="8" max="8" width="11" customWidth="1"/>
    <col min="9" max="9" width="14.42578125" customWidth="1"/>
    <col min="10" max="11" width="12.85546875" customWidth="1"/>
    <col min="12" max="12" width="14.140625" customWidth="1"/>
    <col min="13" max="14" width="12.85546875" customWidth="1"/>
    <col min="15" max="15" width="14.42578125" customWidth="1"/>
    <col min="16" max="18" width="12.85546875" customWidth="1"/>
  </cols>
  <sheetData>
    <row r="1" spans="1:18" s="192" customFormat="1" ht="27.75" customHeight="1" thickBot="1" x14ac:dyDescent="0.3">
      <c r="B1" s="303" t="s">
        <v>183</v>
      </c>
      <c r="C1" s="303"/>
      <c r="D1" s="303"/>
      <c r="E1" s="303"/>
      <c r="F1" s="303"/>
      <c r="G1" s="303"/>
      <c r="I1" s="303" t="s">
        <v>203</v>
      </c>
      <c r="J1" s="303"/>
      <c r="K1" s="303"/>
      <c r="L1" s="303"/>
      <c r="M1" s="303"/>
      <c r="N1" s="303"/>
      <c r="O1" s="303"/>
      <c r="P1" s="303"/>
      <c r="Q1" s="303"/>
      <c r="R1" s="303"/>
    </row>
    <row r="2" spans="1:18" ht="15.75" thickBot="1" x14ac:dyDescent="0.3"/>
    <row r="3" spans="1:18" s="188" customFormat="1" ht="67.5" customHeight="1" thickBot="1" x14ac:dyDescent="0.3">
      <c r="B3" s="189" t="s">
        <v>179</v>
      </c>
      <c r="C3" s="190" t="s">
        <v>180</v>
      </c>
      <c r="D3" s="190" t="s">
        <v>181</v>
      </c>
      <c r="E3" s="190" t="s">
        <v>182</v>
      </c>
      <c r="F3" s="190" t="s">
        <v>52</v>
      </c>
      <c r="G3" s="191" t="s">
        <v>53</v>
      </c>
      <c r="I3" s="271" t="s">
        <v>169</v>
      </c>
      <c r="J3" s="275" t="s">
        <v>205</v>
      </c>
      <c r="K3" s="275" t="s">
        <v>204</v>
      </c>
      <c r="L3" s="275" t="s">
        <v>234</v>
      </c>
      <c r="M3" s="275" t="s">
        <v>206</v>
      </c>
      <c r="N3" s="275" t="s">
        <v>207</v>
      </c>
      <c r="O3" s="275" t="s">
        <v>208</v>
      </c>
      <c r="P3" s="275" t="s">
        <v>209</v>
      </c>
      <c r="Q3" s="275" t="s">
        <v>210</v>
      </c>
      <c r="R3" s="276" t="s">
        <v>211</v>
      </c>
    </row>
    <row r="4" spans="1:18" ht="16.5" customHeight="1" x14ac:dyDescent="0.25">
      <c r="A4" s="11">
        <v>2026</v>
      </c>
      <c r="B4" s="140">
        <v>1</v>
      </c>
      <c r="C4" s="141" t="s">
        <v>85</v>
      </c>
      <c r="D4" s="186" t="s">
        <v>216</v>
      </c>
      <c r="E4" s="142">
        <f>SUM('ELG Rev Req'!AJ9:AJ20)</f>
        <v>13103815.838244401</v>
      </c>
      <c r="F4" s="142"/>
      <c r="G4" s="142"/>
      <c r="I4" s="272" t="s">
        <v>170</v>
      </c>
      <c r="J4" s="294">
        <f>$F$8</f>
        <v>5772230.8767466582</v>
      </c>
      <c r="K4" s="277">
        <f>$F$12</f>
        <v>2.0244292279816275E-2</v>
      </c>
      <c r="L4" s="278">
        <f>M4*12</f>
        <v>14268</v>
      </c>
      <c r="M4" s="279">
        <f>'12mos BA'!$H$16</f>
        <v>1189</v>
      </c>
      <c r="N4" s="280">
        <f>'12mos BA'!$J$16</f>
        <v>1.902374446511693E-2</v>
      </c>
      <c r="O4" s="281">
        <f>'12mos BA'!$I$16</f>
        <v>181.73653066804852</v>
      </c>
      <c r="P4" s="290">
        <f>+O4+Q4</f>
        <v>185.41565811281228</v>
      </c>
      <c r="Q4" s="290">
        <f t="shared" ref="Q4" si="0">O4*R4</f>
        <v>3.6791274447637683</v>
      </c>
      <c r="R4" s="292">
        <f>$F$12</f>
        <v>2.0244292279816275E-2</v>
      </c>
    </row>
    <row r="5" spans="1:18" ht="16.5" customHeight="1" x14ac:dyDescent="0.25">
      <c r="B5" s="140"/>
      <c r="C5" s="141"/>
      <c r="D5" s="186"/>
      <c r="E5" s="142"/>
      <c r="F5" s="142"/>
      <c r="G5" s="142"/>
      <c r="I5" s="273" t="s">
        <v>171</v>
      </c>
      <c r="J5" s="304">
        <f>$G$8</f>
        <v>7331584.9614977427</v>
      </c>
      <c r="K5" s="306">
        <f>$G$12</f>
        <v>1.9903255714815261E-2</v>
      </c>
      <c r="L5" s="278">
        <f t="shared" ref="L5:L12" si="1">M5*12</f>
        <v>15156</v>
      </c>
      <c r="M5" s="282">
        <f>'12mos BA'!$H$55</f>
        <v>1263</v>
      </c>
      <c r="N5" s="283">
        <f>'12mos BA'!$J$55</f>
        <v>9.6082540706110085E-3</v>
      </c>
      <c r="O5" s="284">
        <f>'12mos BA'!$I$55</f>
        <v>221.33116234080319</v>
      </c>
      <c r="P5" s="291">
        <f t="shared" ref="P5:P12" si="2">+O5+Q5</f>
        <v>225.73637306252948</v>
      </c>
      <c r="Q5" s="291">
        <f>O5*$R$5</f>
        <v>4.405210721726295</v>
      </c>
      <c r="R5" s="307">
        <f t="shared" ref="R5" si="3">$G$12</f>
        <v>1.9903255714815261E-2</v>
      </c>
    </row>
    <row r="6" spans="1:18" ht="16.5" customHeight="1" x14ac:dyDescent="0.25">
      <c r="B6" s="143">
        <v>2</v>
      </c>
      <c r="C6" s="141" t="s">
        <v>77</v>
      </c>
      <c r="D6" s="186" t="s">
        <v>84</v>
      </c>
      <c r="E6" s="144">
        <f>F6+G6</f>
        <v>1</v>
      </c>
      <c r="F6" s="145">
        <v>0.4405</v>
      </c>
      <c r="G6" s="145">
        <v>0.5595</v>
      </c>
      <c r="I6" s="273" t="s">
        <v>172</v>
      </c>
      <c r="J6" s="304"/>
      <c r="K6" s="304"/>
      <c r="L6" s="278">
        <f t="shared" si="1"/>
        <v>50556</v>
      </c>
      <c r="M6" s="282">
        <f>'12mos BA'!$H$57</f>
        <v>4213</v>
      </c>
      <c r="N6" s="283">
        <f>'12mos BA'!$J$57</f>
        <v>1.8092570754717023</v>
      </c>
      <c r="O6" s="284">
        <f>'12mos BA'!$I$57</f>
        <v>642.10231721698267</v>
      </c>
      <c r="P6" s="291">
        <f t="shared" si="2"/>
        <v>654.88224383162765</v>
      </c>
      <c r="Q6" s="291">
        <f t="shared" ref="Q6:Q12" si="4">O6*$R$5</f>
        <v>12.779926614645031</v>
      </c>
      <c r="R6" s="308"/>
    </row>
    <row r="7" spans="1:18" ht="16.5" customHeight="1" x14ac:dyDescent="0.25">
      <c r="B7" s="140"/>
      <c r="C7" s="141"/>
      <c r="D7" s="186"/>
      <c r="E7" s="142"/>
      <c r="F7" s="142"/>
      <c r="G7" s="142"/>
      <c r="I7" s="273" t="s">
        <v>173</v>
      </c>
      <c r="J7" s="304"/>
      <c r="K7" s="304"/>
      <c r="L7" s="278">
        <f t="shared" si="1"/>
        <v>19560</v>
      </c>
      <c r="M7" s="282">
        <f>'12mos BA'!$H$59</f>
        <v>1630</v>
      </c>
      <c r="N7" s="283">
        <f>'12mos BA'!$J$59</f>
        <v>5.6547058079627819</v>
      </c>
      <c r="O7" s="284">
        <f>'12mos BA'!$I$59</f>
        <v>283.24172762562461</v>
      </c>
      <c r="P7" s="291">
        <f t="shared" si="2"/>
        <v>288.87916015966346</v>
      </c>
      <c r="Q7" s="291">
        <f t="shared" si="4"/>
        <v>5.6374325340388607</v>
      </c>
      <c r="R7" s="308"/>
    </row>
    <row r="8" spans="1:18" ht="16.5" customHeight="1" x14ac:dyDescent="0.25">
      <c r="B8" s="143">
        <v>3</v>
      </c>
      <c r="C8" s="141" t="s">
        <v>78</v>
      </c>
      <c r="D8" s="186" t="s">
        <v>79</v>
      </c>
      <c r="E8" s="142">
        <f>F8+G8</f>
        <v>13103815.838244401</v>
      </c>
      <c r="F8" s="142">
        <f>F6*E4</f>
        <v>5772230.8767466582</v>
      </c>
      <c r="G8" s="142">
        <f>E4*G6</f>
        <v>7331584.9614977427</v>
      </c>
      <c r="I8" s="273" t="s">
        <v>174</v>
      </c>
      <c r="J8" s="304"/>
      <c r="K8" s="304"/>
      <c r="L8" s="278">
        <f t="shared" si="1"/>
        <v>826176</v>
      </c>
      <c r="M8" s="282">
        <f>'12mos BA'!$H$71</f>
        <v>68848</v>
      </c>
      <c r="N8" s="283">
        <f>'12mos BA'!$J$71</f>
        <v>216.17680047225602</v>
      </c>
      <c r="O8" s="284">
        <f>'12mos BA'!$I$71</f>
        <v>9973.745708382572</v>
      </c>
      <c r="P8" s="291">
        <f t="shared" si="2"/>
        <v>10172.255719651052</v>
      </c>
      <c r="Q8" s="291">
        <f t="shared" si="4"/>
        <v>198.51001126847962</v>
      </c>
      <c r="R8" s="308"/>
    </row>
    <row r="9" spans="1:18" ht="16.5" customHeight="1" x14ac:dyDescent="0.25">
      <c r="B9" s="140"/>
      <c r="C9" s="141"/>
      <c r="D9" s="186"/>
      <c r="E9" s="142"/>
      <c r="F9" s="142"/>
      <c r="G9" s="142"/>
      <c r="I9" s="273" t="s">
        <v>175</v>
      </c>
      <c r="J9" s="304"/>
      <c r="K9" s="304"/>
      <c r="L9" s="278">
        <f t="shared" si="1"/>
        <v>37781100</v>
      </c>
      <c r="M9" s="282">
        <f>'12mos BA'!$H$83</f>
        <v>3148425</v>
      </c>
      <c r="N9" s="285">
        <f>'12mos BA'!$J$83</f>
        <v>5411.0426630435077</v>
      </c>
      <c r="O9" s="284">
        <f>'12mos BA'!$I$83</f>
        <v>250003.87063858824</v>
      </c>
      <c r="P9" s="291">
        <f t="shared" si="2"/>
        <v>254979.76160560164</v>
      </c>
      <c r="Q9" s="291">
        <f t="shared" si="4"/>
        <v>4975.8909670134162</v>
      </c>
      <c r="R9" s="308"/>
    </row>
    <row r="10" spans="1:18" ht="16.5" customHeight="1" x14ac:dyDescent="0.25">
      <c r="B10" s="140">
        <v>4</v>
      </c>
      <c r="C10" s="141" t="s">
        <v>80</v>
      </c>
      <c r="D10" s="187" t="s">
        <v>217</v>
      </c>
      <c r="E10" s="194">
        <f>'12mos BA'!$C$90</f>
        <v>653489895.13</v>
      </c>
      <c r="F10" s="194">
        <f>'12mos BA'!$C$16</f>
        <v>285128805.54000002</v>
      </c>
      <c r="G10" s="194">
        <f>+E10-F10</f>
        <v>368361089.58999997</v>
      </c>
      <c r="I10" s="273" t="s">
        <v>176</v>
      </c>
      <c r="J10" s="304"/>
      <c r="K10" s="304"/>
      <c r="L10" s="278">
        <f t="shared" si="1"/>
        <v>219096</v>
      </c>
      <c r="M10" s="282">
        <f>'12mos BA'!$H$87</f>
        <v>18258</v>
      </c>
      <c r="N10" s="283">
        <f>'12mos BA'!$J$87</f>
        <v>27.283333333333331</v>
      </c>
      <c r="O10" s="284">
        <f>'12mos BA'!$I$87</f>
        <v>2523.0262499999999</v>
      </c>
      <c r="P10" s="291">
        <f t="shared" si="2"/>
        <v>2573.2426866289411</v>
      </c>
      <c r="Q10" s="291">
        <f t="shared" si="4"/>
        <v>50.216436628941416</v>
      </c>
      <c r="R10" s="308"/>
    </row>
    <row r="11" spans="1:18" ht="16.5" customHeight="1" x14ac:dyDescent="0.25">
      <c r="B11" s="146"/>
      <c r="C11" s="141"/>
      <c r="D11" s="186"/>
      <c r="E11" s="147" t="s">
        <v>0</v>
      </c>
      <c r="F11" s="147" t="s">
        <v>0</v>
      </c>
      <c r="G11" s="147" t="s">
        <v>0</v>
      </c>
      <c r="I11" s="273" t="s">
        <v>177</v>
      </c>
      <c r="J11" s="304"/>
      <c r="K11" s="304"/>
      <c r="L11" s="278">
        <f t="shared" si="1"/>
        <v>684</v>
      </c>
      <c r="M11" s="282">
        <f>'12mos BA'!$H$43</f>
        <v>57</v>
      </c>
      <c r="N11" s="283">
        <f>'12mos BA'!$J$43</f>
        <v>0</v>
      </c>
      <c r="O11" s="284">
        <f>'12mos BA'!$I$43</f>
        <v>16.453590070466735</v>
      </c>
      <c r="P11" s="291">
        <f t="shared" si="2"/>
        <v>16.78107008106598</v>
      </c>
      <c r="Q11" s="291">
        <f t="shared" si="4"/>
        <v>0.32748001059924464</v>
      </c>
      <c r="R11" s="308"/>
    </row>
    <row r="12" spans="1:18" ht="16.5" customHeight="1" thickBot="1" x14ac:dyDescent="0.3">
      <c r="B12" s="148">
        <v>5</v>
      </c>
      <c r="C12" s="141" t="s">
        <v>81</v>
      </c>
      <c r="D12" s="186" t="s">
        <v>82</v>
      </c>
      <c r="E12" s="149">
        <f>E8/E10</f>
        <v>2.0052055794432189E-2</v>
      </c>
      <c r="F12" s="149">
        <f>F8/F10</f>
        <v>2.0244292279816275E-2</v>
      </c>
      <c r="G12" s="149">
        <f>G8/G10</f>
        <v>1.9903255714815261E-2</v>
      </c>
      <c r="I12" s="274" t="s">
        <v>178</v>
      </c>
      <c r="J12" s="305"/>
      <c r="K12" s="305"/>
      <c r="L12" s="286">
        <f t="shared" si="1"/>
        <v>660</v>
      </c>
      <c r="M12" s="287">
        <f>'12mos BA'!$H$85</f>
        <v>55</v>
      </c>
      <c r="N12" s="288">
        <f>'12mos BA'!$J$85</f>
        <v>0</v>
      </c>
      <c r="O12" s="289">
        <f>'12mos BA'!$I$85</f>
        <v>13.429364456567351</v>
      </c>
      <c r="P12" s="293">
        <f t="shared" si="2"/>
        <v>13.696652531433863</v>
      </c>
      <c r="Q12" s="293">
        <f t="shared" si="4"/>
        <v>0.26728807486651107</v>
      </c>
      <c r="R12" s="309"/>
    </row>
    <row r="13" spans="1:18" ht="16.5" customHeight="1" x14ac:dyDescent="0.25">
      <c r="B13" s="148"/>
      <c r="C13" s="209"/>
      <c r="D13" s="186"/>
      <c r="E13" s="149"/>
      <c r="F13" s="149"/>
      <c r="G13" s="149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6.5" customHeight="1" x14ac:dyDescent="0.25">
      <c r="B14" s="140">
        <v>6</v>
      </c>
      <c r="C14" s="209" t="s">
        <v>213</v>
      </c>
      <c r="D14" s="186" t="s">
        <v>218</v>
      </c>
      <c r="E14" s="150"/>
      <c r="F14" s="150">
        <f>Q4</f>
        <v>3.6791274447637683</v>
      </c>
      <c r="G14" s="149"/>
      <c r="I14" s="229" t="s">
        <v>212</v>
      </c>
      <c r="J14" s="229"/>
      <c r="K14" s="229"/>
      <c r="L14" s="229"/>
      <c r="M14" s="15"/>
      <c r="N14" s="15"/>
      <c r="O14" s="15"/>
      <c r="P14" s="15"/>
      <c r="Q14" s="15"/>
      <c r="R14" s="15"/>
    </row>
    <row r="15" spans="1:18" ht="16.5" customHeight="1" x14ac:dyDescent="0.25">
      <c r="B15" s="140"/>
      <c r="C15" s="209"/>
      <c r="D15" s="186"/>
      <c r="E15" s="149"/>
      <c r="F15" s="149"/>
      <c r="G15" s="149"/>
      <c r="I15" s="229" t="s">
        <v>184</v>
      </c>
      <c r="J15" s="229"/>
      <c r="K15" s="229"/>
      <c r="L15" s="229"/>
      <c r="M15" s="15"/>
      <c r="N15" s="15"/>
      <c r="O15" s="15"/>
      <c r="P15" s="15"/>
      <c r="Q15" s="15"/>
      <c r="R15" s="15"/>
    </row>
    <row r="16" spans="1:18" ht="16.5" customHeight="1" x14ac:dyDescent="0.25">
      <c r="B16" s="143">
        <v>7</v>
      </c>
      <c r="C16" s="209" t="s">
        <v>214</v>
      </c>
      <c r="D16" s="186" t="s">
        <v>83</v>
      </c>
      <c r="E16" s="150"/>
      <c r="F16" s="150">
        <f>F14*12</f>
        <v>44.14952933716522</v>
      </c>
      <c r="G16" s="149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18" ht="16.5" customHeight="1" thickBot="1" x14ac:dyDescent="0.3">
      <c r="B17" s="151"/>
      <c r="C17" s="152"/>
      <c r="D17" s="153"/>
      <c r="E17" s="152"/>
      <c r="F17" s="152"/>
      <c r="G17" s="152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2:18" x14ac:dyDescent="0.25"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2:18" x14ac:dyDescent="0.25"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2:18" x14ac:dyDescent="0.25"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2:18" x14ac:dyDescent="0.25">
      <c r="I21" s="15"/>
      <c r="J21" s="15"/>
      <c r="K21" s="15"/>
      <c r="L21" s="15"/>
      <c r="M21" s="15"/>
      <c r="N21" s="15"/>
      <c r="O21" s="15"/>
      <c r="P21" s="15"/>
      <c r="Q21" s="15"/>
      <c r="R21" s="15"/>
    </row>
  </sheetData>
  <mergeCells count="5">
    <mergeCell ref="B1:G1"/>
    <mergeCell ref="J5:J12"/>
    <mergeCell ref="K5:K12"/>
    <mergeCell ref="I1:R1"/>
    <mergeCell ref="R5:R12"/>
  </mergeCells>
  <pageMargins left="0.7" right="0.7" top="0.75" bottom="0.75" header="0.3" footer="0.3"/>
  <pageSetup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O189"/>
  <sheetViews>
    <sheetView zoomScaleNormal="10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AD9" sqref="AD9"/>
    </sheetView>
  </sheetViews>
  <sheetFormatPr defaultColWidth="8.85546875" defaultRowHeight="12.75" x14ac:dyDescent="0.2"/>
  <cols>
    <col min="1" max="1" width="1.7109375" style="3" customWidth="1"/>
    <col min="2" max="2" width="10.140625" style="3" customWidth="1"/>
    <col min="3" max="3" width="2.5703125" style="3" customWidth="1"/>
    <col min="4" max="4" width="8.140625" style="3" customWidth="1"/>
    <col min="5" max="5" width="2.5703125" style="3" customWidth="1"/>
    <col min="6" max="6" width="17.7109375" style="3" customWidth="1"/>
    <col min="7" max="7" width="2.5703125" style="3" customWidth="1"/>
    <col min="8" max="8" width="14" style="3" customWidth="1"/>
    <col min="9" max="9" width="2.5703125" style="3" customWidth="1"/>
    <col min="10" max="10" width="12.42578125" style="3" customWidth="1"/>
    <col min="11" max="11" width="2.5703125" style="3" customWidth="1"/>
    <col min="12" max="12" width="12.42578125" style="3" customWidth="1"/>
    <col min="13" max="13" width="2.5703125" style="3" customWidth="1"/>
    <col min="14" max="14" width="12.42578125" style="3" customWidth="1"/>
    <col min="15" max="15" width="2.5703125" style="3" customWidth="1"/>
    <col min="16" max="16" width="12.42578125" style="3" customWidth="1"/>
    <col min="17" max="17" width="2.5703125" style="3" customWidth="1"/>
    <col min="18" max="18" width="14.5703125" style="3" customWidth="1"/>
    <col min="19" max="19" width="2.5703125" style="3" customWidth="1"/>
    <col min="20" max="20" width="14.5703125" style="3" customWidth="1"/>
    <col min="21" max="21" width="2.5703125" style="3" customWidth="1"/>
    <col min="22" max="22" width="10.7109375" style="3" customWidth="1"/>
    <col min="23" max="23" width="2.5703125" style="3" customWidth="1"/>
    <col min="24" max="24" width="8.5703125" style="3" customWidth="1"/>
    <col min="25" max="25" width="2.5703125" style="3" customWidth="1"/>
    <col min="26" max="26" width="12.140625" style="3" customWidth="1"/>
    <col min="27" max="27" width="2.5703125" style="3" customWidth="1"/>
    <col min="28" max="28" width="12.140625" style="3" customWidth="1"/>
    <col min="29" max="29" width="2.5703125" style="3" customWidth="1"/>
    <col min="30" max="30" width="14.5703125" style="3" customWidth="1"/>
    <col min="31" max="31" width="2.5703125" style="3" customWidth="1"/>
    <col min="32" max="32" width="14.5703125" style="3" customWidth="1"/>
    <col min="33" max="33" width="2.5703125" style="3" customWidth="1"/>
    <col min="34" max="34" width="12.28515625" style="3" customWidth="1"/>
    <col min="35" max="35" width="2.140625" style="3" customWidth="1"/>
    <col min="36" max="36" width="12" style="3" customWidth="1"/>
    <col min="37" max="37" width="8.85546875" style="3"/>
    <col min="38" max="39" width="12.85546875" style="3" bestFit="1" customWidth="1"/>
    <col min="40" max="40" width="9.85546875" style="3" bestFit="1" customWidth="1"/>
    <col min="41" max="16384" width="8.85546875" style="3"/>
  </cols>
  <sheetData>
    <row r="1" spans="2:41" ht="15" customHeight="1" x14ac:dyDescent="0.2">
      <c r="B1" s="318" t="s">
        <v>65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</row>
    <row r="2" spans="2:41" ht="15" customHeight="1" thickBo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</row>
    <row r="3" spans="2:41" x14ac:dyDescent="0.2">
      <c r="B3" s="1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2:41" ht="12.75" customHeight="1" x14ac:dyDescent="0.2">
      <c r="B4" s="3" t="s">
        <v>0</v>
      </c>
      <c r="F4" s="312" t="s">
        <v>202</v>
      </c>
      <c r="G4" s="313"/>
      <c r="H4" s="313"/>
      <c r="I4" s="313"/>
      <c r="J4" s="314"/>
      <c r="L4" s="315" t="s">
        <v>231</v>
      </c>
      <c r="M4" s="316"/>
      <c r="N4" s="316"/>
      <c r="O4" s="316"/>
      <c r="P4" s="317"/>
      <c r="T4" s="10"/>
      <c r="Z4" s="223"/>
      <c r="AB4" s="10"/>
      <c r="AD4" s="320" t="s">
        <v>232</v>
      </c>
      <c r="AF4" s="320" t="s">
        <v>51</v>
      </c>
      <c r="AH4" s="320" t="s">
        <v>215</v>
      </c>
      <c r="AJ4" s="321" t="s">
        <v>198</v>
      </c>
    </row>
    <row r="5" spans="2:41" ht="24" customHeight="1" x14ac:dyDescent="0.2">
      <c r="B5" s="321" t="s">
        <v>200</v>
      </c>
      <c r="C5" s="4"/>
      <c r="E5" s="4"/>
      <c r="F5" s="322" t="s">
        <v>202</v>
      </c>
      <c r="G5" s="251"/>
      <c r="H5" s="323" t="s">
        <v>1</v>
      </c>
      <c r="I5" s="252"/>
      <c r="J5" s="324" t="s">
        <v>233</v>
      </c>
      <c r="L5" s="322" t="s">
        <v>231</v>
      </c>
      <c r="M5" s="21"/>
      <c r="N5" s="311" t="s">
        <v>228</v>
      </c>
      <c r="O5" s="21"/>
      <c r="P5" s="310" t="s">
        <v>233</v>
      </c>
      <c r="R5" s="321" t="s">
        <v>3</v>
      </c>
      <c r="T5" s="321" t="s">
        <v>194</v>
      </c>
      <c r="V5" s="321" t="s">
        <v>4</v>
      </c>
      <c r="X5" s="320" t="s">
        <v>5</v>
      </c>
      <c r="Z5" s="321" t="s">
        <v>23</v>
      </c>
      <c r="AA5" s="5"/>
      <c r="AB5" s="321" t="s">
        <v>199</v>
      </c>
      <c r="AC5" s="224"/>
      <c r="AD5" s="320"/>
      <c r="AE5" s="131"/>
      <c r="AF5" s="320"/>
      <c r="AH5" s="320"/>
      <c r="AJ5" s="321"/>
      <c r="AO5" s="213"/>
    </row>
    <row r="6" spans="2:41" s="7" customFormat="1" ht="14.25" customHeight="1" x14ac:dyDescent="0.2">
      <c r="B6" s="321"/>
      <c r="C6" s="6"/>
      <c r="D6" s="6" t="s">
        <v>7</v>
      </c>
      <c r="E6" s="6"/>
      <c r="F6" s="322"/>
      <c r="G6" s="253"/>
      <c r="H6" s="323"/>
      <c r="I6" s="254"/>
      <c r="J6" s="324"/>
      <c r="L6" s="322"/>
      <c r="M6" s="295"/>
      <c r="N6" s="311"/>
      <c r="O6" s="295"/>
      <c r="P6" s="310"/>
      <c r="R6" s="321"/>
      <c r="T6" s="321"/>
      <c r="V6" s="321"/>
      <c r="X6" s="320"/>
      <c r="Z6" s="321"/>
      <c r="AA6" s="5"/>
      <c r="AB6" s="321"/>
      <c r="AC6" s="224"/>
      <c r="AD6" s="320"/>
      <c r="AE6" s="131"/>
      <c r="AF6" s="320"/>
      <c r="AH6" s="320"/>
      <c r="AJ6" s="321"/>
      <c r="AO6" s="215"/>
    </row>
    <row r="7" spans="2:41" s="8" customFormat="1" x14ac:dyDescent="0.2">
      <c r="B7" s="211">
        <v>-1</v>
      </c>
      <c r="C7" s="211" t="s">
        <v>0</v>
      </c>
      <c r="D7" s="211">
        <f>B7-1</f>
        <v>-2</v>
      </c>
      <c r="E7" s="211" t="s">
        <v>0</v>
      </c>
      <c r="F7" s="255">
        <f>D7-1</f>
        <v>-3</v>
      </c>
      <c r="G7" s="256" t="s">
        <v>0</v>
      </c>
      <c r="H7" s="256">
        <f>F7-1</f>
        <v>-4</v>
      </c>
      <c r="I7" s="256" t="s">
        <v>0</v>
      </c>
      <c r="J7" s="257">
        <f>H7-1</f>
        <v>-5</v>
      </c>
      <c r="K7" s="211" t="s">
        <v>0</v>
      </c>
      <c r="L7" s="296"/>
      <c r="M7" s="297" t="s">
        <v>0</v>
      </c>
      <c r="N7" s="297"/>
      <c r="O7" s="297" t="s">
        <v>0</v>
      </c>
      <c r="P7" s="298"/>
      <c r="Q7" s="211" t="s">
        <v>0</v>
      </c>
      <c r="R7" s="211">
        <f>J7-1</f>
        <v>-6</v>
      </c>
      <c r="S7" s="211" t="s">
        <v>0</v>
      </c>
      <c r="T7" s="211">
        <f>R7-1</f>
        <v>-7</v>
      </c>
      <c r="U7" s="211" t="s">
        <v>0</v>
      </c>
      <c r="V7" s="211">
        <f>T7-1</f>
        <v>-8</v>
      </c>
      <c r="W7" s="211" t="s">
        <v>0</v>
      </c>
      <c r="X7" s="211">
        <f>V7-1</f>
        <v>-9</v>
      </c>
      <c r="Y7" s="211"/>
      <c r="Z7" s="211">
        <f>X7-1</f>
        <v>-10</v>
      </c>
      <c r="AA7" s="211" t="s">
        <v>0</v>
      </c>
      <c r="AB7" s="211">
        <f>Z7-1</f>
        <v>-11</v>
      </c>
      <c r="AC7" s="211" t="s">
        <v>0</v>
      </c>
      <c r="AD7" s="212">
        <f>AB7-1</f>
        <v>-12</v>
      </c>
      <c r="AE7" s="211" t="s">
        <v>0</v>
      </c>
      <c r="AF7" s="212">
        <f>AD7-1</f>
        <v>-13</v>
      </c>
      <c r="AG7" s="211" t="s">
        <v>0</v>
      </c>
      <c r="AH7" s="212">
        <f>AF7-1</f>
        <v>-14</v>
      </c>
      <c r="AI7" s="211"/>
      <c r="AJ7" s="211">
        <f>AH7-1</f>
        <v>-15</v>
      </c>
    </row>
    <row r="8" spans="2:41" ht="5.25" customHeight="1" x14ac:dyDescent="0.2">
      <c r="B8" s="133"/>
      <c r="C8" s="136"/>
      <c r="D8" s="134"/>
      <c r="E8" s="136"/>
      <c r="F8" s="258"/>
      <c r="G8" s="259"/>
      <c r="H8" s="260"/>
      <c r="I8" s="261"/>
      <c r="J8" s="262"/>
      <c r="K8" s="134"/>
      <c r="L8" s="268"/>
      <c r="M8" s="261"/>
      <c r="N8" s="260"/>
      <c r="O8" s="261"/>
      <c r="P8" s="262"/>
      <c r="Q8" s="134"/>
      <c r="R8" s="137"/>
      <c r="S8" s="134"/>
      <c r="T8" s="137"/>
      <c r="U8" s="134"/>
      <c r="V8" s="135"/>
      <c r="W8" s="134"/>
      <c r="X8" s="138"/>
      <c r="Y8" s="134"/>
      <c r="Z8" s="135"/>
      <c r="AA8" s="134"/>
      <c r="AB8" s="135"/>
      <c r="AC8" s="134"/>
      <c r="AD8" s="139"/>
      <c r="AE8" s="134"/>
      <c r="AF8" s="139"/>
      <c r="AG8" s="134"/>
      <c r="AH8" s="139"/>
      <c r="AI8" s="139"/>
      <c r="AJ8" s="139"/>
    </row>
    <row r="9" spans="2:41" x14ac:dyDescent="0.2">
      <c r="B9" s="32" t="s">
        <v>11</v>
      </c>
      <c r="C9" s="24"/>
      <c r="D9" s="21">
        <v>2026</v>
      </c>
      <c r="E9" s="24"/>
      <c r="F9" s="263">
        <f>'Depr and ADFIT'!$C$1</f>
        <v>57798518.958269402</v>
      </c>
      <c r="G9" s="24"/>
      <c r="H9" s="26">
        <f>'Depr and ADFIT'!C7</f>
        <v>-321104</v>
      </c>
      <c r="I9" s="21"/>
      <c r="J9" s="264">
        <f>'Depr and ADFIT'!J7</f>
        <v>29502</v>
      </c>
      <c r="K9" s="21"/>
      <c r="L9" s="269">
        <f>'Depr and ADFIT'!$N$1</f>
        <v>20059165.356256999</v>
      </c>
      <c r="M9" s="21"/>
      <c r="N9" s="26">
        <f>'Depr and ADFIT'!N7</f>
        <v>-278600</v>
      </c>
      <c r="O9" s="21"/>
      <c r="P9" s="264">
        <f>'Depr and ADFIT'!P7</f>
        <v>-4153919</v>
      </c>
      <c r="Q9" s="21"/>
      <c r="R9" s="220">
        <f t="shared" ref="R9:R40" si="0">SUM(F9:Q9)</f>
        <v>73133563.314526409</v>
      </c>
      <c r="S9" s="21"/>
      <c r="T9" s="28">
        <f>WACC!$S$16</f>
        <v>8.1600000000000006E-2</v>
      </c>
      <c r="U9" s="21"/>
      <c r="V9" s="22">
        <f t="shared" ref="V9:V70" si="1">R9*T9/12</f>
        <v>497308.23053877964</v>
      </c>
      <c r="W9" s="21"/>
      <c r="X9" s="23">
        <f>'O&amp;M'!$B$11</f>
        <v>56250</v>
      </c>
      <c r="Y9" s="21"/>
      <c r="Z9" s="23">
        <f>(ROUND(F9*'Depr and ADFIT'!$C$4/12,0))</f>
        <v>321104</v>
      </c>
      <c r="AA9" s="23"/>
      <c r="AB9" s="23">
        <f>F9*'Alloc. Factors and Property Tax'!$E$24*'Alloc. Factors and Property Tax'!$E$25*'Alloc. Factors and Property Tax'!$E$26/12</f>
        <v>2866.2285551405798</v>
      </c>
      <c r="AC9" s="23"/>
      <c r="AD9" s="23">
        <f>Repayment!$AB$81/72</f>
        <v>278599.51883690275</v>
      </c>
      <c r="AE9" s="23"/>
      <c r="AF9" s="23">
        <f>SUM(V9:AD9)</f>
        <v>1156127.9779308229</v>
      </c>
      <c r="AG9" s="21"/>
      <c r="AH9" s="29">
        <f>'Alloc. Factors and Property Tax'!$C$18</f>
        <v>0.9604166666666667</v>
      </c>
      <c r="AI9" s="21"/>
      <c r="AJ9" s="33">
        <f t="shared" ref="AJ9:AJ70" si="2">AF9*AH9</f>
        <v>1110364.5788043945</v>
      </c>
      <c r="AL9" s="246"/>
      <c r="AM9" s="246"/>
      <c r="AN9" s="247"/>
    </row>
    <row r="10" spans="2:41" x14ac:dyDescent="0.2">
      <c r="B10" s="32" t="s">
        <v>12</v>
      </c>
      <c r="C10" s="22"/>
      <c r="D10" s="21">
        <v>2026</v>
      </c>
      <c r="E10" s="22"/>
      <c r="F10" s="263">
        <f>'Depr and ADFIT'!$C$1</f>
        <v>57798518.958269402</v>
      </c>
      <c r="G10" s="22"/>
      <c r="H10" s="26">
        <f>'Depr and ADFIT'!C8</f>
        <v>-642208</v>
      </c>
      <c r="I10" s="21"/>
      <c r="J10" s="264">
        <f>'Depr and ADFIT'!J8</f>
        <v>59003</v>
      </c>
      <c r="K10" s="21"/>
      <c r="L10" s="269">
        <f>'Depr and ADFIT'!$N$1</f>
        <v>20059165.356256999</v>
      </c>
      <c r="M10" s="21"/>
      <c r="N10" s="26">
        <f>'Depr and ADFIT'!N8</f>
        <v>-557200</v>
      </c>
      <c r="O10" s="21"/>
      <c r="P10" s="264">
        <f>'Depr and ADFIT'!P8</f>
        <v>-4095413</v>
      </c>
      <c r="Q10" s="21"/>
      <c r="R10" s="220">
        <f t="shared" si="0"/>
        <v>72621866.314526409</v>
      </c>
      <c r="S10" s="21"/>
      <c r="T10" s="28">
        <f>WACC!$S$16</f>
        <v>8.1600000000000006E-2</v>
      </c>
      <c r="U10" s="21"/>
      <c r="V10" s="22">
        <f t="shared" si="1"/>
        <v>493828.69093877962</v>
      </c>
      <c r="W10" s="21"/>
      <c r="X10" s="23">
        <f>'O&amp;M'!$B$11</f>
        <v>56250</v>
      </c>
      <c r="Y10" s="21"/>
      <c r="Z10" s="23">
        <f>(ROUND(F10*'Depr and ADFIT'!$C$4/12,0))</f>
        <v>321104</v>
      </c>
      <c r="AA10" s="23"/>
      <c r="AB10" s="23">
        <f>F10*'Alloc. Factors and Property Tax'!$E$24*'Alloc. Factors and Property Tax'!$E$25*'Alloc. Factors and Property Tax'!$E$26/12</f>
        <v>2866.2285551405798</v>
      </c>
      <c r="AC10" s="23"/>
      <c r="AD10" s="23">
        <f>Repayment!$AB$81/72</f>
        <v>278599.51883690275</v>
      </c>
      <c r="AE10" s="23"/>
      <c r="AF10" s="23">
        <f t="shared" ref="AF10:AF73" si="3">SUM(V10:AD10)</f>
        <v>1152648.4383308229</v>
      </c>
      <c r="AG10" s="21"/>
      <c r="AH10" s="29">
        <f>'Alloc. Factors and Property Tax'!$C$18</f>
        <v>0.9604166666666667</v>
      </c>
      <c r="AI10" s="21"/>
      <c r="AJ10" s="33">
        <f t="shared" si="2"/>
        <v>1107022.7709802277</v>
      </c>
      <c r="AL10" s="231"/>
    </row>
    <row r="11" spans="2:41" x14ac:dyDescent="0.2">
      <c r="B11" s="32" t="s">
        <v>13</v>
      </c>
      <c r="C11" s="22"/>
      <c r="D11" s="21">
        <v>2026</v>
      </c>
      <c r="E11" s="22"/>
      <c r="F11" s="263">
        <f>'Depr and ADFIT'!$C$1</f>
        <v>57798518.958269402</v>
      </c>
      <c r="G11" s="22"/>
      <c r="H11" s="26">
        <f>'Depr and ADFIT'!C9</f>
        <v>-963312</v>
      </c>
      <c r="I11" s="21"/>
      <c r="J11" s="264">
        <f>'Depr and ADFIT'!J9</f>
        <v>88505</v>
      </c>
      <c r="K11" s="21"/>
      <c r="L11" s="269">
        <f>'Depr and ADFIT'!$N$1</f>
        <v>20059165.356256999</v>
      </c>
      <c r="M11" s="21"/>
      <c r="N11" s="26">
        <f>'Depr and ADFIT'!N9</f>
        <v>-835800</v>
      </c>
      <c r="O11" s="21"/>
      <c r="P11" s="264">
        <f>'Depr and ADFIT'!P9</f>
        <v>-4036907</v>
      </c>
      <c r="Q11" s="21"/>
      <c r="R11" s="220">
        <f t="shared" si="0"/>
        <v>72110170.314526409</v>
      </c>
      <c r="S11" s="21"/>
      <c r="T11" s="28">
        <f>WACC!$S$16</f>
        <v>8.1600000000000006E-2</v>
      </c>
      <c r="U11" s="21"/>
      <c r="V11" s="22">
        <f t="shared" si="1"/>
        <v>490349.15813877963</v>
      </c>
      <c r="W11" s="21"/>
      <c r="X11" s="23">
        <f>'O&amp;M'!$B$11</f>
        <v>56250</v>
      </c>
      <c r="Y11" s="21"/>
      <c r="Z11" s="23">
        <f>(ROUND(F11*'Depr and ADFIT'!$C$4/12,0))</f>
        <v>321104</v>
      </c>
      <c r="AA11" s="23"/>
      <c r="AB11" s="23">
        <f>F11*'Alloc. Factors and Property Tax'!$E$24*'Alloc. Factors and Property Tax'!$E$25*'Alloc. Factors and Property Tax'!$E$26/12</f>
        <v>2866.2285551405798</v>
      </c>
      <c r="AC11" s="23"/>
      <c r="AD11" s="23">
        <f>Repayment!$AB$81/72</f>
        <v>278599.51883690275</v>
      </c>
      <c r="AE11" s="23"/>
      <c r="AF11" s="23">
        <f t="shared" si="3"/>
        <v>1149168.9055308229</v>
      </c>
      <c r="AG11" s="21"/>
      <c r="AH11" s="29">
        <f>'Alloc. Factors and Property Tax'!$C$18</f>
        <v>0.9604166666666667</v>
      </c>
      <c r="AI11" s="21"/>
      <c r="AJ11" s="33">
        <f t="shared" si="2"/>
        <v>1103680.9696868944</v>
      </c>
    </row>
    <row r="12" spans="2:41" x14ac:dyDescent="0.2">
      <c r="B12" s="32" t="s">
        <v>14</v>
      </c>
      <c r="C12" s="22"/>
      <c r="D12" s="21">
        <v>2026</v>
      </c>
      <c r="E12" s="22"/>
      <c r="F12" s="263">
        <f>'Depr and ADFIT'!$C$1</f>
        <v>57798518.958269402</v>
      </c>
      <c r="G12" s="22"/>
      <c r="H12" s="26">
        <f>'Depr and ADFIT'!C10</f>
        <v>-1284416</v>
      </c>
      <c r="I12" s="21"/>
      <c r="J12" s="264">
        <f>'Depr and ADFIT'!J10</f>
        <v>118006</v>
      </c>
      <c r="K12" s="21"/>
      <c r="L12" s="269">
        <f>'Depr and ADFIT'!$N$1</f>
        <v>20059165.356256999</v>
      </c>
      <c r="M12" s="21"/>
      <c r="N12" s="26">
        <f>'Depr and ADFIT'!N10</f>
        <v>-1114400</v>
      </c>
      <c r="O12" s="21"/>
      <c r="P12" s="264">
        <f>'Depr and ADFIT'!P10</f>
        <v>-3978401</v>
      </c>
      <c r="Q12" s="21"/>
      <c r="R12" s="220">
        <f t="shared" si="0"/>
        <v>71598473.314526409</v>
      </c>
      <c r="S12" s="21"/>
      <c r="T12" s="28">
        <f>WACC!$S$16</f>
        <v>8.1600000000000006E-2</v>
      </c>
      <c r="U12" s="21"/>
      <c r="V12" s="22">
        <f t="shared" si="1"/>
        <v>486869.61853877961</v>
      </c>
      <c r="W12" s="21"/>
      <c r="X12" s="23">
        <f>'O&amp;M'!$B$11</f>
        <v>56250</v>
      </c>
      <c r="Y12" s="21"/>
      <c r="Z12" s="23">
        <f>(ROUND(F12*'Depr and ADFIT'!$C$4/12,0))</f>
        <v>321104</v>
      </c>
      <c r="AA12" s="23"/>
      <c r="AB12" s="23">
        <f>F12*'Alloc. Factors and Property Tax'!$E$24*'Alloc. Factors and Property Tax'!$E$25*'Alloc. Factors and Property Tax'!$E$26/12</f>
        <v>2866.2285551405798</v>
      </c>
      <c r="AC12" s="23"/>
      <c r="AD12" s="23">
        <f>Repayment!$AB$81/72</f>
        <v>278599.51883690275</v>
      </c>
      <c r="AE12" s="23"/>
      <c r="AF12" s="23">
        <f t="shared" si="3"/>
        <v>1145689.3659308229</v>
      </c>
      <c r="AG12" s="21"/>
      <c r="AH12" s="29">
        <f>'Alloc. Factors and Property Tax'!$C$18</f>
        <v>0.9604166666666667</v>
      </c>
      <c r="AI12" s="21"/>
      <c r="AJ12" s="33">
        <f t="shared" si="2"/>
        <v>1100339.161862728</v>
      </c>
    </row>
    <row r="13" spans="2:41" x14ac:dyDescent="0.2">
      <c r="B13" s="32" t="s">
        <v>15</v>
      </c>
      <c r="C13" s="25"/>
      <c r="D13" s="21">
        <v>2026</v>
      </c>
      <c r="E13" s="25"/>
      <c r="F13" s="263">
        <f>'Depr and ADFIT'!$C$1</f>
        <v>57798518.958269402</v>
      </c>
      <c r="G13" s="25"/>
      <c r="H13" s="26">
        <f>'Depr and ADFIT'!C11</f>
        <v>-1605520</v>
      </c>
      <c r="I13" s="21"/>
      <c r="J13" s="264">
        <f>'Depr and ADFIT'!J11</f>
        <v>147508</v>
      </c>
      <c r="K13" s="21"/>
      <c r="L13" s="269">
        <f>'Depr and ADFIT'!$N$1</f>
        <v>20059165.356256999</v>
      </c>
      <c r="M13" s="21"/>
      <c r="N13" s="26">
        <f>'Depr and ADFIT'!N11</f>
        <v>-1393000</v>
      </c>
      <c r="O13" s="21"/>
      <c r="P13" s="264">
        <f>'Depr and ADFIT'!P11</f>
        <v>-3919895</v>
      </c>
      <c r="Q13" s="21"/>
      <c r="R13" s="220">
        <f t="shared" si="0"/>
        <v>71086777.314526409</v>
      </c>
      <c r="S13" s="21"/>
      <c r="T13" s="28">
        <f>WACC!$S$16</f>
        <v>8.1600000000000006E-2</v>
      </c>
      <c r="U13" s="21"/>
      <c r="V13" s="22">
        <f t="shared" si="1"/>
        <v>483390.08573877957</v>
      </c>
      <c r="W13" s="21"/>
      <c r="X13" s="23">
        <f>'O&amp;M'!$B$11</f>
        <v>56250</v>
      </c>
      <c r="Y13" s="21"/>
      <c r="Z13" s="23">
        <f>(ROUND(F13*'Depr and ADFIT'!$C$4/12,0))</f>
        <v>321104</v>
      </c>
      <c r="AA13" s="23"/>
      <c r="AB13" s="23">
        <f>F13*'Alloc. Factors and Property Tax'!$E$24*'Alloc. Factors and Property Tax'!$E$25*'Alloc. Factors and Property Tax'!$E$26/12</f>
        <v>2866.2285551405798</v>
      </c>
      <c r="AC13" s="23"/>
      <c r="AD13" s="23">
        <f>Repayment!$AB$81/72</f>
        <v>278599.51883690275</v>
      </c>
      <c r="AE13" s="23"/>
      <c r="AF13" s="23">
        <f t="shared" si="3"/>
        <v>1142209.8331308227</v>
      </c>
      <c r="AG13" s="21"/>
      <c r="AH13" s="29">
        <f>'Alloc. Factors and Property Tax'!$C$18</f>
        <v>0.9604166666666667</v>
      </c>
      <c r="AI13" s="21"/>
      <c r="AJ13" s="33">
        <f t="shared" si="2"/>
        <v>1096997.3605693944</v>
      </c>
    </row>
    <row r="14" spans="2:41" x14ac:dyDescent="0.2">
      <c r="B14" s="32" t="s">
        <v>16</v>
      </c>
      <c r="C14" s="22"/>
      <c r="D14" s="21">
        <v>2026</v>
      </c>
      <c r="E14" s="22"/>
      <c r="F14" s="263">
        <f>'Depr and ADFIT'!$C$1</f>
        <v>57798518.958269402</v>
      </c>
      <c r="G14" s="22"/>
      <c r="H14" s="26">
        <f>'Depr and ADFIT'!C12</f>
        <v>-1926624</v>
      </c>
      <c r="I14" s="21"/>
      <c r="J14" s="264">
        <f>'Depr and ADFIT'!J12</f>
        <v>177009</v>
      </c>
      <c r="K14" s="21"/>
      <c r="L14" s="269">
        <f>'Depr and ADFIT'!$N$1</f>
        <v>20059165.356256999</v>
      </c>
      <c r="M14" s="21"/>
      <c r="N14" s="26">
        <f>'Depr and ADFIT'!N12</f>
        <v>-1671600</v>
      </c>
      <c r="O14" s="21"/>
      <c r="P14" s="264">
        <f>'Depr and ADFIT'!P12</f>
        <v>-3861389</v>
      </c>
      <c r="Q14" s="21"/>
      <c r="R14" s="220">
        <f t="shared" si="0"/>
        <v>70575080.314526409</v>
      </c>
      <c r="S14" s="21"/>
      <c r="T14" s="28">
        <f>WACC!$S$16</f>
        <v>8.1600000000000006E-2</v>
      </c>
      <c r="U14" s="21"/>
      <c r="V14" s="22">
        <f t="shared" si="1"/>
        <v>479910.54613877967</v>
      </c>
      <c r="W14" s="21"/>
      <c r="X14" s="23">
        <f>'O&amp;M'!$B$11</f>
        <v>56250</v>
      </c>
      <c r="Y14" s="21"/>
      <c r="Z14" s="23">
        <f>(ROUND(F14*'Depr and ADFIT'!$C$4/12,0))</f>
        <v>321104</v>
      </c>
      <c r="AA14" s="23"/>
      <c r="AB14" s="23">
        <f>F14*'Alloc. Factors and Property Tax'!$E$24*'Alloc. Factors and Property Tax'!$E$25*'Alloc. Factors and Property Tax'!$E$26/12</f>
        <v>2866.2285551405798</v>
      </c>
      <c r="AC14" s="23"/>
      <c r="AD14" s="23">
        <f>Repayment!$AB$81/72</f>
        <v>278599.51883690275</v>
      </c>
      <c r="AE14" s="23"/>
      <c r="AF14" s="23">
        <f t="shared" si="3"/>
        <v>1138730.293530823</v>
      </c>
      <c r="AG14" s="21"/>
      <c r="AH14" s="29">
        <f>'Alloc. Factors and Property Tax'!$C$18</f>
        <v>0.9604166666666667</v>
      </c>
      <c r="AI14" s="21"/>
      <c r="AJ14" s="33">
        <f t="shared" si="2"/>
        <v>1093655.5527452279</v>
      </c>
    </row>
    <row r="15" spans="2:41" x14ac:dyDescent="0.2">
      <c r="B15" s="32" t="s">
        <v>17</v>
      </c>
      <c r="C15" s="22"/>
      <c r="D15" s="21">
        <v>2026</v>
      </c>
      <c r="E15" s="22"/>
      <c r="F15" s="263">
        <f>'Depr and ADFIT'!$C$1</f>
        <v>57798518.958269402</v>
      </c>
      <c r="G15" s="22"/>
      <c r="H15" s="26">
        <f>'Depr and ADFIT'!C13</f>
        <v>-2247728</v>
      </c>
      <c r="I15" s="21"/>
      <c r="J15" s="264">
        <f>'Depr and ADFIT'!J13</f>
        <v>206511</v>
      </c>
      <c r="K15" s="21"/>
      <c r="L15" s="269">
        <f>'Depr and ADFIT'!$N$1</f>
        <v>20059165.356256999</v>
      </c>
      <c r="M15" s="21"/>
      <c r="N15" s="26">
        <f>'Depr and ADFIT'!N13</f>
        <v>-1950200</v>
      </c>
      <c r="O15" s="21"/>
      <c r="P15" s="264">
        <f>'Depr and ADFIT'!P13</f>
        <v>-3802883</v>
      </c>
      <c r="Q15" s="21"/>
      <c r="R15" s="220">
        <f t="shared" si="0"/>
        <v>70063384.314526409</v>
      </c>
      <c r="S15" s="21"/>
      <c r="T15" s="28">
        <f>WACC!$S$16</f>
        <v>8.1600000000000006E-2</v>
      </c>
      <c r="U15" s="21"/>
      <c r="V15" s="22">
        <f t="shared" si="1"/>
        <v>476431.01333877962</v>
      </c>
      <c r="W15" s="21"/>
      <c r="X15" s="23">
        <f>'O&amp;M'!$B$11</f>
        <v>56250</v>
      </c>
      <c r="Y15" s="21"/>
      <c r="Z15" s="23">
        <f>(ROUND(F15*'Depr and ADFIT'!$C$4/12,0))</f>
        <v>321104</v>
      </c>
      <c r="AA15" s="23"/>
      <c r="AB15" s="23">
        <f>F15*'Alloc. Factors and Property Tax'!$E$24*'Alloc. Factors and Property Tax'!$E$25*'Alloc. Factors and Property Tax'!$E$26/12</f>
        <v>2866.2285551405798</v>
      </c>
      <c r="AC15" s="23"/>
      <c r="AD15" s="23">
        <f>Repayment!$AB$81/72</f>
        <v>278599.51883690275</v>
      </c>
      <c r="AE15" s="23"/>
      <c r="AF15" s="23">
        <f t="shared" si="3"/>
        <v>1135250.7607308228</v>
      </c>
      <c r="AG15" s="21"/>
      <c r="AH15" s="29">
        <f>'Alloc. Factors and Property Tax'!$C$18</f>
        <v>0.9604166666666667</v>
      </c>
      <c r="AI15" s="21"/>
      <c r="AJ15" s="33">
        <f t="shared" si="2"/>
        <v>1090313.7514518944</v>
      </c>
    </row>
    <row r="16" spans="2:41" x14ac:dyDescent="0.2">
      <c r="B16" s="32" t="s">
        <v>18</v>
      </c>
      <c r="C16" s="22"/>
      <c r="D16" s="21">
        <v>2026</v>
      </c>
      <c r="E16" s="22"/>
      <c r="F16" s="263">
        <f>'Depr and ADFIT'!$C$1</f>
        <v>57798518.958269402</v>
      </c>
      <c r="G16" s="22"/>
      <c r="H16" s="26">
        <f>'Depr and ADFIT'!C14</f>
        <v>-2568832</v>
      </c>
      <c r="I16" s="21"/>
      <c r="J16" s="264">
        <f>'Depr and ADFIT'!J14</f>
        <v>236012</v>
      </c>
      <c r="K16" s="21"/>
      <c r="L16" s="269">
        <f>'Depr and ADFIT'!$N$1</f>
        <v>20059165.356256999</v>
      </c>
      <c r="M16" s="21"/>
      <c r="N16" s="26">
        <f>'Depr and ADFIT'!N14</f>
        <v>-2228800</v>
      </c>
      <c r="O16" s="21"/>
      <c r="P16" s="264">
        <f>'Depr and ADFIT'!P14</f>
        <v>-3744377</v>
      </c>
      <c r="Q16" s="21"/>
      <c r="R16" s="220">
        <f t="shared" si="0"/>
        <v>69551687.314526409</v>
      </c>
      <c r="S16" s="21"/>
      <c r="T16" s="28">
        <f>WACC!$S$16</f>
        <v>8.1600000000000006E-2</v>
      </c>
      <c r="U16" s="21"/>
      <c r="V16" s="22">
        <f t="shared" si="1"/>
        <v>472951.4737387796</v>
      </c>
      <c r="W16" s="21"/>
      <c r="X16" s="23">
        <f>'O&amp;M'!$B$11</f>
        <v>56250</v>
      </c>
      <c r="Y16" s="21"/>
      <c r="Z16" s="23">
        <f>(ROUND(F16*'Depr and ADFIT'!$C$4/12,0))</f>
        <v>321104</v>
      </c>
      <c r="AA16" s="23"/>
      <c r="AB16" s="23">
        <f>F16*'Alloc. Factors and Property Tax'!$E$24*'Alloc. Factors and Property Tax'!$E$25*'Alloc. Factors and Property Tax'!$E$26/12</f>
        <v>2866.2285551405798</v>
      </c>
      <c r="AC16" s="23"/>
      <c r="AD16" s="23">
        <f>Repayment!$AB$81/72</f>
        <v>278599.51883690275</v>
      </c>
      <c r="AE16" s="23"/>
      <c r="AF16" s="23">
        <f t="shared" si="3"/>
        <v>1131771.2211308228</v>
      </c>
      <c r="AG16" s="21"/>
      <c r="AH16" s="29">
        <f>'Alloc. Factors and Property Tax'!$C$18</f>
        <v>0.9604166666666667</v>
      </c>
      <c r="AI16" s="21"/>
      <c r="AJ16" s="33">
        <f t="shared" si="2"/>
        <v>1086971.9436277277</v>
      </c>
    </row>
    <row r="17" spans="2:36" x14ac:dyDescent="0.2">
      <c r="B17" s="32" t="s">
        <v>19</v>
      </c>
      <c r="C17" s="22"/>
      <c r="D17" s="21">
        <v>2026</v>
      </c>
      <c r="E17" s="22"/>
      <c r="F17" s="263">
        <f>'Depr and ADFIT'!$C$1</f>
        <v>57798518.958269402</v>
      </c>
      <c r="G17" s="22"/>
      <c r="H17" s="26">
        <f>'Depr and ADFIT'!C15</f>
        <v>-2889936</v>
      </c>
      <c r="I17" s="21"/>
      <c r="J17" s="264">
        <f>'Depr and ADFIT'!J15</f>
        <v>265514</v>
      </c>
      <c r="K17" s="21"/>
      <c r="L17" s="269">
        <f>'Depr and ADFIT'!$N$1</f>
        <v>20059165.356256999</v>
      </c>
      <c r="M17" s="21"/>
      <c r="N17" s="26">
        <f>'Depr and ADFIT'!N15</f>
        <v>-2507400</v>
      </c>
      <c r="O17" s="21"/>
      <c r="P17" s="264">
        <f>'Depr and ADFIT'!P15</f>
        <v>-3685871</v>
      </c>
      <c r="Q17" s="21"/>
      <c r="R17" s="220">
        <f t="shared" si="0"/>
        <v>69039991.314526409</v>
      </c>
      <c r="S17" s="21"/>
      <c r="T17" s="28">
        <f>WACC!$S$16</f>
        <v>8.1600000000000006E-2</v>
      </c>
      <c r="U17" s="21"/>
      <c r="V17" s="22">
        <f t="shared" si="1"/>
        <v>469471.94093877962</v>
      </c>
      <c r="W17" s="21"/>
      <c r="X17" s="23">
        <f>'O&amp;M'!$B$11</f>
        <v>56250</v>
      </c>
      <c r="Y17" s="21"/>
      <c r="Z17" s="23">
        <f>(ROUND(F17*'Depr and ADFIT'!$C$4/12,0))</f>
        <v>321104</v>
      </c>
      <c r="AA17" s="23"/>
      <c r="AB17" s="23">
        <f>F17*'Alloc. Factors and Property Tax'!$E$24*'Alloc. Factors and Property Tax'!$E$25*'Alloc. Factors and Property Tax'!$E$26/12</f>
        <v>2866.2285551405798</v>
      </c>
      <c r="AC17" s="23"/>
      <c r="AD17" s="23">
        <f>Repayment!$AB$81/72</f>
        <v>278599.51883690275</v>
      </c>
      <c r="AE17" s="23"/>
      <c r="AF17" s="23">
        <f t="shared" si="3"/>
        <v>1128291.6883308229</v>
      </c>
      <c r="AG17" s="21"/>
      <c r="AH17" s="29">
        <f>'Alloc. Factors and Property Tax'!$C$18</f>
        <v>0.9604166666666667</v>
      </c>
      <c r="AI17" s="21"/>
      <c r="AJ17" s="33">
        <f t="shared" si="2"/>
        <v>1083630.1423343944</v>
      </c>
    </row>
    <row r="18" spans="2:36" x14ac:dyDescent="0.2">
      <c r="B18" s="32" t="s">
        <v>8</v>
      </c>
      <c r="C18" s="22"/>
      <c r="D18" s="21">
        <v>2026</v>
      </c>
      <c r="E18" s="22"/>
      <c r="F18" s="263">
        <f>'Depr and ADFIT'!$C$1</f>
        <v>57798518.958269402</v>
      </c>
      <c r="G18" s="22"/>
      <c r="H18" s="26">
        <f>'Depr and ADFIT'!C16</f>
        <v>-3211040</v>
      </c>
      <c r="I18" s="21"/>
      <c r="J18" s="264">
        <f>'Depr and ADFIT'!J16</f>
        <v>295016</v>
      </c>
      <c r="K18" s="21"/>
      <c r="L18" s="269">
        <f>'Depr and ADFIT'!$N$1</f>
        <v>20059165.356256999</v>
      </c>
      <c r="M18" s="21"/>
      <c r="N18" s="26">
        <f>'Depr and ADFIT'!N16</f>
        <v>-2786000</v>
      </c>
      <c r="O18" s="21"/>
      <c r="P18" s="264">
        <f>'Depr and ADFIT'!P16</f>
        <v>-3627365</v>
      </c>
      <c r="Q18" s="21"/>
      <c r="R18" s="220">
        <f t="shared" si="0"/>
        <v>68528295.314526409</v>
      </c>
      <c r="S18" s="21"/>
      <c r="T18" s="28">
        <f>WACC!$S$16</f>
        <v>8.1600000000000006E-2</v>
      </c>
      <c r="U18" s="21"/>
      <c r="V18" s="22">
        <f t="shared" si="1"/>
        <v>465992.40813877963</v>
      </c>
      <c r="W18" s="21"/>
      <c r="X18" s="23">
        <f>'O&amp;M'!$B$11</f>
        <v>56250</v>
      </c>
      <c r="Y18" s="21"/>
      <c r="Z18" s="23">
        <f>(ROUND(F18*'Depr and ADFIT'!$C$4/12,0))</f>
        <v>321104</v>
      </c>
      <c r="AA18" s="23"/>
      <c r="AB18" s="23">
        <f>F18*'Alloc. Factors and Property Tax'!$E$24*'Alloc. Factors and Property Tax'!$E$25*'Alloc. Factors and Property Tax'!$E$26/12</f>
        <v>2866.2285551405798</v>
      </c>
      <c r="AC18" s="23"/>
      <c r="AD18" s="23">
        <f>Repayment!$AB$81/72</f>
        <v>278599.51883690275</v>
      </c>
      <c r="AE18" s="23"/>
      <c r="AF18" s="23">
        <f t="shared" si="3"/>
        <v>1124812.1555308229</v>
      </c>
      <c r="AG18" s="21"/>
      <c r="AH18" s="29">
        <f>'Alloc. Factors and Property Tax'!$C$18</f>
        <v>0.9604166666666667</v>
      </c>
      <c r="AI18" s="21"/>
      <c r="AJ18" s="33">
        <f t="shared" si="2"/>
        <v>1080288.3410410613</v>
      </c>
    </row>
    <row r="19" spans="2:36" x14ac:dyDescent="0.2">
      <c r="B19" s="32" t="s">
        <v>9</v>
      </c>
      <c r="C19" s="22"/>
      <c r="D19" s="21">
        <v>2026</v>
      </c>
      <c r="E19" s="22"/>
      <c r="F19" s="263">
        <f>'Depr and ADFIT'!$C$1</f>
        <v>57798518.958269402</v>
      </c>
      <c r="G19" s="22"/>
      <c r="H19" s="26">
        <f>'Depr and ADFIT'!C17</f>
        <v>-3532144</v>
      </c>
      <c r="I19" s="21"/>
      <c r="J19" s="264">
        <f>'Depr and ADFIT'!J17</f>
        <v>324517</v>
      </c>
      <c r="K19" s="21"/>
      <c r="L19" s="269">
        <f>'Depr and ADFIT'!$N$1</f>
        <v>20059165.356256999</v>
      </c>
      <c r="M19" s="21"/>
      <c r="N19" s="26">
        <f>'Depr and ADFIT'!N17</f>
        <v>-3064600</v>
      </c>
      <c r="O19" s="21"/>
      <c r="P19" s="264">
        <f>'Depr and ADFIT'!P17</f>
        <v>-3568859</v>
      </c>
      <c r="Q19" s="21"/>
      <c r="R19" s="220">
        <f t="shared" si="0"/>
        <v>68016598.314526409</v>
      </c>
      <c r="S19" s="21"/>
      <c r="T19" s="28">
        <f>WACC!$S$16</f>
        <v>8.1600000000000006E-2</v>
      </c>
      <c r="U19" s="21"/>
      <c r="V19" s="22">
        <f t="shared" si="1"/>
        <v>462512.86853877961</v>
      </c>
      <c r="W19" s="21"/>
      <c r="X19" s="23">
        <f>'O&amp;M'!$B$11</f>
        <v>56250</v>
      </c>
      <c r="Y19" s="21"/>
      <c r="Z19" s="23">
        <f>(ROUND(F19*'Depr and ADFIT'!$C$4/12,0))</f>
        <v>321104</v>
      </c>
      <c r="AA19" s="23"/>
      <c r="AB19" s="23">
        <f>F19*'Alloc. Factors and Property Tax'!$E$24*'Alloc. Factors and Property Tax'!$E$25*'Alloc. Factors and Property Tax'!$E$26/12</f>
        <v>2866.2285551405798</v>
      </c>
      <c r="AC19" s="23"/>
      <c r="AD19" s="23">
        <f>Repayment!$AB$81/72</f>
        <v>278599.51883690275</v>
      </c>
      <c r="AE19" s="23"/>
      <c r="AF19" s="23">
        <f t="shared" si="3"/>
        <v>1121332.6159308229</v>
      </c>
      <c r="AG19" s="21"/>
      <c r="AH19" s="29">
        <f>'Alloc. Factors and Property Tax'!$C$18</f>
        <v>0.9604166666666667</v>
      </c>
      <c r="AI19" s="21"/>
      <c r="AJ19" s="33">
        <f t="shared" si="2"/>
        <v>1076946.5332168946</v>
      </c>
    </row>
    <row r="20" spans="2:36" x14ac:dyDescent="0.2">
      <c r="B20" s="32" t="s">
        <v>10</v>
      </c>
      <c r="C20" s="22"/>
      <c r="D20" s="21">
        <v>2026</v>
      </c>
      <c r="E20" s="22"/>
      <c r="F20" s="263">
        <f>'Depr and ADFIT'!$C$1</f>
        <v>57798518.958269402</v>
      </c>
      <c r="G20" s="22"/>
      <c r="H20" s="26">
        <f>'Depr and ADFIT'!C18</f>
        <v>-3853248</v>
      </c>
      <c r="I20" s="21"/>
      <c r="J20" s="264">
        <f>'Depr and ADFIT'!J18</f>
        <v>354019</v>
      </c>
      <c r="K20" s="21"/>
      <c r="L20" s="269">
        <f>'Depr and ADFIT'!$N$1</f>
        <v>20059165.356256999</v>
      </c>
      <c r="M20" s="21"/>
      <c r="N20" s="26">
        <f>'Depr and ADFIT'!N18</f>
        <v>-3343200</v>
      </c>
      <c r="O20" s="21"/>
      <c r="P20" s="264">
        <f>'Depr and ADFIT'!P18</f>
        <v>-3510353</v>
      </c>
      <c r="Q20" s="21"/>
      <c r="R20" s="220">
        <f t="shared" si="0"/>
        <v>67504902.314526409</v>
      </c>
      <c r="S20" s="21"/>
      <c r="T20" s="28">
        <f>WACC!$S$16</f>
        <v>8.1600000000000006E-2</v>
      </c>
      <c r="U20" s="21"/>
      <c r="V20" s="22">
        <f t="shared" si="1"/>
        <v>459033.33573877957</v>
      </c>
      <c r="W20" s="21"/>
      <c r="X20" s="23">
        <f>'O&amp;M'!$B$11</f>
        <v>56250</v>
      </c>
      <c r="Y20" s="21"/>
      <c r="Z20" s="23">
        <f>(ROUND(F20*'Depr and ADFIT'!$C$4/12,0))</f>
        <v>321104</v>
      </c>
      <c r="AA20" s="23"/>
      <c r="AB20" s="23">
        <f>F20*'Alloc. Factors and Property Tax'!$E$24*'Alloc. Factors and Property Tax'!$E$25*'Alloc. Factors and Property Tax'!$E$26/12</f>
        <v>2866.2285551405798</v>
      </c>
      <c r="AC20" s="23"/>
      <c r="AD20" s="23">
        <f>Repayment!$AB$81/72</f>
        <v>278599.51883690275</v>
      </c>
      <c r="AE20" s="23"/>
      <c r="AF20" s="23">
        <f t="shared" si="3"/>
        <v>1117853.0831308227</v>
      </c>
      <c r="AG20" s="21"/>
      <c r="AH20" s="29">
        <f>'Alloc. Factors and Property Tax'!$C$18</f>
        <v>0.9604166666666667</v>
      </c>
      <c r="AI20" s="21"/>
      <c r="AJ20" s="33">
        <f t="shared" si="2"/>
        <v>1073604.7319235611</v>
      </c>
    </row>
    <row r="21" spans="2:36" x14ac:dyDescent="0.2">
      <c r="B21" s="32" t="s">
        <v>11</v>
      </c>
      <c r="C21" s="22"/>
      <c r="D21" s="21">
        <v>2027</v>
      </c>
      <c r="E21" s="22"/>
      <c r="F21" s="263">
        <f>'Depr and ADFIT'!$C$1</f>
        <v>57798518.958269402</v>
      </c>
      <c r="G21" s="22"/>
      <c r="H21" s="26">
        <f>'Depr and ADFIT'!C19</f>
        <v>-4174352</v>
      </c>
      <c r="I21" s="21"/>
      <c r="J21" s="264">
        <f>'Depr and ADFIT'!J19</f>
        <v>348432</v>
      </c>
      <c r="K21" s="21"/>
      <c r="L21" s="269">
        <f>'Depr and ADFIT'!$N$1</f>
        <v>20059165.356256999</v>
      </c>
      <c r="M21" s="21"/>
      <c r="N21" s="26">
        <f>'Depr and ADFIT'!N19</f>
        <v>-3621800</v>
      </c>
      <c r="O21" s="21"/>
      <c r="P21" s="264">
        <f>'Depr and ADFIT'!P19</f>
        <v>-3451847</v>
      </c>
      <c r="Q21" s="21"/>
      <c r="R21" s="220">
        <f t="shared" si="0"/>
        <v>66958117.314526409</v>
      </c>
      <c r="S21" s="21"/>
      <c r="T21" s="28">
        <f>WACC!$S$16</f>
        <v>8.1600000000000006E-2</v>
      </c>
      <c r="U21" s="21"/>
      <c r="V21" s="22">
        <f t="shared" si="1"/>
        <v>455315.19773877965</v>
      </c>
      <c r="W21" s="21"/>
      <c r="X21" s="23">
        <f>'O&amp;M'!$C$11</f>
        <v>59375</v>
      </c>
      <c r="Y21" s="21"/>
      <c r="Z21" s="23">
        <f>(ROUND(F21*'Depr and ADFIT'!$C$4/12,0))</f>
        <v>321104</v>
      </c>
      <c r="AA21" s="23"/>
      <c r="AB21" s="23">
        <f>F21*'Alloc. Factors and Property Tax'!$E$24*'Alloc. Factors and Property Tax'!$E$25*'Alloc. Factors and Property Tax'!$E$26/12</f>
        <v>2866.2285551405798</v>
      </c>
      <c r="AC21" s="23"/>
      <c r="AD21" s="23">
        <f>Repayment!$AB$81/72</f>
        <v>278599.51883690275</v>
      </c>
      <c r="AE21" s="23"/>
      <c r="AF21" s="23">
        <f t="shared" si="3"/>
        <v>1117259.9451308229</v>
      </c>
      <c r="AG21" s="21"/>
      <c r="AH21" s="29">
        <f>'Alloc. Factors and Property Tax'!$C$18</f>
        <v>0.9604166666666667</v>
      </c>
      <c r="AI21" s="21"/>
      <c r="AJ21" s="33">
        <f t="shared" si="2"/>
        <v>1073035.072302728</v>
      </c>
    </row>
    <row r="22" spans="2:36" x14ac:dyDescent="0.2">
      <c r="B22" s="32" t="s">
        <v>12</v>
      </c>
      <c r="C22" s="22"/>
      <c r="D22" s="21">
        <v>2027</v>
      </c>
      <c r="E22" s="22"/>
      <c r="F22" s="263">
        <f>'Depr and ADFIT'!$C$1</f>
        <v>57798518.958269402</v>
      </c>
      <c r="G22" s="22"/>
      <c r="H22" s="26">
        <f>'Depr and ADFIT'!C20</f>
        <v>-4495456</v>
      </c>
      <c r="I22" s="21"/>
      <c r="J22" s="264">
        <f>'Depr and ADFIT'!J20</f>
        <v>342846</v>
      </c>
      <c r="K22" s="21"/>
      <c r="L22" s="269">
        <f>'Depr and ADFIT'!$N$1</f>
        <v>20059165.356256999</v>
      </c>
      <c r="M22" s="21"/>
      <c r="N22" s="26">
        <f>'Depr and ADFIT'!N20</f>
        <v>-3900400</v>
      </c>
      <c r="O22" s="21"/>
      <c r="P22" s="264">
        <f>'Depr and ADFIT'!P20</f>
        <v>-3393341</v>
      </c>
      <c r="Q22" s="21"/>
      <c r="R22" s="220">
        <f t="shared" si="0"/>
        <v>66411333.314526409</v>
      </c>
      <c r="S22" s="21"/>
      <c r="T22" s="28">
        <f>WACC!$S$16</f>
        <v>8.1600000000000006E-2</v>
      </c>
      <c r="U22" s="21"/>
      <c r="V22" s="22">
        <f t="shared" si="1"/>
        <v>451597.06653877959</v>
      </c>
      <c r="W22" s="21"/>
      <c r="X22" s="23">
        <f>'O&amp;M'!$C$11</f>
        <v>59375</v>
      </c>
      <c r="Y22" s="21"/>
      <c r="Z22" s="23">
        <f>(ROUND(F22*'Depr and ADFIT'!$C$4/12,0))</f>
        <v>321104</v>
      </c>
      <c r="AA22" s="23"/>
      <c r="AB22" s="23">
        <f>F22*'Alloc. Factors and Property Tax'!$E$24*'Alloc. Factors and Property Tax'!$E$25*'Alloc. Factors and Property Tax'!$E$26/12</f>
        <v>2866.2285551405798</v>
      </c>
      <c r="AC22" s="23"/>
      <c r="AD22" s="23">
        <f>Repayment!$AB$81/72</f>
        <v>278599.51883690275</v>
      </c>
      <c r="AE22" s="23"/>
      <c r="AF22" s="23">
        <f t="shared" si="3"/>
        <v>1113541.8139308228</v>
      </c>
      <c r="AG22" s="21"/>
      <c r="AH22" s="29">
        <f>'Alloc. Factors and Property Tax'!$C$18</f>
        <v>0.9604166666666667</v>
      </c>
      <c r="AI22" s="21"/>
      <c r="AJ22" s="33">
        <f t="shared" si="2"/>
        <v>1069464.1171293943</v>
      </c>
    </row>
    <row r="23" spans="2:36" x14ac:dyDescent="0.2">
      <c r="B23" s="32" t="s">
        <v>13</v>
      </c>
      <c r="C23" s="22"/>
      <c r="D23" s="21">
        <v>2027</v>
      </c>
      <c r="E23" s="22"/>
      <c r="F23" s="263">
        <f>'Depr and ADFIT'!$C$1</f>
        <v>57798518.958269402</v>
      </c>
      <c r="G23" s="22"/>
      <c r="H23" s="26">
        <f>'Depr and ADFIT'!C21</f>
        <v>-4816560</v>
      </c>
      <c r="I23" s="21"/>
      <c r="J23" s="264">
        <f>'Depr and ADFIT'!J21</f>
        <v>337259</v>
      </c>
      <c r="K23" s="21"/>
      <c r="L23" s="269">
        <f>'Depr and ADFIT'!$N$1</f>
        <v>20059165.356256999</v>
      </c>
      <c r="M23" s="21"/>
      <c r="N23" s="26">
        <f>'Depr and ADFIT'!N21</f>
        <v>-4179000</v>
      </c>
      <c r="O23" s="21"/>
      <c r="P23" s="264">
        <f>'Depr and ADFIT'!P21</f>
        <v>-3334835</v>
      </c>
      <c r="Q23" s="21"/>
      <c r="R23" s="220">
        <f t="shared" si="0"/>
        <v>65864548.314526409</v>
      </c>
      <c r="S23" s="21"/>
      <c r="T23" s="28">
        <f>WACC!$S$16</f>
        <v>8.1600000000000006E-2</v>
      </c>
      <c r="U23" s="21"/>
      <c r="V23" s="22">
        <f t="shared" si="1"/>
        <v>447878.92853877967</v>
      </c>
      <c r="W23" s="21"/>
      <c r="X23" s="23">
        <f>'O&amp;M'!$C$11</f>
        <v>59375</v>
      </c>
      <c r="Y23" s="21"/>
      <c r="Z23" s="23">
        <f>(ROUND(F23*'Depr and ADFIT'!$C$4/12,0))</f>
        <v>321104</v>
      </c>
      <c r="AA23" s="23"/>
      <c r="AB23" s="23">
        <f>F23*'Alloc. Factors and Property Tax'!$E$24*'Alloc. Factors and Property Tax'!$E$25*'Alloc. Factors and Property Tax'!$E$26/12</f>
        <v>2866.2285551405798</v>
      </c>
      <c r="AC23" s="23"/>
      <c r="AD23" s="23">
        <f>Repayment!$AB$81/72</f>
        <v>278599.51883690275</v>
      </c>
      <c r="AE23" s="23"/>
      <c r="AF23" s="23">
        <f t="shared" si="3"/>
        <v>1109823.675930823</v>
      </c>
      <c r="AG23" s="21"/>
      <c r="AH23" s="29">
        <f>'Alloc. Factors and Property Tax'!$C$18</f>
        <v>0.9604166666666667</v>
      </c>
      <c r="AI23" s="21"/>
      <c r="AJ23" s="33">
        <f t="shared" si="2"/>
        <v>1065893.1554252279</v>
      </c>
    </row>
    <row r="24" spans="2:36" x14ac:dyDescent="0.2">
      <c r="B24" s="32" t="s">
        <v>14</v>
      </c>
      <c r="C24" s="22"/>
      <c r="D24" s="21">
        <v>2027</v>
      </c>
      <c r="E24" s="22"/>
      <c r="F24" s="263">
        <f>'Depr and ADFIT'!$C$1</f>
        <v>57798518.958269402</v>
      </c>
      <c r="G24" s="22"/>
      <c r="H24" s="26">
        <f>'Depr and ADFIT'!C22</f>
        <v>-5137664</v>
      </c>
      <c r="I24" s="21"/>
      <c r="J24" s="264">
        <f>'Depr and ADFIT'!J22</f>
        <v>331673</v>
      </c>
      <c r="K24" s="21"/>
      <c r="L24" s="269">
        <f>'Depr and ADFIT'!$N$1</f>
        <v>20059165.356256999</v>
      </c>
      <c r="M24" s="21"/>
      <c r="N24" s="26">
        <f>'Depr and ADFIT'!N22</f>
        <v>-4457600</v>
      </c>
      <c r="O24" s="21"/>
      <c r="P24" s="264">
        <f>'Depr and ADFIT'!P22</f>
        <v>-3276329</v>
      </c>
      <c r="Q24" s="21"/>
      <c r="R24" s="220">
        <f t="shared" si="0"/>
        <v>65317764.314526409</v>
      </c>
      <c r="S24" s="21"/>
      <c r="T24" s="28">
        <f>WACC!$S$16</f>
        <v>8.1600000000000006E-2</v>
      </c>
      <c r="U24" s="21"/>
      <c r="V24" s="22">
        <f t="shared" si="1"/>
        <v>444160.79733877961</v>
      </c>
      <c r="W24" s="21"/>
      <c r="X24" s="23">
        <f>'O&amp;M'!$C$11</f>
        <v>59375</v>
      </c>
      <c r="Y24" s="21"/>
      <c r="Z24" s="23">
        <f>(ROUND(F24*'Depr and ADFIT'!$C$4/12,0))</f>
        <v>321104</v>
      </c>
      <c r="AA24" s="23"/>
      <c r="AB24" s="23">
        <f>F24*'Alloc. Factors and Property Tax'!$E$24*'Alloc. Factors and Property Tax'!$E$25*'Alloc. Factors and Property Tax'!$E$26/12</f>
        <v>2866.2285551405798</v>
      </c>
      <c r="AC24" s="23"/>
      <c r="AD24" s="23">
        <f>Repayment!$AB$81/72</f>
        <v>278599.51883690275</v>
      </c>
      <c r="AE24" s="23"/>
      <c r="AF24" s="23">
        <f t="shared" si="3"/>
        <v>1106105.5447308228</v>
      </c>
      <c r="AG24" s="21"/>
      <c r="AH24" s="29">
        <f>'Alloc. Factors and Property Tax'!$C$18</f>
        <v>0.9604166666666667</v>
      </c>
      <c r="AI24" s="21"/>
      <c r="AJ24" s="33">
        <f t="shared" si="2"/>
        <v>1062322.2002518943</v>
      </c>
    </row>
    <row r="25" spans="2:36" x14ac:dyDescent="0.2">
      <c r="B25" s="32" t="s">
        <v>15</v>
      </c>
      <c r="C25" s="22"/>
      <c r="D25" s="21">
        <v>2027</v>
      </c>
      <c r="E25" s="22"/>
      <c r="F25" s="263">
        <f>'Depr and ADFIT'!$C$1</f>
        <v>57798518.958269402</v>
      </c>
      <c r="G25" s="22"/>
      <c r="H25" s="26">
        <f>'Depr and ADFIT'!C23</f>
        <v>-5458768</v>
      </c>
      <c r="I25" s="21"/>
      <c r="J25" s="264">
        <f>'Depr and ADFIT'!J23</f>
        <v>326086</v>
      </c>
      <c r="K25" s="21"/>
      <c r="L25" s="269">
        <f>'Depr and ADFIT'!$N$1</f>
        <v>20059165.356256999</v>
      </c>
      <c r="M25" s="21"/>
      <c r="N25" s="26">
        <f>'Depr and ADFIT'!N23</f>
        <v>-4736200</v>
      </c>
      <c r="O25" s="21"/>
      <c r="P25" s="264">
        <f>'Depr and ADFIT'!P23</f>
        <v>-3217823</v>
      </c>
      <c r="Q25" s="21"/>
      <c r="R25" s="220">
        <f t="shared" si="0"/>
        <v>64770979.314526409</v>
      </c>
      <c r="S25" s="21"/>
      <c r="T25" s="28">
        <f>WACC!$S$16</f>
        <v>8.1600000000000006E-2</v>
      </c>
      <c r="U25" s="21"/>
      <c r="V25" s="22">
        <f t="shared" si="1"/>
        <v>440442.65933877957</v>
      </c>
      <c r="W25" s="21"/>
      <c r="X25" s="23">
        <f>'O&amp;M'!$C$11</f>
        <v>59375</v>
      </c>
      <c r="Y25" s="21"/>
      <c r="Z25" s="23">
        <f>(ROUND(F25*'Depr and ADFIT'!$C$4/12,0))</f>
        <v>321104</v>
      </c>
      <c r="AA25" s="23"/>
      <c r="AB25" s="23">
        <f>F25*'Alloc. Factors and Property Tax'!$E$24*'Alloc. Factors and Property Tax'!$E$25*'Alloc. Factors and Property Tax'!$E$26/12</f>
        <v>2866.2285551405798</v>
      </c>
      <c r="AC25" s="23"/>
      <c r="AD25" s="23">
        <f>Repayment!$AB$81/72</f>
        <v>278599.51883690275</v>
      </c>
      <c r="AE25" s="23"/>
      <c r="AF25" s="23">
        <f t="shared" si="3"/>
        <v>1102387.4067308228</v>
      </c>
      <c r="AG25" s="21"/>
      <c r="AH25" s="29">
        <f>'Alloc. Factors and Property Tax'!$C$18</f>
        <v>0.9604166666666667</v>
      </c>
      <c r="AI25" s="21"/>
      <c r="AJ25" s="33">
        <f t="shared" si="2"/>
        <v>1058751.2385477277</v>
      </c>
    </row>
    <row r="26" spans="2:36" x14ac:dyDescent="0.2">
      <c r="B26" s="32" t="s">
        <v>16</v>
      </c>
      <c r="C26" s="22"/>
      <c r="D26" s="21">
        <v>2027</v>
      </c>
      <c r="E26" s="22"/>
      <c r="F26" s="263">
        <f>'Depr and ADFIT'!$C$1</f>
        <v>57798518.958269402</v>
      </c>
      <c r="G26" s="22"/>
      <c r="H26" s="26">
        <f>'Depr and ADFIT'!C24</f>
        <v>-5779872</v>
      </c>
      <c r="I26" s="21"/>
      <c r="J26" s="264">
        <f>'Depr and ADFIT'!J24</f>
        <v>320500</v>
      </c>
      <c r="K26" s="21"/>
      <c r="L26" s="269">
        <f>'Depr and ADFIT'!$N$1</f>
        <v>20059165.356256999</v>
      </c>
      <c r="M26" s="21"/>
      <c r="N26" s="26">
        <f>'Depr and ADFIT'!N24</f>
        <v>-5014800</v>
      </c>
      <c r="O26" s="21"/>
      <c r="P26" s="264">
        <f>'Depr and ADFIT'!P24</f>
        <v>-3159317</v>
      </c>
      <c r="Q26" s="21"/>
      <c r="R26" s="220">
        <f t="shared" si="0"/>
        <v>64224195.314526409</v>
      </c>
      <c r="S26" s="21"/>
      <c r="T26" s="28">
        <f>WACC!$S$16</f>
        <v>8.1600000000000006E-2</v>
      </c>
      <c r="U26" s="21"/>
      <c r="V26" s="22">
        <f t="shared" si="1"/>
        <v>436724.52813877963</v>
      </c>
      <c r="W26" s="21"/>
      <c r="X26" s="23">
        <f>'O&amp;M'!$C$11</f>
        <v>59375</v>
      </c>
      <c r="Y26" s="21"/>
      <c r="Z26" s="23">
        <f>(ROUND(F26*'Depr and ADFIT'!$C$4/12,0))</f>
        <v>321104</v>
      </c>
      <c r="AA26" s="23"/>
      <c r="AB26" s="23">
        <f>F26*'Alloc. Factors and Property Tax'!$E$24*'Alloc. Factors and Property Tax'!$E$25*'Alloc. Factors and Property Tax'!$E$26/12</f>
        <v>2866.2285551405798</v>
      </c>
      <c r="AC26" s="23"/>
      <c r="AD26" s="23">
        <f>Repayment!$AB$81/72</f>
        <v>278599.51883690275</v>
      </c>
      <c r="AE26" s="23"/>
      <c r="AF26" s="23">
        <f t="shared" si="3"/>
        <v>1098669.2755308228</v>
      </c>
      <c r="AG26" s="21"/>
      <c r="AH26" s="29">
        <f>'Alloc. Factors and Property Tax'!$C$18</f>
        <v>0.9604166666666667</v>
      </c>
      <c r="AI26" s="21"/>
      <c r="AJ26" s="33">
        <f t="shared" si="2"/>
        <v>1055180.2833743945</v>
      </c>
    </row>
    <row r="27" spans="2:36" x14ac:dyDescent="0.2">
      <c r="B27" s="32" t="s">
        <v>17</v>
      </c>
      <c r="C27" s="22"/>
      <c r="D27" s="21">
        <v>2027</v>
      </c>
      <c r="E27" s="22"/>
      <c r="F27" s="263">
        <f>'Depr and ADFIT'!$C$1</f>
        <v>57798518.958269402</v>
      </c>
      <c r="G27" s="22"/>
      <c r="H27" s="26">
        <f>'Depr and ADFIT'!C25</f>
        <v>-6100976</v>
      </c>
      <c r="I27" s="21"/>
      <c r="J27" s="264">
        <f>'Depr and ADFIT'!J25</f>
        <v>314913</v>
      </c>
      <c r="K27" s="21"/>
      <c r="L27" s="269">
        <f>'Depr and ADFIT'!$N$1</f>
        <v>20059165.356256999</v>
      </c>
      <c r="M27" s="21"/>
      <c r="N27" s="26">
        <f>'Depr and ADFIT'!N25</f>
        <v>-5293400</v>
      </c>
      <c r="O27" s="21"/>
      <c r="P27" s="264">
        <f>'Depr and ADFIT'!P25</f>
        <v>-3100811</v>
      </c>
      <c r="Q27" s="21"/>
      <c r="R27" s="220">
        <f t="shared" si="0"/>
        <v>63677410.314526409</v>
      </c>
      <c r="S27" s="21"/>
      <c r="T27" s="28">
        <f>WACC!$S$16</f>
        <v>8.1600000000000006E-2</v>
      </c>
      <c r="U27" s="21"/>
      <c r="V27" s="22">
        <f t="shared" si="1"/>
        <v>433006.39013877959</v>
      </c>
      <c r="W27" s="21"/>
      <c r="X27" s="23">
        <f>'O&amp;M'!$C$11</f>
        <v>59375</v>
      </c>
      <c r="Y27" s="21"/>
      <c r="Z27" s="23">
        <f>(ROUND(F27*'Depr and ADFIT'!$C$4/12,0))</f>
        <v>321104</v>
      </c>
      <c r="AA27" s="23"/>
      <c r="AB27" s="23">
        <f>F27*'Alloc. Factors and Property Tax'!$E$24*'Alloc. Factors and Property Tax'!$E$25*'Alloc. Factors and Property Tax'!$E$26/12</f>
        <v>2866.2285551405798</v>
      </c>
      <c r="AC27" s="23"/>
      <c r="AD27" s="23">
        <f>Repayment!$AB$81/72</f>
        <v>278599.51883690275</v>
      </c>
      <c r="AE27" s="23"/>
      <c r="AF27" s="23">
        <f t="shared" si="3"/>
        <v>1094951.1375308228</v>
      </c>
      <c r="AG27" s="21"/>
      <c r="AH27" s="29">
        <f>'Alloc. Factors and Property Tax'!$C$18</f>
        <v>0.9604166666666667</v>
      </c>
      <c r="AI27" s="21"/>
      <c r="AJ27" s="33">
        <f t="shared" si="2"/>
        <v>1051609.3216702277</v>
      </c>
    </row>
    <row r="28" spans="2:36" x14ac:dyDescent="0.2">
      <c r="B28" s="32" t="s">
        <v>18</v>
      </c>
      <c r="C28" s="22"/>
      <c r="D28" s="21">
        <v>2027</v>
      </c>
      <c r="E28" s="22"/>
      <c r="F28" s="263">
        <f>'Depr and ADFIT'!$C$1</f>
        <v>57798518.958269402</v>
      </c>
      <c r="G28" s="22"/>
      <c r="H28" s="26">
        <f>'Depr and ADFIT'!C26</f>
        <v>-6422080</v>
      </c>
      <c r="I28" s="21"/>
      <c r="J28" s="264">
        <f>'Depr and ADFIT'!J26</f>
        <v>309327</v>
      </c>
      <c r="K28" s="21"/>
      <c r="L28" s="269">
        <f>'Depr and ADFIT'!$N$1</f>
        <v>20059165.356256999</v>
      </c>
      <c r="M28" s="21"/>
      <c r="N28" s="26">
        <f>'Depr and ADFIT'!N26</f>
        <v>-5572000</v>
      </c>
      <c r="O28" s="21"/>
      <c r="P28" s="264">
        <f>'Depr and ADFIT'!P26</f>
        <v>-3042305</v>
      </c>
      <c r="Q28" s="21"/>
      <c r="R28" s="220">
        <f t="shared" si="0"/>
        <v>63130626.314526409</v>
      </c>
      <c r="S28" s="21"/>
      <c r="T28" s="28">
        <f>WACC!$S$16</f>
        <v>8.1600000000000006E-2</v>
      </c>
      <c r="U28" s="21"/>
      <c r="V28" s="22">
        <f t="shared" si="1"/>
        <v>429288.25893877959</v>
      </c>
      <c r="W28" s="21"/>
      <c r="X28" s="23">
        <f>'O&amp;M'!$C$11</f>
        <v>59375</v>
      </c>
      <c r="Y28" s="21"/>
      <c r="Z28" s="23">
        <f>(ROUND(F28*'Depr and ADFIT'!$C$4/12,0))</f>
        <v>321104</v>
      </c>
      <c r="AA28" s="23"/>
      <c r="AB28" s="23">
        <f>F28*'Alloc. Factors and Property Tax'!$E$24*'Alloc. Factors and Property Tax'!$E$25*'Alloc. Factors and Property Tax'!$E$26/12</f>
        <v>2866.2285551405798</v>
      </c>
      <c r="AC28" s="23"/>
      <c r="AD28" s="23">
        <f>Repayment!$AB$81/72</f>
        <v>278599.51883690275</v>
      </c>
      <c r="AE28" s="23"/>
      <c r="AF28" s="23">
        <f t="shared" si="3"/>
        <v>1091233.0063308228</v>
      </c>
      <c r="AG28" s="21"/>
      <c r="AH28" s="29">
        <f>'Alloc. Factors and Property Tax'!$C$18</f>
        <v>0.9604166666666667</v>
      </c>
      <c r="AI28" s="21"/>
      <c r="AJ28" s="33">
        <f t="shared" si="2"/>
        <v>1048038.3664968945</v>
      </c>
    </row>
    <row r="29" spans="2:36" x14ac:dyDescent="0.2">
      <c r="B29" s="32" t="s">
        <v>19</v>
      </c>
      <c r="C29" s="22"/>
      <c r="D29" s="21">
        <v>2027</v>
      </c>
      <c r="E29" s="22"/>
      <c r="F29" s="263">
        <f>'Depr and ADFIT'!$C$1</f>
        <v>57798518.958269402</v>
      </c>
      <c r="G29" s="22"/>
      <c r="H29" s="26">
        <f>'Depr and ADFIT'!C27</f>
        <v>-6743184</v>
      </c>
      <c r="I29" s="21"/>
      <c r="J29" s="264">
        <f>'Depr and ADFIT'!J27</f>
        <v>303740</v>
      </c>
      <c r="K29" s="21"/>
      <c r="L29" s="269">
        <f>'Depr and ADFIT'!$N$1</f>
        <v>20059165.356256999</v>
      </c>
      <c r="M29" s="21"/>
      <c r="N29" s="26">
        <f>'Depr and ADFIT'!N27</f>
        <v>-5850600</v>
      </c>
      <c r="O29" s="21"/>
      <c r="P29" s="264">
        <f>'Depr and ADFIT'!P27</f>
        <v>-2983799</v>
      </c>
      <c r="Q29" s="21"/>
      <c r="R29" s="220">
        <f t="shared" si="0"/>
        <v>62583841.314526409</v>
      </c>
      <c r="S29" s="21"/>
      <c r="T29" s="28">
        <f>WACC!$S$16</f>
        <v>8.1600000000000006E-2</v>
      </c>
      <c r="U29" s="21"/>
      <c r="V29" s="22">
        <f t="shared" si="1"/>
        <v>425570.12093877961</v>
      </c>
      <c r="W29" s="21"/>
      <c r="X29" s="23">
        <f>'O&amp;M'!$C$11</f>
        <v>59375</v>
      </c>
      <c r="Y29" s="21"/>
      <c r="Z29" s="23">
        <f>(ROUND(F29*'Depr and ADFIT'!$C$4/12,0))</f>
        <v>321104</v>
      </c>
      <c r="AA29" s="23"/>
      <c r="AB29" s="23">
        <f>F29*'Alloc. Factors and Property Tax'!$E$24*'Alloc. Factors and Property Tax'!$E$25*'Alloc. Factors and Property Tax'!$E$26/12</f>
        <v>2866.2285551405798</v>
      </c>
      <c r="AC29" s="23"/>
      <c r="AD29" s="23">
        <f>Repayment!$AB$81/72</f>
        <v>278599.51883690275</v>
      </c>
      <c r="AE29" s="23"/>
      <c r="AF29" s="23">
        <f t="shared" si="3"/>
        <v>1087514.8683308228</v>
      </c>
      <c r="AG29" s="21"/>
      <c r="AH29" s="29">
        <f>'Alloc. Factors and Property Tax'!$C$18</f>
        <v>0.9604166666666667</v>
      </c>
      <c r="AI29" s="21"/>
      <c r="AJ29" s="33">
        <f t="shared" si="2"/>
        <v>1044467.4047927278</v>
      </c>
    </row>
    <row r="30" spans="2:36" x14ac:dyDescent="0.2">
      <c r="B30" s="32" t="s">
        <v>8</v>
      </c>
      <c r="C30" s="22"/>
      <c r="D30" s="21">
        <v>2027</v>
      </c>
      <c r="E30" s="22"/>
      <c r="F30" s="263">
        <f>'Depr and ADFIT'!$C$1</f>
        <v>57798518.958269402</v>
      </c>
      <c r="G30" s="22"/>
      <c r="H30" s="26">
        <f>'Depr and ADFIT'!C28</f>
        <v>-7064288</v>
      </c>
      <c r="I30" s="21"/>
      <c r="J30" s="264">
        <f>'Depr and ADFIT'!J28</f>
        <v>298154</v>
      </c>
      <c r="K30" s="21"/>
      <c r="L30" s="269">
        <f>'Depr and ADFIT'!$N$1</f>
        <v>20059165.356256999</v>
      </c>
      <c r="M30" s="21"/>
      <c r="N30" s="26">
        <f>'Depr and ADFIT'!N28</f>
        <v>-6129200</v>
      </c>
      <c r="O30" s="21"/>
      <c r="P30" s="264">
        <f>'Depr and ADFIT'!P28</f>
        <v>-2925293</v>
      </c>
      <c r="Q30" s="21"/>
      <c r="R30" s="220">
        <f t="shared" si="0"/>
        <v>62037057.314526409</v>
      </c>
      <c r="S30" s="21"/>
      <c r="T30" s="28">
        <f>WACC!$S$16</f>
        <v>8.1600000000000006E-2</v>
      </c>
      <c r="U30" s="21"/>
      <c r="V30" s="22">
        <f t="shared" si="1"/>
        <v>421851.98973877961</v>
      </c>
      <c r="W30" s="21"/>
      <c r="X30" s="23">
        <f>'O&amp;M'!$C$11</f>
        <v>59375</v>
      </c>
      <c r="Y30" s="21"/>
      <c r="Z30" s="23">
        <f>(ROUND(F30*'Depr and ADFIT'!$C$4/12,0))</f>
        <v>321104</v>
      </c>
      <c r="AA30" s="23"/>
      <c r="AB30" s="23">
        <f>F30*'Alloc. Factors and Property Tax'!$E$24*'Alloc. Factors and Property Tax'!$E$25*'Alloc. Factors and Property Tax'!$E$26/12</f>
        <v>2866.2285551405798</v>
      </c>
      <c r="AC30" s="23"/>
      <c r="AD30" s="23">
        <f>Repayment!$AB$81/72</f>
        <v>278599.51883690275</v>
      </c>
      <c r="AE30" s="23"/>
      <c r="AF30" s="23">
        <f t="shared" si="3"/>
        <v>1083796.7371308228</v>
      </c>
      <c r="AG30" s="21"/>
      <c r="AH30" s="29">
        <f>'Alloc. Factors and Property Tax'!$C$18</f>
        <v>0.9604166666666667</v>
      </c>
      <c r="AI30" s="21"/>
      <c r="AJ30" s="33">
        <f t="shared" si="2"/>
        <v>1040896.4496193945</v>
      </c>
    </row>
    <row r="31" spans="2:36" x14ac:dyDescent="0.2">
      <c r="B31" s="32" t="s">
        <v>9</v>
      </c>
      <c r="C31" s="22"/>
      <c r="D31" s="21">
        <v>2027</v>
      </c>
      <c r="E31" s="22"/>
      <c r="F31" s="263">
        <f>'Depr and ADFIT'!$C$1</f>
        <v>57798518.958269402</v>
      </c>
      <c r="G31" s="22"/>
      <c r="H31" s="26">
        <f>'Depr and ADFIT'!C29</f>
        <v>-7385392</v>
      </c>
      <c r="I31" s="21"/>
      <c r="J31" s="264">
        <f>'Depr and ADFIT'!J29</f>
        <v>292568</v>
      </c>
      <c r="K31" s="21"/>
      <c r="L31" s="269">
        <f>'Depr and ADFIT'!$N$1</f>
        <v>20059165.356256999</v>
      </c>
      <c r="M31" s="21"/>
      <c r="N31" s="26">
        <f>'Depr and ADFIT'!N29</f>
        <v>-6407800</v>
      </c>
      <c r="O31" s="21"/>
      <c r="P31" s="264">
        <f>'Depr and ADFIT'!P29</f>
        <v>-2866787</v>
      </c>
      <c r="Q31" s="21"/>
      <c r="R31" s="220">
        <f t="shared" si="0"/>
        <v>61490273.314526409</v>
      </c>
      <c r="S31" s="21"/>
      <c r="T31" s="28">
        <f>WACC!$S$16</f>
        <v>8.1600000000000006E-2</v>
      </c>
      <c r="U31" s="21"/>
      <c r="V31" s="22">
        <f t="shared" si="1"/>
        <v>418133.8585387796</v>
      </c>
      <c r="W31" s="21"/>
      <c r="X31" s="23">
        <f>'O&amp;M'!$C$11</f>
        <v>59375</v>
      </c>
      <c r="Y31" s="21"/>
      <c r="Z31" s="23">
        <f>(ROUND(F31*'Depr and ADFIT'!$C$4/12,0))</f>
        <v>321104</v>
      </c>
      <c r="AA31" s="23"/>
      <c r="AB31" s="23">
        <f>F31*'Alloc. Factors and Property Tax'!$E$24*'Alloc. Factors and Property Tax'!$E$25*'Alloc. Factors and Property Tax'!$E$26/12</f>
        <v>2866.2285551405798</v>
      </c>
      <c r="AC31" s="23"/>
      <c r="AD31" s="23">
        <f>Repayment!$AB$81/72</f>
        <v>278599.51883690275</v>
      </c>
      <c r="AE31" s="23"/>
      <c r="AF31" s="23">
        <f t="shared" si="3"/>
        <v>1080078.6059308229</v>
      </c>
      <c r="AG31" s="21"/>
      <c r="AH31" s="29">
        <f>'Alloc. Factors and Property Tax'!$C$18</f>
        <v>0.9604166666666667</v>
      </c>
      <c r="AI31" s="21"/>
      <c r="AJ31" s="33">
        <f t="shared" si="2"/>
        <v>1037325.4944460612</v>
      </c>
    </row>
    <row r="32" spans="2:36" x14ac:dyDescent="0.2">
      <c r="B32" s="32" t="s">
        <v>10</v>
      </c>
      <c r="C32" s="22"/>
      <c r="D32" s="21">
        <v>2027</v>
      </c>
      <c r="E32" s="22"/>
      <c r="F32" s="263">
        <f>'Depr and ADFIT'!$C$1</f>
        <v>57798518.958269402</v>
      </c>
      <c r="G32" s="22"/>
      <c r="H32" s="26">
        <f>'Depr and ADFIT'!C30</f>
        <v>-7706496</v>
      </c>
      <c r="I32" s="21"/>
      <c r="J32" s="264">
        <f>'Depr and ADFIT'!J30</f>
        <v>286981</v>
      </c>
      <c r="K32" s="21"/>
      <c r="L32" s="269">
        <f>'Depr and ADFIT'!$N$1</f>
        <v>20059165.356256999</v>
      </c>
      <c r="M32" s="21"/>
      <c r="N32" s="26">
        <f>'Depr and ADFIT'!N30</f>
        <v>-6686400</v>
      </c>
      <c r="O32" s="21"/>
      <c r="P32" s="264">
        <f>'Depr and ADFIT'!P30</f>
        <v>-2808281</v>
      </c>
      <c r="Q32" s="21"/>
      <c r="R32" s="220">
        <f t="shared" si="0"/>
        <v>60943488.314526409</v>
      </c>
      <c r="S32" s="21"/>
      <c r="T32" s="28">
        <f>WACC!$S$16</f>
        <v>8.1600000000000006E-2</v>
      </c>
      <c r="U32" s="21"/>
      <c r="V32" s="22">
        <f t="shared" si="1"/>
        <v>414415.72053877963</v>
      </c>
      <c r="W32" s="21"/>
      <c r="X32" s="23">
        <f>'O&amp;M'!$C$11</f>
        <v>59375</v>
      </c>
      <c r="Y32" s="21"/>
      <c r="Z32" s="23">
        <f>(ROUND(F32*'Depr and ADFIT'!$C$4/12,0))</f>
        <v>321104</v>
      </c>
      <c r="AA32" s="23"/>
      <c r="AB32" s="23">
        <f>F32*'Alloc. Factors and Property Tax'!$E$24*'Alloc. Factors and Property Tax'!$E$25*'Alloc. Factors and Property Tax'!$E$26/12</f>
        <v>2866.2285551405798</v>
      </c>
      <c r="AC32" s="23"/>
      <c r="AD32" s="23">
        <f>Repayment!$AB$81/72</f>
        <v>278599.51883690275</v>
      </c>
      <c r="AE32" s="23"/>
      <c r="AF32" s="23">
        <f t="shared" si="3"/>
        <v>1076360.4679308229</v>
      </c>
      <c r="AG32" s="21"/>
      <c r="AH32" s="29">
        <f>'Alloc. Factors and Property Tax'!$C$18</f>
        <v>0.9604166666666667</v>
      </c>
      <c r="AI32" s="21"/>
      <c r="AJ32" s="33">
        <f t="shared" si="2"/>
        <v>1033754.5327418945</v>
      </c>
    </row>
    <row r="33" spans="2:36" x14ac:dyDescent="0.2">
      <c r="B33" s="32" t="s">
        <v>11</v>
      </c>
      <c r="D33" s="3">
        <v>2028</v>
      </c>
      <c r="F33" s="263">
        <f>'Depr and ADFIT'!$C$1</f>
        <v>57798518.958269402</v>
      </c>
      <c r="G33" s="252"/>
      <c r="H33" s="26">
        <f>'Depr and ADFIT'!C31</f>
        <v>-8027600</v>
      </c>
      <c r="I33" s="252"/>
      <c r="J33" s="264">
        <f>'Depr and ADFIT'!J31</f>
        <v>286877</v>
      </c>
      <c r="L33" s="269">
        <f>'Depr and ADFIT'!$N$1</f>
        <v>20059165.356256999</v>
      </c>
      <c r="M33" s="252"/>
      <c r="N33" s="26">
        <f>'Depr and ADFIT'!N31</f>
        <v>-6965000</v>
      </c>
      <c r="O33" s="252"/>
      <c r="P33" s="264">
        <f>'Depr and ADFIT'!P31</f>
        <v>-2749775</v>
      </c>
      <c r="R33" s="220">
        <f t="shared" si="0"/>
        <v>60402186.314526409</v>
      </c>
      <c r="T33" s="28">
        <f>WACC!$S$16</f>
        <v>8.1600000000000006E-2</v>
      </c>
      <c r="V33" s="22">
        <f t="shared" si="1"/>
        <v>410734.8669387796</v>
      </c>
      <c r="X33" s="23">
        <f>'O&amp;M'!$D$11</f>
        <v>55208.333333333336</v>
      </c>
      <c r="Z33" s="23">
        <f>(ROUND(F33*'Depr and ADFIT'!$C$4/12,0))</f>
        <v>321104</v>
      </c>
      <c r="AB33" s="23">
        <f>F33*'Alloc. Factors and Property Tax'!$E$24*'Alloc. Factors and Property Tax'!$E$25*'Alloc. Factors and Property Tax'!$E$26/12</f>
        <v>2866.2285551405798</v>
      </c>
      <c r="AD33" s="23">
        <f>Repayment!$AB$81/72</f>
        <v>278599.51883690275</v>
      </c>
      <c r="AF33" s="23">
        <f t="shared" si="3"/>
        <v>1068512.9476641561</v>
      </c>
      <c r="AH33" s="29">
        <f>'Alloc. Factors and Property Tax'!$C$18</f>
        <v>0.9604166666666667</v>
      </c>
      <c r="AJ33" s="33">
        <f t="shared" si="2"/>
        <v>1026217.6434857833</v>
      </c>
    </row>
    <row r="34" spans="2:36" x14ac:dyDescent="0.2">
      <c r="B34" s="32" t="s">
        <v>12</v>
      </c>
      <c r="D34" s="3">
        <v>2028</v>
      </c>
      <c r="F34" s="263">
        <f>'Depr and ADFIT'!$C$1</f>
        <v>57798518.958269402</v>
      </c>
      <c r="G34" s="252"/>
      <c r="H34" s="26">
        <f>'Depr and ADFIT'!C32</f>
        <v>-8348704</v>
      </c>
      <c r="I34" s="252"/>
      <c r="J34" s="264">
        <f>'Depr and ADFIT'!J32</f>
        <v>286772</v>
      </c>
      <c r="L34" s="269">
        <f>'Depr and ADFIT'!$N$1</f>
        <v>20059165.356256999</v>
      </c>
      <c r="M34" s="252"/>
      <c r="N34" s="26">
        <f>'Depr and ADFIT'!N32</f>
        <v>-7243600</v>
      </c>
      <c r="O34" s="252"/>
      <c r="P34" s="264">
        <f>'Depr and ADFIT'!P32</f>
        <v>-2691269</v>
      </c>
      <c r="R34" s="220">
        <f t="shared" si="0"/>
        <v>59860883.314526409</v>
      </c>
      <c r="T34" s="28">
        <f>WACC!$S$16</f>
        <v>8.1600000000000006E-2</v>
      </c>
      <c r="V34" s="22">
        <f t="shared" si="1"/>
        <v>407054.00653877965</v>
      </c>
      <c r="X34" s="23">
        <f>'O&amp;M'!$D$11</f>
        <v>55208.333333333336</v>
      </c>
      <c r="Z34" s="23">
        <f>(ROUND(F34*'Depr and ADFIT'!$C$4/12,0))</f>
        <v>321104</v>
      </c>
      <c r="AB34" s="23">
        <f>F34*'Alloc. Factors and Property Tax'!$E$24*'Alloc. Factors and Property Tax'!$E$25*'Alloc. Factors and Property Tax'!$E$26/12</f>
        <v>2866.2285551405798</v>
      </c>
      <c r="AD34" s="23">
        <f>Repayment!$AB$81/72</f>
        <v>278599.51883690275</v>
      </c>
      <c r="AF34" s="23">
        <f t="shared" si="3"/>
        <v>1064832.0872641562</v>
      </c>
      <c r="AH34" s="29">
        <f>'Alloc. Factors and Property Tax'!$C$18</f>
        <v>0.9604166666666667</v>
      </c>
      <c r="AJ34" s="33">
        <f t="shared" si="2"/>
        <v>1022682.4838099501</v>
      </c>
    </row>
    <row r="35" spans="2:36" x14ac:dyDescent="0.2">
      <c r="B35" s="32" t="s">
        <v>13</v>
      </c>
      <c r="D35" s="3">
        <v>2028</v>
      </c>
      <c r="F35" s="263">
        <f>'Depr and ADFIT'!$C$1</f>
        <v>57798518.958269402</v>
      </c>
      <c r="G35" s="252"/>
      <c r="H35" s="26">
        <f>'Depr and ADFIT'!C33</f>
        <v>-8669808</v>
      </c>
      <c r="I35" s="252"/>
      <c r="J35" s="264">
        <f>'Depr and ADFIT'!J33</f>
        <v>286668</v>
      </c>
      <c r="L35" s="269">
        <f>'Depr and ADFIT'!$N$1</f>
        <v>20059165.356256999</v>
      </c>
      <c r="M35" s="252"/>
      <c r="N35" s="26">
        <f>'Depr and ADFIT'!N33</f>
        <v>-7522200</v>
      </c>
      <c r="O35" s="252"/>
      <c r="P35" s="264">
        <f>'Depr and ADFIT'!P33</f>
        <v>-2632763</v>
      </c>
      <c r="R35" s="220">
        <f t="shared" si="0"/>
        <v>59319581.314526409</v>
      </c>
      <c r="T35" s="28">
        <f>WACC!$S$16</f>
        <v>8.1600000000000006E-2</v>
      </c>
      <c r="V35" s="22">
        <f t="shared" si="1"/>
        <v>403373.15293877962</v>
      </c>
      <c r="X35" s="23">
        <f>'O&amp;M'!$D$11</f>
        <v>55208.333333333336</v>
      </c>
      <c r="Z35" s="23">
        <f>(ROUND(F35*'Depr and ADFIT'!$C$4/12,0))</f>
        <v>321104</v>
      </c>
      <c r="AB35" s="23">
        <f>F35*'Alloc. Factors and Property Tax'!$E$24*'Alloc. Factors and Property Tax'!$E$25*'Alloc. Factors and Property Tax'!$E$26/12</f>
        <v>2866.2285551405798</v>
      </c>
      <c r="AD35" s="23">
        <f>Repayment!$AB$81/72</f>
        <v>278599.51883690275</v>
      </c>
      <c r="AF35" s="23">
        <f t="shared" si="3"/>
        <v>1061151.2336641562</v>
      </c>
      <c r="AH35" s="29">
        <f>'Alloc. Factors and Property Tax'!$C$18</f>
        <v>0.9604166666666667</v>
      </c>
      <c r="AJ35" s="33">
        <f t="shared" si="2"/>
        <v>1019147.3306649501</v>
      </c>
    </row>
    <row r="36" spans="2:36" x14ac:dyDescent="0.2">
      <c r="B36" s="32" t="s">
        <v>14</v>
      </c>
      <c r="D36" s="3">
        <v>2028</v>
      </c>
      <c r="F36" s="263">
        <f>'Depr and ADFIT'!$C$1</f>
        <v>57798518.958269402</v>
      </c>
      <c r="G36" s="252"/>
      <c r="H36" s="26">
        <f>'Depr and ADFIT'!C34</f>
        <v>-8990912</v>
      </c>
      <c r="I36" s="252"/>
      <c r="J36" s="264">
        <f>'Depr and ADFIT'!J34</f>
        <v>286564</v>
      </c>
      <c r="L36" s="269">
        <f>'Depr and ADFIT'!$N$1</f>
        <v>20059165.356256999</v>
      </c>
      <c r="M36" s="252"/>
      <c r="N36" s="26">
        <f>'Depr and ADFIT'!N34</f>
        <v>-7800800</v>
      </c>
      <c r="O36" s="252"/>
      <c r="P36" s="264">
        <f>'Depr and ADFIT'!P34</f>
        <v>-2574257</v>
      </c>
      <c r="R36" s="220">
        <f t="shared" si="0"/>
        <v>58778279.314526409</v>
      </c>
      <c r="T36" s="28">
        <f>WACC!$S$16</f>
        <v>8.1600000000000006E-2</v>
      </c>
      <c r="V36" s="22">
        <f t="shared" si="1"/>
        <v>399692.29933877965</v>
      </c>
      <c r="X36" s="23">
        <f>'O&amp;M'!$D$11</f>
        <v>55208.333333333336</v>
      </c>
      <c r="Z36" s="23">
        <f>(ROUND(F36*'Depr and ADFIT'!$C$4/12,0))</f>
        <v>321104</v>
      </c>
      <c r="AB36" s="23">
        <f>F36*'Alloc. Factors and Property Tax'!$E$24*'Alloc. Factors and Property Tax'!$E$25*'Alloc. Factors and Property Tax'!$E$26/12</f>
        <v>2866.2285551405798</v>
      </c>
      <c r="AD36" s="23">
        <f>Repayment!$AB$81/72</f>
        <v>278599.51883690275</v>
      </c>
      <c r="AF36" s="23">
        <f t="shared" si="3"/>
        <v>1057470.3800641561</v>
      </c>
      <c r="AH36" s="29">
        <f>'Alloc. Factors and Property Tax'!$C$18</f>
        <v>0.9604166666666667</v>
      </c>
      <c r="AJ36" s="33">
        <f t="shared" si="2"/>
        <v>1015612.17751995</v>
      </c>
    </row>
    <row r="37" spans="2:36" x14ac:dyDescent="0.2">
      <c r="B37" s="32" t="s">
        <v>15</v>
      </c>
      <c r="D37" s="3">
        <v>2028</v>
      </c>
      <c r="F37" s="263">
        <f>'Depr and ADFIT'!$C$1</f>
        <v>57798518.958269402</v>
      </c>
      <c r="G37" s="252"/>
      <c r="H37" s="26">
        <f>'Depr and ADFIT'!C35</f>
        <v>-9312016</v>
      </c>
      <c r="I37" s="252"/>
      <c r="J37" s="264">
        <f>'Depr and ADFIT'!J35</f>
        <v>286460</v>
      </c>
      <c r="L37" s="269">
        <f>'Depr and ADFIT'!$N$1</f>
        <v>20059165.356256999</v>
      </c>
      <c r="M37" s="252"/>
      <c r="N37" s="26">
        <f>'Depr and ADFIT'!N35</f>
        <v>-8079400</v>
      </c>
      <c r="O37" s="252"/>
      <c r="P37" s="264">
        <f>'Depr and ADFIT'!P35</f>
        <v>-2515751</v>
      </c>
      <c r="R37" s="220">
        <f t="shared" si="0"/>
        <v>58236977.314526409</v>
      </c>
      <c r="T37" s="28">
        <f>WACC!$S$16</f>
        <v>8.1600000000000006E-2</v>
      </c>
      <c r="V37" s="22">
        <f t="shared" si="1"/>
        <v>396011.44573877961</v>
      </c>
      <c r="X37" s="23">
        <f>'O&amp;M'!$D$11</f>
        <v>55208.333333333336</v>
      </c>
      <c r="Z37" s="23">
        <f>(ROUND(F37*'Depr and ADFIT'!$C$4/12,0))</f>
        <v>321104</v>
      </c>
      <c r="AB37" s="23">
        <f>F37*'Alloc. Factors and Property Tax'!$E$24*'Alloc. Factors and Property Tax'!$E$25*'Alloc. Factors and Property Tax'!$E$26/12</f>
        <v>2866.2285551405798</v>
      </c>
      <c r="AD37" s="23">
        <f>Repayment!$AB$81/72</f>
        <v>278599.51883690275</v>
      </c>
      <c r="AF37" s="23">
        <f t="shared" si="3"/>
        <v>1053789.5264641561</v>
      </c>
      <c r="AH37" s="29">
        <f>'Alloc. Factors and Property Tax'!$C$18</f>
        <v>0.9604166666666667</v>
      </c>
      <c r="AJ37" s="33">
        <f t="shared" si="2"/>
        <v>1012077.02437495</v>
      </c>
    </row>
    <row r="38" spans="2:36" x14ac:dyDescent="0.2">
      <c r="B38" s="32" t="s">
        <v>16</v>
      </c>
      <c r="D38" s="3">
        <v>2028</v>
      </c>
      <c r="F38" s="263">
        <f>'Depr and ADFIT'!$C$1</f>
        <v>57798518.958269402</v>
      </c>
      <c r="G38" s="252"/>
      <c r="H38" s="26">
        <f>'Depr and ADFIT'!C36</f>
        <v>-9633120</v>
      </c>
      <c r="I38" s="252"/>
      <c r="J38" s="264">
        <f>'Depr and ADFIT'!J36</f>
        <v>286355</v>
      </c>
      <c r="L38" s="269">
        <f>'Depr and ADFIT'!$N$1</f>
        <v>20059165.356256999</v>
      </c>
      <c r="M38" s="252"/>
      <c r="N38" s="26">
        <f>'Depr and ADFIT'!N36</f>
        <v>-8358000</v>
      </c>
      <c r="O38" s="252"/>
      <c r="P38" s="264">
        <f>'Depr and ADFIT'!P36</f>
        <v>-2457245</v>
      </c>
      <c r="R38" s="220">
        <f t="shared" si="0"/>
        <v>57695674.314526409</v>
      </c>
      <c r="T38" s="28">
        <f>WACC!$S$16</f>
        <v>8.1600000000000006E-2</v>
      </c>
      <c r="V38" s="22">
        <f t="shared" si="1"/>
        <v>392330.58533877967</v>
      </c>
      <c r="X38" s="23">
        <f>'O&amp;M'!$D$11</f>
        <v>55208.333333333336</v>
      </c>
      <c r="Z38" s="23">
        <f>(ROUND(F38*'Depr and ADFIT'!$C$4/12,0))</f>
        <v>321104</v>
      </c>
      <c r="AB38" s="23">
        <f>F38*'Alloc. Factors and Property Tax'!$E$24*'Alloc. Factors and Property Tax'!$E$25*'Alloc. Factors and Property Tax'!$E$26/12</f>
        <v>2866.2285551405798</v>
      </c>
      <c r="AD38" s="23">
        <f>Repayment!$AB$81/72</f>
        <v>278599.51883690275</v>
      </c>
      <c r="AF38" s="23">
        <f t="shared" si="3"/>
        <v>1050108.6660641562</v>
      </c>
      <c r="AH38" s="29">
        <f>'Alloc. Factors and Property Tax'!$C$18</f>
        <v>0.9604166666666667</v>
      </c>
      <c r="AJ38" s="33">
        <f t="shared" si="2"/>
        <v>1008541.8646991168</v>
      </c>
    </row>
    <row r="39" spans="2:36" x14ac:dyDescent="0.2">
      <c r="B39" s="32" t="s">
        <v>17</v>
      </c>
      <c r="D39" s="3">
        <v>2028</v>
      </c>
      <c r="F39" s="263">
        <f>'Depr and ADFIT'!$C$1</f>
        <v>57798518.958269402</v>
      </c>
      <c r="G39" s="252"/>
      <c r="H39" s="26">
        <f>'Depr and ADFIT'!C37</f>
        <v>-9954224</v>
      </c>
      <c r="I39" s="252"/>
      <c r="J39" s="264">
        <f>'Depr and ADFIT'!J37</f>
        <v>286251</v>
      </c>
      <c r="L39" s="269">
        <f>'Depr and ADFIT'!$N$1</f>
        <v>20059165.356256999</v>
      </c>
      <c r="M39" s="252"/>
      <c r="N39" s="26">
        <f>'Depr and ADFIT'!N37</f>
        <v>-8636600</v>
      </c>
      <c r="O39" s="252"/>
      <c r="P39" s="264">
        <f>'Depr and ADFIT'!P37</f>
        <v>-2398739</v>
      </c>
      <c r="R39" s="220">
        <f t="shared" si="0"/>
        <v>57154372.314526409</v>
      </c>
      <c r="T39" s="28">
        <f>WACC!$S$16</f>
        <v>8.1600000000000006E-2</v>
      </c>
      <c r="V39" s="22">
        <f t="shared" si="1"/>
        <v>388649.73173877964</v>
      </c>
      <c r="X39" s="23">
        <f>'O&amp;M'!$D$11</f>
        <v>55208.333333333336</v>
      </c>
      <c r="Z39" s="23">
        <f>(ROUND(F39*'Depr and ADFIT'!$C$4/12,0))</f>
        <v>321104</v>
      </c>
      <c r="AB39" s="23">
        <f>F39*'Alloc. Factors and Property Tax'!$E$24*'Alloc. Factors and Property Tax'!$E$25*'Alloc. Factors and Property Tax'!$E$26/12</f>
        <v>2866.2285551405798</v>
      </c>
      <c r="AD39" s="23">
        <f>Repayment!$AB$81/72</f>
        <v>278599.51883690275</v>
      </c>
      <c r="AF39" s="23">
        <f t="shared" si="3"/>
        <v>1046427.8124641562</v>
      </c>
      <c r="AH39" s="29">
        <f>'Alloc. Factors and Property Tax'!$C$18</f>
        <v>0.9604166666666667</v>
      </c>
      <c r="AJ39" s="33">
        <f t="shared" si="2"/>
        <v>1005006.7115541167</v>
      </c>
    </row>
    <row r="40" spans="2:36" x14ac:dyDescent="0.2">
      <c r="B40" s="32" t="s">
        <v>18</v>
      </c>
      <c r="D40" s="3">
        <v>2028</v>
      </c>
      <c r="F40" s="263">
        <f>'Depr and ADFIT'!$C$1</f>
        <v>57798518.958269402</v>
      </c>
      <c r="G40" s="252"/>
      <c r="H40" s="26">
        <f>'Depr and ADFIT'!C38</f>
        <v>-10275328</v>
      </c>
      <c r="I40" s="252"/>
      <c r="J40" s="264">
        <f>'Depr and ADFIT'!J38</f>
        <v>286147</v>
      </c>
      <c r="L40" s="269">
        <f>'Depr and ADFIT'!$N$1</f>
        <v>20059165.356256999</v>
      </c>
      <c r="M40" s="252"/>
      <c r="N40" s="26">
        <f>'Depr and ADFIT'!N38</f>
        <v>-8915200</v>
      </c>
      <c r="O40" s="252"/>
      <c r="P40" s="264">
        <f>'Depr and ADFIT'!P38</f>
        <v>-2340233</v>
      </c>
      <c r="R40" s="220">
        <f t="shared" si="0"/>
        <v>56613070.314526409</v>
      </c>
      <c r="T40" s="28">
        <f>WACC!$S$16</f>
        <v>8.1600000000000006E-2</v>
      </c>
      <c r="V40" s="22">
        <f t="shared" si="1"/>
        <v>384968.8781387796</v>
      </c>
      <c r="X40" s="23">
        <f>'O&amp;M'!$D$11</f>
        <v>55208.333333333336</v>
      </c>
      <c r="Z40" s="23">
        <f>(ROUND(F40*'Depr and ADFIT'!$C$4/12,0))</f>
        <v>321104</v>
      </c>
      <c r="AB40" s="23">
        <f>F40*'Alloc. Factors and Property Tax'!$E$24*'Alloc. Factors and Property Tax'!$E$25*'Alloc. Factors and Property Tax'!$E$26/12</f>
        <v>2866.2285551405798</v>
      </c>
      <c r="AD40" s="23">
        <f>Repayment!$AB$81/72</f>
        <v>278599.51883690275</v>
      </c>
      <c r="AF40" s="23">
        <f t="shared" si="3"/>
        <v>1042746.9588641562</v>
      </c>
      <c r="AH40" s="29">
        <f>'Alloc. Factors and Property Tax'!$C$18</f>
        <v>0.9604166666666667</v>
      </c>
      <c r="AJ40" s="33">
        <f t="shared" si="2"/>
        <v>1001471.5584091167</v>
      </c>
    </row>
    <row r="41" spans="2:36" x14ac:dyDescent="0.2">
      <c r="B41" s="32" t="s">
        <v>19</v>
      </c>
      <c r="D41" s="3">
        <v>2028</v>
      </c>
      <c r="F41" s="263">
        <f>'Depr and ADFIT'!$C$1</f>
        <v>57798518.958269402</v>
      </c>
      <c r="G41" s="252"/>
      <c r="H41" s="26">
        <f>'Depr and ADFIT'!C39</f>
        <v>-10596432</v>
      </c>
      <c r="I41" s="252"/>
      <c r="J41" s="264">
        <f>'Depr and ADFIT'!J39</f>
        <v>286042</v>
      </c>
      <c r="L41" s="269">
        <f>'Depr and ADFIT'!$N$1</f>
        <v>20059165.356256999</v>
      </c>
      <c r="M41" s="252"/>
      <c r="N41" s="26">
        <f>'Depr and ADFIT'!N39</f>
        <v>-9193800</v>
      </c>
      <c r="O41" s="252"/>
      <c r="P41" s="264">
        <f>'Depr and ADFIT'!P39</f>
        <v>-2281727</v>
      </c>
      <c r="R41" s="220">
        <f t="shared" ref="R41:R72" si="4">SUM(F41:Q41)</f>
        <v>56071767.314526409</v>
      </c>
      <c r="T41" s="28">
        <f>WACC!$S$16</f>
        <v>8.1600000000000006E-2</v>
      </c>
      <c r="V41" s="22">
        <f t="shared" si="1"/>
        <v>381288.0177387796</v>
      </c>
      <c r="X41" s="23">
        <f>'O&amp;M'!$D$11</f>
        <v>55208.333333333336</v>
      </c>
      <c r="Z41" s="23">
        <f>(ROUND(F41*'Depr and ADFIT'!$C$4/12,0))</f>
        <v>321104</v>
      </c>
      <c r="AB41" s="23">
        <f>F41*'Alloc. Factors and Property Tax'!$E$24*'Alloc. Factors and Property Tax'!$E$25*'Alloc. Factors and Property Tax'!$E$26/12</f>
        <v>2866.2285551405798</v>
      </c>
      <c r="AD41" s="23">
        <f>Repayment!$AB$81/72</f>
        <v>278599.51883690275</v>
      </c>
      <c r="AF41" s="23">
        <f t="shared" si="3"/>
        <v>1039066.0984641563</v>
      </c>
      <c r="AH41" s="29">
        <f>'Alloc. Factors and Property Tax'!$C$18</f>
        <v>0.9604166666666667</v>
      </c>
      <c r="AJ41" s="33">
        <f t="shared" si="2"/>
        <v>997936.39873328339</v>
      </c>
    </row>
    <row r="42" spans="2:36" x14ac:dyDescent="0.2">
      <c r="B42" s="32" t="s">
        <v>8</v>
      </c>
      <c r="D42" s="3">
        <v>2028</v>
      </c>
      <c r="F42" s="263">
        <f>'Depr and ADFIT'!$C$1</f>
        <v>57798518.958269402</v>
      </c>
      <c r="G42" s="252"/>
      <c r="H42" s="26">
        <f>'Depr and ADFIT'!C40</f>
        <v>-10917536</v>
      </c>
      <c r="I42" s="252"/>
      <c r="J42" s="264">
        <f>'Depr and ADFIT'!J40</f>
        <v>285938</v>
      </c>
      <c r="L42" s="269">
        <f>'Depr and ADFIT'!$N$1</f>
        <v>20059165.356256999</v>
      </c>
      <c r="M42" s="252"/>
      <c r="N42" s="26">
        <f>'Depr and ADFIT'!N40</f>
        <v>-9472400</v>
      </c>
      <c r="O42" s="252"/>
      <c r="P42" s="264">
        <f>'Depr and ADFIT'!P40</f>
        <v>-2223221</v>
      </c>
      <c r="R42" s="220">
        <f t="shared" si="4"/>
        <v>55530465.314526409</v>
      </c>
      <c r="T42" s="28">
        <f>WACC!$S$16</f>
        <v>8.1600000000000006E-2</v>
      </c>
      <c r="V42" s="22">
        <f t="shared" si="1"/>
        <v>377607.16413877957</v>
      </c>
      <c r="X42" s="23">
        <f>'O&amp;M'!$D$11</f>
        <v>55208.333333333336</v>
      </c>
      <c r="Z42" s="23">
        <f>(ROUND(F42*'Depr and ADFIT'!$C$4/12,0))</f>
        <v>321104</v>
      </c>
      <c r="AB42" s="23">
        <f>F42*'Alloc. Factors and Property Tax'!$E$24*'Alloc. Factors and Property Tax'!$E$25*'Alloc. Factors and Property Tax'!$E$26/12</f>
        <v>2866.2285551405798</v>
      </c>
      <c r="AD42" s="23">
        <f>Repayment!$AB$81/72</f>
        <v>278599.51883690275</v>
      </c>
      <c r="AF42" s="23">
        <f t="shared" si="3"/>
        <v>1035385.2448641562</v>
      </c>
      <c r="AH42" s="29">
        <f>'Alloc. Factors and Property Tax'!$C$18</f>
        <v>0.9604166666666667</v>
      </c>
      <c r="AJ42" s="33">
        <f t="shared" si="2"/>
        <v>994401.2455882834</v>
      </c>
    </row>
    <row r="43" spans="2:36" x14ac:dyDescent="0.2">
      <c r="B43" s="32" t="s">
        <v>9</v>
      </c>
      <c r="D43" s="3">
        <v>2028</v>
      </c>
      <c r="F43" s="263">
        <f>'Depr and ADFIT'!$C$1</f>
        <v>57798518.958269402</v>
      </c>
      <c r="G43" s="252"/>
      <c r="H43" s="26">
        <f>'Depr and ADFIT'!C41</f>
        <v>-11238640</v>
      </c>
      <c r="I43" s="252"/>
      <c r="J43" s="264">
        <f>'Depr and ADFIT'!J41</f>
        <v>285834</v>
      </c>
      <c r="L43" s="269">
        <f>'Depr and ADFIT'!$N$1</f>
        <v>20059165.356256999</v>
      </c>
      <c r="M43" s="252"/>
      <c r="N43" s="26">
        <f>'Depr and ADFIT'!N41</f>
        <v>-9751000</v>
      </c>
      <c r="O43" s="252"/>
      <c r="P43" s="264">
        <f>'Depr and ADFIT'!P41</f>
        <v>-2164715</v>
      </c>
      <c r="R43" s="220">
        <f t="shared" si="4"/>
        <v>54989163.314526401</v>
      </c>
      <c r="T43" s="28">
        <f>WACC!$S$16</f>
        <v>8.1600000000000006E-2</v>
      </c>
      <c r="V43" s="22">
        <f t="shared" si="1"/>
        <v>373926.31053877954</v>
      </c>
      <c r="X43" s="23">
        <f>'O&amp;M'!$D$11</f>
        <v>55208.333333333336</v>
      </c>
      <c r="Z43" s="23">
        <f>(ROUND(F43*'Depr and ADFIT'!$C$4/12,0))</f>
        <v>321104</v>
      </c>
      <c r="AB43" s="23">
        <f>F43*'Alloc. Factors and Property Tax'!$E$24*'Alloc. Factors and Property Tax'!$E$25*'Alloc. Factors and Property Tax'!$E$26/12</f>
        <v>2866.2285551405798</v>
      </c>
      <c r="AD43" s="23">
        <f>Repayment!$AB$81/72</f>
        <v>278599.51883690275</v>
      </c>
      <c r="AF43" s="23">
        <f t="shared" si="3"/>
        <v>1031704.3912641562</v>
      </c>
      <c r="AH43" s="29">
        <f>'Alloc. Factors and Property Tax'!$C$18</f>
        <v>0.9604166666666667</v>
      </c>
      <c r="AJ43" s="33">
        <f t="shared" si="2"/>
        <v>990866.09244328341</v>
      </c>
    </row>
    <row r="44" spans="2:36" x14ac:dyDescent="0.2">
      <c r="B44" s="32" t="s">
        <v>10</v>
      </c>
      <c r="D44" s="3">
        <v>2028</v>
      </c>
      <c r="F44" s="263">
        <f>'Depr and ADFIT'!$C$1</f>
        <v>57798518.958269402</v>
      </c>
      <c r="G44" s="252"/>
      <c r="H44" s="26">
        <f>'Depr and ADFIT'!C42</f>
        <v>-11559744</v>
      </c>
      <c r="I44" s="252"/>
      <c r="J44" s="264">
        <f>'Depr and ADFIT'!J42</f>
        <v>285730</v>
      </c>
      <c r="L44" s="269">
        <f>'Depr and ADFIT'!$N$1</f>
        <v>20059165.356256999</v>
      </c>
      <c r="M44" s="252"/>
      <c r="N44" s="26">
        <f>'Depr and ADFIT'!N42</f>
        <v>-10029600</v>
      </c>
      <c r="O44" s="252"/>
      <c r="P44" s="264">
        <f>'Depr and ADFIT'!P42</f>
        <v>-2106209</v>
      </c>
      <c r="R44" s="220">
        <f t="shared" si="4"/>
        <v>54447861.314526401</v>
      </c>
      <c r="T44" s="28">
        <f>WACC!$S$16</f>
        <v>8.1600000000000006E-2</v>
      </c>
      <c r="V44" s="22">
        <f t="shared" si="1"/>
        <v>370245.45693877951</v>
      </c>
      <c r="X44" s="23">
        <f>'O&amp;M'!$D$11</f>
        <v>55208.333333333336</v>
      </c>
      <c r="Z44" s="23">
        <f>(ROUND(F44*'Depr and ADFIT'!$C$4/12,0))</f>
        <v>321104</v>
      </c>
      <c r="AB44" s="23">
        <f>F44*'Alloc. Factors and Property Tax'!$E$24*'Alloc. Factors and Property Tax'!$E$25*'Alloc. Factors and Property Tax'!$E$26/12</f>
        <v>2866.2285551405798</v>
      </c>
      <c r="AD44" s="23">
        <f>Repayment!$AB$81/72</f>
        <v>278599.51883690275</v>
      </c>
      <c r="AF44" s="23">
        <f t="shared" si="3"/>
        <v>1028023.5376641562</v>
      </c>
      <c r="AH44" s="29">
        <f>'Alloc. Factors and Property Tax'!$C$18</f>
        <v>0.9604166666666667</v>
      </c>
      <c r="AJ44" s="33">
        <f t="shared" si="2"/>
        <v>987330.93929828331</v>
      </c>
    </row>
    <row r="45" spans="2:36" x14ac:dyDescent="0.2">
      <c r="B45" s="32" t="s">
        <v>11</v>
      </c>
      <c r="D45" s="3">
        <v>2029</v>
      </c>
      <c r="F45" s="263">
        <f>'Depr and ADFIT'!$C$1</f>
        <v>57798518.958269402</v>
      </c>
      <c r="G45" s="252"/>
      <c r="H45" s="26">
        <f>'Depr and ADFIT'!C43</f>
        <v>-11880848</v>
      </c>
      <c r="I45" s="252"/>
      <c r="J45" s="264">
        <f>'Depr and ADFIT'!J43</f>
        <v>290683</v>
      </c>
      <c r="L45" s="269">
        <f>'Depr and ADFIT'!$N$1</f>
        <v>20059165.356256999</v>
      </c>
      <c r="M45" s="252"/>
      <c r="N45" s="26">
        <f>'Depr and ADFIT'!N43</f>
        <v>-10308200</v>
      </c>
      <c r="O45" s="252"/>
      <c r="P45" s="264">
        <f>'Depr and ADFIT'!P43</f>
        <v>-2047703</v>
      </c>
      <c r="R45" s="220">
        <f t="shared" si="4"/>
        <v>53911616.314526401</v>
      </c>
      <c r="T45" s="28">
        <f>WACC!$S$16</f>
        <v>8.1600000000000006E-2</v>
      </c>
      <c r="V45" s="22">
        <f t="shared" si="1"/>
        <v>366598.99093877961</v>
      </c>
      <c r="X45" s="23">
        <f>'O&amp;M'!$E$11</f>
        <v>54166.666666666664</v>
      </c>
      <c r="Z45" s="23">
        <f>(ROUND(F45*'Depr and ADFIT'!$C$4/12,0))</f>
        <v>321104</v>
      </c>
      <c r="AB45" s="23">
        <f>F45*'Alloc. Factors and Property Tax'!$E$24*'Alloc. Factors and Property Tax'!$E$25*'Alloc. Factors and Property Tax'!$E$26/12</f>
        <v>2866.2285551405798</v>
      </c>
      <c r="AD45" s="23">
        <f>Repayment!$AB$81/72</f>
        <v>278599.51883690275</v>
      </c>
      <c r="AF45" s="23">
        <f t="shared" si="3"/>
        <v>1023335.4049974896</v>
      </c>
      <c r="AH45" s="29">
        <f>'Alloc. Factors and Property Tax'!$C$18</f>
        <v>0.9604166666666667</v>
      </c>
      <c r="AJ45" s="33">
        <f t="shared" si="2"/>
        <v>982828.37854967243</v>
      </c>
    </row>
    <row r="46" spans="2:36" x14ac:dyDescent="0.2">
      <c r="B46" s="32" t="s">
        <v>12</v>
      </c>
      <c r="D46" s="3">
        <v>2029</v>
      </c>
      <c r="F46" s="263">
        <f>'Depr and ADFIT'!$C$1</f>
        <v>57798518.958269402</v>
      </c>
      <c r="G46" s="252"/>
      <c r="H46" s="26">
        <f>'Depr and ADFIT'!C44</f>
        <v>-12201952</v>
      </c>
      <c r="I46" s="252"/>
      <c r="J46" s="264">
        <f>'Depr and ADFIT'!J44</f>
        <v>295636</v>
      </c>
      <c r="L46" s="269">
        <f>'Depr and ADFIT'!$N$1</f>
        <v>20059165.356256999</v>
      </c>
      <c r="M46" s="252"/>
      <c r="N46" s="26">
        <f>'Depr and ADFIT'!N44</f>
        <v>-10586800</v>
      </c>
      <c r="O46" s="252"/>
      <c r="P46" s="264">
        <f>'Depr and ADFIT'!P44</f>
        <v>-1989197</v>
      </c>
      <c r="R46" s="220">
        <f t="shared" si="4"/>
        <v>53375371.314526401</v>
      </c>
      <c r="T46" s="28">
        <f>WACC!$S$16</f>
        <v>8.1600000000000006E-2</v>
      </c>
      <c r="V46" s="22">
        <f t="shared" si="1"/>
        <v>362952.52493877959</v>
      </c>
      <c r="X46" s="23">
        <f>'O&amp;M'!$E$11</f>
        <v>54166.666666666664</v>
      </c>
      <c r="Z46" s="23">
        <f>(ROUND(F46*'Depr and ADFIT'!$C$4/12,0))</f>
        <v>321104</v>
      </c>
      <c r="AB46" s="23">
        <f>F46*'Alloc. Factors and Property Tax'!$E$24*'Alloc. Factors and Property Tax'!$E$25*'Alloc. Factors and Property Tax'!$E$26/12</f>
        <v>2866.2285551405798</v>
      </c>
      <c r="AD46" s="23">
        <f>Repayment!$AB$81/72</f>
        <v>278599.51883690275</v>
      </c>
      <c r="AF46" s="23">
        <f t="shared" si="3"/>
        <v>1019688.9389974896</v>
      </c>
      <c r="AH46" s="29">
        <f>'Alloc. Factors and Property Tax'!$C$18</f>
        <v>0.9604166666666667</v>
      </c>
      <c r="AJ46" s="33">
        <f t="shared" si="2"/>
        <v>979326.25182883907</v>
      </c>
    </row>
    <row r="47" spans="2:36" x14ac:dyDescent="0.2">
      <c r="B47" s="32" t="s">
        <v>13</v>
      </c>
      <c r="D47" s="3">
        <v>2029</v>
      </c>
      <c r="F47" s="263">
        <f>'Depr and ADFIT'!$C$1</f>
        <v>57798518.958269402</v>
      </c>
      <c r="G47" s="252"/>
      <c r="H47" s="26">
        <f>'Depr and ADFIT'!C45</f>
        <v>-12523056</v>
      </c>
      <c r="I47" s="252"/>
      <c r="J47" s="264">
        <f>'Depr and ADFIT'!J45</f>
        <v>300589</v>
      </c>
      <c r="L47" s="269">
        <f>'Depr and ADFIT'!$N$1</f>
        <v>20059165.356256999</v>
      </c>
      <c r="M47" s="252"/>
      <c r="N47" s="26">
        <f>'Depr and ADFIT'!N45</f>
        <v>-10865400</v>
      </c>
      <c r="O47" s="252"/>
      <c r="P47" s="264">
        <f>'Depr and ADFIT'!P45</f>
        <v>-1930691</v>
      </c>
      <c r="R47" s="220">
        <f t="shared" si="4"/>
        <v>52839126.314526401</v>
      </c>
      <c r="T47" s="28">
        <f>WACC!$S$16</f>
        <v>8.1600000000000006E-2</v>
      </c>
      <c r="V47" s="22">
        <f t="shared" si="1"/>
        <v>359306.05893877958</v>
      </c>
      <c r="X47" s="23">
        <f>'O&amp;M'!$E$11</f>
        <v>54166.666666666664</v>
      </c>
      <c r="Z47" s="23">
        <f>(ROUND(F47*'Depr and ADFIT'!$C$4/12,0))</f>
        <v>321104</v>
      </c>
      <c r="AB47" s="23">
        <f>F47*'Alloc. Factors and Property Tax'!$E$24*'Alloc. Factors and Property Tax'!$E$25*'Alloc. Factors and Property Tax'!$E$26/12</f>
        <v>2866.2285551405798</v>
      </c>
      <c r="AD47" s="23">
        <f>Repayment!$AB$81/72</f>
        <v>278599.51883690275</v>
      </c>
      <c r="AF47" s="23">
        <f t="shared" si="3"/>
        <v>1016042.4729974896</v>
      </c>
      <c r="AH47" s="29">
        <f>'Alloc. Factors and Property Tax'!$C$18</f>
        <v>0.9604166666666667</v>
      </c>
      <c r="AJ47" s="33">
        <f t="shared" si="2"/>
        <v>975824.12510800571</v>
      </c>
    </row>
    <row r="48" spans="2:36" x14ac:dyDescent="0.2">
      <c r="B48" s="32" t="s">
        <v>14</v>
      </c>
      <c r="D48" s="3">
        <v>2029</v>
      </c>
      <c r="F48" s="263">
        <f>'Depr and ADFIT'!$C$1</f>
        <v>57798518.958269402</v>
      </c>
      <c r="G48" s="252"/>
      <c r="H48" s="26">
        <f>'Depr and ADFIT'!C46</f>
        <v>-12844160</v>
      </c>
      <c r="I48" s="252"/>
      <c r="J48" s="264">
        <f>'Depr and ADFIT'!J46</f>
        <v>305542</v>
      </c>
      <c r="L48" s="269">
        <f>'Depr and ADFIT'!$N$1</f>
        <v>20059165.356256999</v>
      </c>
      <c r="M48" s="252"/>
      <c r="N48" s="26">
        <f>'Depr and ADFIT'!N46</f>
        <v>-11144000</v>
      </c>
      <c r="O48" s="252"/>
      <c r="P48" s="264">
        <f>'Depr and ADFIT'!P46</f>
        <v>-1872185</v>
      </c>
      <c r="R48" s="220">
        <f t="shared" si="4"/>
        <v>52302881.314526401</v>
      </c>
      <c r="T48" s="28">
        <f>WACC!$S$16</f>
        <v>8.1600000000000006E-2</v>
      </c>
      <c r="V48" s="22">
        <f t="shared" si="1"/>
        <v>355659.59293877956</v>
      </c>
      <c r="X48" s="23">
        <f>'O&amp;M'!$E$11</f>
        <v>54166.666666666664</v>
      </c>
      <c r="Z48" s="23">
        <f>(ROUND(F48*'Depr and ADFIT'!$C$4/12,0))</f>
        <v>321104</v>
      </c>
      <c r="AB48" s="23">
        <f>F48*'Alloc. Factors and Property Tax'!$E$24*'Alloc. Factors and Property Tax'!$E$25*'Alloc. Factors and Property Tax'!$E$26/12</f>
        <v>2866.2285551405798</v>
      </c>
      <c r="AD48" s="23">
        <f>Repayment!$AB$81/72</f>
        <v>278599.51883690275</v>
      </c>
      <c r="AF48" s="23">
        <f t="shared" si="3"/>
        <v>1012396.0069974896</v>
      </c>
      <c r="AH48" s="29">
        <f>'Alloc. Factors and Property Tax'!$C$18</f>
        <v>0.9604166666666667</v>
      </c>
      <c r="AJ48" s="33">
        <f t="shared" si="2"/>
        <v>972321.99838717235</v>
      </c>
    </row>
    <row r="49" spans="2:36" x14ac:dyDescent="0.2">
      <c r="B49" s="32" t="s">
        <v>15</v>
      </c>
      <c r="D49" s="3">
        <v>2029</v>
      </c>
      <c r="F49" s="263">
        <f>'Depr and ADFIT'!$C$1</f>
        <v>57798518.958269402</v>
      </c>
      <c r="G49" s="252"/>
      <c r="H49" s="26">
        <f>'Depr and ADFIT'!C47</f>
        <v>-13165264</v>
      </c>
      <c r="I49" s="252"/>
      <c r="J49" s="264">
        <f>'Depr and ADFIT'!J47</f>
        <v>310495</v>
      </c>
      <c r="L49" s="269">
        <f>'Depr and ADFIT'!$N$1</f>
        <v>20059165.356256999</v>
      </c>
      <c r="M49" s="252"/>
      <c r="N49" s="26">
        <f>'Depr and ADFIT'!N47</f>
        <v>-11422600</v>
      </c>
      <c r="O49" s="252"/>
      <c r="P49" s="264">
        <f>'Depr and ADFIT'!P47</f>
        <v>-1813679</v>
      </c>
      <c r="R49" s="220">
        <f t="shared" si="4"/>
        <v>51766636.314526401</v>
      </c>
      <c r="T49" s="28">
        <f>WACC!$S$16</f>
        <v>8.1600000000000006E-2</v>
      </c>
      <c r="V49" s="22">
        <f t="shared" si="1"/>
        <v>352013.12693877955</v>
      </c>
      <c r="X49" s="23">
        <f>'O&amp;M'!$E$11</f>
        <v>54166.666666666664</v>
      </c>
      <c r="Z49" s="23">
        <f>(ROUND(F49*'Depr and ADFIT'!$C$4/12,0))</f>
        <v>321104</v>
      </c>
      <c r="AB49" s="23">
        <f>F49*'Alloc. Factors and Property Tax'!$E$24*'Alloc. Factors and Property Tax'!$E$25*'Alloc. Factors and Property Tax'!$E$26/12</f>
        <v>2866.2285551405798</v>
      </c>
      <c r="AD49" s="23">
        <f>Repayment!$AB$81/72</f>
        <v>278599.51883690275</v>
      </c>
      <c r="AF49" s="23">
        <f t="shared" si="3"/>
        <v>1008749.5409974896</v>
      </c>
      <c r="AH49" s="29">
        <f>'Alloc. Factors and Property Tax'!$C$18</f>
        <v>0.9604166666666667</v>
      </c>
      <c r="AJ49" s="33">
        <f t="shared" si="2"/>
        <v>968819.87166633899</v>
      </c>
    </row>
    <row r="50" spans="2:36" x14ac:dyDescent="0.2">
      <c r="B50" s="32" t="s">
        <v>16</v>
      </c>
      <c r="D50" s="3">
        <v>2029</v>
      </c>
      <c r="F50" s="263">
        <f>'Depr and ADFIT'!$C$1</f>
        <v>57798518.958269402</v>
      </c>
      <c r="G50" s="252"/>
      <c r="H50" s="26">
        <f>'Depr and ADFIT'!C48</f>
        <v>-13486368</v>
      </c>
      <c r="I50" s="252"/>
      <c r="J50" s="264">
        <f>'Depr and ADFIT'!J48</f>
        <v>315448</v>
      </c>
      <c r="L50" s="269">
        <f>'Depr and ADFIT'!$N$1</f>
        <v>20059165.356256999</v>
      </c>
      <c r="M50" s="252"/>
      <c r="N50" s="26">
        <f>'Depr and ADFIT'!N48</f>
        <v>-11701200</v>
      </c>
      <c r="O50" s="252"/>
      <c r="P50" s="264">
        <f>'Depr and ADFIT'!P48</f>
        <v>-1755173</v>
      </c>
      <c r="R50" s="220">
        <f t="shared" si="4"/>
        <v>51230391.314526401</v>
      </c>
      <c r="T50" s="28">
        <f>WACC!$S$16</f>
        <v>8.1600000000000006E-2</v>
      </c>
      <c r="V50" s="22">
        <f t="shared" si="1"/>
        <v>348366.66093877953</v>
      </c>
      <c r="X50" s="23">
        <f>'O&amp;M'!$E$11</f>
        <v>54166.666666666664</v>
      </c>
      <c r="Z50" s="23">
        <f>(ROUND(F50*'Depr and ADFIT'!$C$4/12,0))</f>
        <v>321104</v>
      </c>
      <c r="AB50" s="23">
        <f>F50*'Alloc. Factors and Property Tax'!$E$24*'Alloc. Factors and Property Tax'!$E$25*'Alloc. Factors and Property Tax'!$E$26/12</f>
        <v>2866.2285551405798</v>
      </c>
      <c r="AD50" s="23">
        <f>Repayment!$AB$81/72</f>
        <v>278599.51883690275</v>
      </c>
      <c r="AF50" s="23">
        <f t="shared" si="3"/>
        <v>1005103.0749974896</v>
      </c>
      <c r="AH50" s="29">
        <f>'Alloc. Factors and Property Tax'!$C$18</f>
        <v>0.9604166666666667</v>
      </c>
      <c r="AJ50" s="33">
        <f t="shared" si="2"/>
        <v>965317.74494550563</v>
      </c>
    </row>
    <row r="51" spans="2:36" x14ac:dyDescent="0.2">
      <c r="B51" s="32" t="s">
        <v>17</v>
      </c>
      <c r="D51" s="3">
        <v>2029</v>
      </c>
      <c r="F51" s="263">
        <f>'Depr and ADFIT'!$C$1</f>
        <v>57798518.958269402</v>
      </c>
      <c r="G51" s="252"/>
      <c r="H51" s="26">
        <f>'Depr and ADFIT'!C49</f>
        <v>-13807472</v>
      </c>
      <c r="I51" s="252"/>
      <c r="J51" s="264">
        <f>'Depr and ADFIT'!J49</f>
        <v>320401</v>
      </c>
      <c r="L51" s="269">
        <f>'Depr and ADFIT'!$N$1</f>
        <v>20059165.356256999</v>
      </c>
      <c r="M51" s="252"/>
      <c r="N51" s="26">
        <f>'Depr and ADFIT'!N49</f>
        <v>-11979800</v>
      </c>
      <c r="O51" s="252"/>
      <c r="P51" s="264">
        <f>'Depr and ADFIT'!P49</f>
        <v>-1696667</v>
      </c>
      <c r="R51" s="220">
        <f t="shared" si="4"/>
        <v>50694146.314526401</v>
      </c>
      <c r="T51" s="28">
        <f>WACC!$S$16</f>
        <v>8.1600000000000006E-2</v>
      </c>
      <c r="V51" s="22">
        <f t="shared" si="1"/>
        <v>344720.19493877952</v>
      </c>
      <c r="X51" s="23">
        <f>'O&amp;M'!$E$11</f>
        <v>54166.666666666664</v>
      </c>
      <c r="Z51" s="23">
        <f>(ROUND(F51*'Depr and ADFIT'!$C$4/12,0))</f>
        <v>321104</v>
      </c>
      <c r="AB51" s="23">
        <f>F51*'Alloc. Factors and Property Tax'!$E$24*'Alloc. Factors and Property Tax'!$E$25*'Alloc. Factors and Property Tax'!$E$26/12</f>
        <v>2866.2285551405798</v>
      </c>
      <c r="AD51" s="23">
        <f>Repayment!$AB$81/72</f>
        <v>278599.51883690275</v>
      </c>
      <c r="AF51" s="23">
        <f t="shared" si="3"/>
        <v>1001456.6089974896</v>
      </c>
      <c r="AH51" s="29">
        <f>'Alloc. Factors and Property Tax'!$C$18</f>
        <v>0.9604166666666667</v>
      </c>
      <c r="AJ51" s="33">
        <f t="shared" si="2"/>
        <v>961815.61822467227</v>
      </c>
    </row>
    <row r="52" spans="2:36" x14ac:dyDescent="0.2">
      <c r="B52" s="32" t="s">
        <v>18</v>
      </c>
      <c r="D52" s="3">
        <v>2029</v>
      </c>
      <c r="F52" s="263">
        <f>'Depr and ADFIT'!$C$1</f>
        <v>57798518.958269402</v>
      </c>
      <c r="G52" s="252"/>
      <c r="H52" s="26">
        <f>'Depr and ADFIT'!C50</f>
        <v>-14128576</v>
      </c>
      <c r="I52" s="252"/>
      <c r="J52" s="264">
        <f>'Depr and ADFIT'!J50</f>
        <v>325354</v>
      </c>
      <c r="L52" s="269">
        <f>'Depr and ADFIT'!$N$1</f>
        <v>20059165.356256999</v>
      </c>
      <c r="M52" s="252"/>
      <c r="N52" s="26">
        <f>'Depr and ADFIT'!N50</f>
        <v>-12258400</v>
      </c>
      <c r="O52" s="252"/>
      <c r="P52" s="264">
        <f>'Depr and ADFIT'!P50</f>
        <v>-1638161</v>
      </c>
      <c r="R52" s="220">
        <f t="shared" si="4"/>
        <v>50157901.314526401</v>
      </c>
      <c r="T52" s="28">
        <f>WACC!$S$16</f>
        <v>8.1600000000000006E-2</v>
      </c>
      <c r="V52" s="22">
        <f t="shared" si="1"/>
        <v>341073.72893877956</v>
      </c>
      <c r="X52" s="23">
        <f>'O&amp;M'!$E$11</f>
        <v>54166.666666666664</v>
      </c>
      <c r="Z52" s="23">
        <f>(ROUND(F52*'Depr and ADFIT'!$C$4/12,0))</f>
        <v>321104</v>
      </c>
      <c r="AB52" s="23">
        <f>F52*'Alloc. Factors and Property Tax'!$E$24*'Alloc. Factors and Property Tax'!$E$25*'Alloc. Factors and Property Tax'!$E$26/12</f>
        <v>2866.2285551405798</v>
      </c>
      <c r="AD52" s="23">
        <f>Repayment!$AB$81/72</f>
        <v>278599.51883690275</v>
      </c>
      <c r="AF52" s="23">
        <f t="shared" si="3"/>
        <v>997810.14299748954</v>
      </c>
      <c r="AH52" s="29">
        <f>'Alloc. Factors and Property Tax'!$C$18</f>
        <v>0.9604166666666667</v>
      </c>
      <c r="AJ52" s="33">
        <f t="shared" si="2"/>
        <v>958313.49150383892</v>
      </c>
    </row>
    <row r="53" spans="2:36" x14ac:dyDescent="0.2">
      <c r="B53" s="32" t="s">
        <v>19</v>
      </c>
      <c r="D53" s="3">
        <v>2029</v>
      </c>
      <c r="F53" s="263">
        <f>'Depr and ADFIT'!$C$1</f>
        <v>57798518.958269402</v>
      </c>
      <c r="G53" s="252"/>
      <c r="H53" s="26">
        <f>'Depr and ADFIT'!C51</f>
        <v>-14449680</v>
      </c>
      <c r="I53" s="252"/>
      <c r="J53" s="264">
        <f>'Depr and ADFIT'!J51</f>
        <v>330307</v>
      </c>
      <c r="L53" s="269">
        <f>'Depr and ADFIT'!$N$1</f>
        <v>20059165.356256999</v>
      </c>
      <c r="M53" s="252"/>
      <c r="N53" s="26">
        <f>'Depr and ADFIT'!N51</f>
        <v>-12537000</v>
      </c>
      <c r="O53" s="252"/>
      <c r="P53" s="264">
        <f>'Depr and ADFIT'!P51</f>
        <v>-1579655</v>
      </c>
      <c r="R53" s="220">
        <f t="shared" si="4"/>
        <v>49621656.314526401</v>
      </c>
      <c r="T53" s="28">
        <f>WACC!$S$16</f>
        <v>8.1600000000000006E-2</v>
      </c>
      <c r="V53" s="22">
        <f t="shared" si="1"/>
        <v>337427.26293877955</v>
      </c>
      <c r="X53" s="23">
        <f>'O&amp;M'!$E$11</f>
        <v>54166.666666666664</v>
      </c>
      <c r="Z53" s="23">
        <f>(ROUND(F53*'Depr and ADFIT'!$C$4/12,0))</f>
        <v>321104</v>
      </c>
      <c r="AB53" s="23">
        <f>F53*'Alloc. Factors and Property Tax'!$E$24*'Alloc. Factors and Property Tax'!$E$25*'Alloc. Factors and Property Tax'!$E$26/12</f>
        <v>2866.2285551405798</v>
      </c>
      <c r="AD53" s="23">
        <f>Repayment!$AB$81/72</f>
        <v>278599.51883690275</v>
      </c>
      <c r="AF53" s="23">
        <f t="shared" si="3"/>
        <v>994163.67699748953</v>
      </c>
      <c r="AH53" s="29">
        <f>'Alloc. Factors and Property Tax'!$C$18</f>
        <v>0.9604166666666667</v>
      </c>
      <c r="AJ53" s="33">
        <f t="shared" si="2"/>
        <v>954811.36478300556</v>
      </c>
    </row>
    <row r="54" spans="2:36" x14ac:dyDescent="0.2">
      <c r="B54" s="32" t="s">
        <v>8</v>
      </c>
      <c r="D54" s="3">
        <v>2029</v>
      </c>
      <c r="F54" s="263">
        <f>'Depr and ADFIT'!$C$1</f>
        <v>57798518.958269402</v>
      </c>
      <c r="G54" s="252"/>
      <c r="H54" s="26">
        <f>'Depr and ADFIT'!C52</f>
        <v>-14770784</v>
      </c>
      <c r="I54" s="252"/>
      <c r="J54" s="264">
        <f>'Depr and ADFIT'!J52</f>
        <v>335261</v>
      </c>
      <c r="L54" s="269">
        <f>'Depr and ADFIT'!$N$1</f>
        <v>20059165.356256999</v>
      </c>
      <c r="M54" s="252"/>
      <c r="N54" s="26">
        <f>'Depr and ADFIT'!N52</f>
        <v>-12815600</v>
      </c>
      <c r="O54" s="252"/>
      <c r="P54" s="264">
        <f>'Depr and ADFIT'!P52</f>
        <v>-1521149</v>
      </c>
      <c r="R54" s="220">
        <f t="shared" si="4"/>
        <v>49085412.314526401</v>
      </c>
      <c r="T54" s="28">
        <f>WACC!$S$16</f>
        <v>8.1600000000000006E-2</v>
      </c>
      <c r="V54" s="22">
        <f t="shared" si="1"/>
        <v>333780.80373877956</v>
      </c>
      <c r="X54" s="23">
        <f>'O&amp;M'!$E$11</f>
        <v>54166.666666666664</v>
      </c>
      <c r="Z54" s="23">
        <f>(ROUND(F54*'Depr and ADFIT'!$C$4/12,0))</f>
        <v>321104</v>
      </c>
      <c r="AB54" s="23">
        <f>F54*'Alloc. Factors and Property Tax'!$E$24*'Alloc. Factors and Property Tax'!$E$25*'Alloc. Factors and Property Tax'!$E$26/12</f>
        <v>2866.2285551405798</v>
      </c>
      <c r="AD54" s="23">
        <f>Repayment!$AB$81/72</f>
        <v>278599.51883690275</v>
      </c>
      <c r="AF54" s="23">
        <f t="shared" si="3"/>
        <v>990517.2177974896</v>
      </c>
      <c r="AH54" s="29">
        <f>'Alloc. Factors and Property Tax'!$C$18</f>
        <v>0.9604166666666667</v>
      </c>
      <c r="AJ54" s="33">
        <f t="shared" si="2"/>
        <v>951309.24459300563</v>
      </c>
    </row>
    <row r="55" spans="2:36" x14ac:dyDescent="0.2">
      <c r="B55" s="32" t="s">
        <v>9</v>
      </c>
      <c r="D55" s="3">
        <v>2029</v>
      </c>
      <c r="F55" s="263">
        <f>'Depr and ADFIT'!$C$1</f>
        <v>57798518.958269402</v>
      </c>
      <c r="G55" s="252"/>
      <c r="H55" s="26">
        <f>'Depr and ADFIT'!C53</f>
        <v>-15091888</v>
      </c>
      <c r="I55" s="252"/>
      <c r="J55" s="264">
        <f>'Depr and ADFIT'!J53</f>
        <v>340214</v>
      </c>
      <c r="L55" s="269">
        <f>'Depr and ADFIT'!$N$1</f>
        <v>20059165.356256999</v>
      </c>
      <c r="M55" s="252"/>
      <c r="N55" s="26">
        <f>'Depr and ADFIT'!N53</f>
        <v>-13094200</v>
      </c>
      <c r="O55" s="252"/>
      <c r="P55" s="264">
        <f>'Depr and ADFIT'!P53</f>
        <v>-1462643</v>
      </c>
      <c r="R55" s="220">
        <f t="shared" si="4"/>
        <v>48549167.314526401</v>
      </c>
      <c r="T55" s="28">
        <f>WACC!$S$16</f>
        <v>8.1600000000000006E-2</v>
      </c>
      <c r="V55" s="22">
        <f t="shared" si="1"/>
        <v>330134.33773877955</v>
      </c>
      <c r="X55" s="23">
        <f>'O&amp;M'!$E$11</f>
        <v>54166.666666666664</v>
      </c>
      <c r="Z55" s="23">
        <f>(ROUND(F55*'Depr and ADFIT'!$C$4/12,0))</f>
        <v>321104</v>
      </c>
      <c r="AB55" s="23">
        <f>F55*'Alloc. Factors and Property Tax'!$E$24*'Alloc. Factors and Property Tax'!$E$25*'Alloc. Factors and Property Tax'!$E$26/12</f>
        <v>2866.2285551405798</v>
      </c>
      <c r="AD55" s="23">
        <f>Repayment!$AB$81/72</f>
        <v>278599.51883690275</v>
      </c>
      <c r="AF55" s="23">
        <f t="shared" si="3"/>
        <v>986870.75179748959</v>
      </c>
      <c r="AH55" s="29">
        <f>'Alloc. Factors and Property Tax'!$C$18</f>
        <v>0.9604166666666667</v>
      </c>
      <c r="AJ55" s="33">
        <f t="shared" si="2"/>
        <v>947807.11787217227</v>
      </c>
    </row>
    <row r="56" spans="2:36" x14ac:dyDescent="0.2">
      <c r="B56" s="32" t="s">
        <v>10</v>
      </c>
      <c r="D56" s="3">
        <v>2029</v>
      </c>
      <c r="F56" s="263">
        <f>'Depr and ADFIT'!$C$1</f>
        <v>57798518.958269402</v>
      </c>
      <c r="G56" s="252"/>
      <c r="H56" s="26">
        <f>'Depr and ADFIT'!C54</f>
        <v>-15412992</v>
      </c>
      <c r="I56" s="252"/>
      <c r="J56" s="264">
        <f>'Depr and ADFIT'!J54</f>
        <v>345167</v>
      </c>
      <c r="L56" s="269">
        <f>'Depr and ADFIT'!$N$1</f>
        <v>20059165.356256999</v>
      </c>
      <c r="M56" s="252"/>
      <c r="N56" s="26">
        <f>'Depr and ADFIT'!N54</f>
        <v>-13372800</v>
      </c>
      <c r="O56" s="252"/>
      <c r="P56" s="264">
        <f>'Depr and ADFIT'!P54</f>
        <v>-1404137</v>
      </c>
      <c r="R56" s="220">
        <f t="shared" si="4"/>
        <v>48012922.314526401</v>
      </c>
      <c r="T56" s="28">
        <f>WACC!$S$16</f>
        <v>8.1600000000000006E-2</v>
      </c>
      <c r="V56" s="22">
        <f t="shared" si="1"/>
        <v>326487.87173877953</v>
      </c>
      <c r="X56" s="23">
        <f>'O&amp;M'!$E$11</f>
        <v>54166.666666666664</v>
      </c>
      <c r="Z56" s="23">
        <f>(ROUND(F56*'Depr and ADFIT'!$C$4/12,0))</f>
        <v>321104</v>
      </c>
      <c r="AB56" s="23">
        <f>F56*'Alloc. Factors and Property Tax'!$E$24*'Alloc. Factors and Property Tax'!$E$25*'Alloc. Factors and Property Tax'!$E$26/12</f>
        <v>2866.2285551405798</v>
      </c>
      <c r="AD56" s="23">
        <f>Repayment!$AB$81/72</f>
        <v>278599.51883690275</v>
      </c>
      <c r="AF56" s="23">
        <f t="shared" si="3"/>
        <v>983224.28579748957</v>
      </c>
      <c r="AH56" s="29">
        <f>'Alloc. Factors and Property Tax'!$C$18</f>
        <v>0.9604166666666667</v>
      </c>
      <c r="AJ56" s="33">
        <f t="shared" si="2"/>
        <v>944304.99115133903</v>
      </c>
    </row>
    <row r="57" spans="2:36" x14ac:dyDescent="0.2">
      <c r="B57" s="32" t="s">
        <v>11</v>
      </c>
      <c r="D57" s="3">
        <v>2030</v>
      </c>
      <c r="F57" s="263">
        <f>'Depr and ADFIT'!$C$1</f>
        <v>57798518.958269402</v>
      </c>
      <c r="G57" s="252"/>
      <c r="H57" s="26">
        <f>'Depr and ADFIT'!C55</f>
        <v>-15734096</v>
      </c>
      <c r="I57" s="252"/>
      <c r="J57" s="264">
        <f>'Depr and ADFIT'!J55</f>
        <v>354813</v>
      </c>
      <c r="L57" s="269">
        <f>'Depr and ADFIT'!$N$1</f>
        <v>20059165.356256999</v>
      </c>
      <c r="M57" s="252"/>
      <c r="N57" s="26">
        <f>'Depr and ADFIT'!N55</f>
        <v>-13651400</v>
      </c>
      <c r="O57" s="252"/>
      <c r="P57" s="264">
        <f>'Depr and ADFIT'!P55</f>
        <v>-1345631</v>
      </c>
      <c r="R57" s="220">
        <f t="shared" si="4"/>
        <v>47481370.314526401</v>
      </c>
      <c r="T57" s="28">
        <f>WACC!$S$16</f>
        <v>8.1600000000000006E-2</v>
      </c>
      <c r="V57" s="22">
        <f t="shared" si="1"/>
        <v>322873.31813877955</v>
      </c>
      <c r="X57" s="23">
        <f>'O&amp;M'!$F$11</f>
        <v>58333.333333333336</v>
      </c>
      <c r="Z57" s="23">
        <f>(ROUND(F57*'Depr and ADFIT'!$C$4/12,0))</f>
        <v>321104</v>
      </c>
      <c r="AB57" s="23">
        <f>F57*'Alloc. Factors and Property Tax'!$E$24*'Alloc. Factors and Property Tax'!$E$25*'Alloc. Factors and Property Tax'!$E$26/12</f>
        <v>2866.2285551405798</v>
      </c>
      <c r="AD57" s="23">
        <f>Repayment!$AB$81/72</f>
        <v>278599.51883690275</v>
      </c>
      <c r="AF57" s="23">
        <f t="shared" si="3"/>
        <v>983776.3988641561</v>
      </c>
      <c r="AH57" s="29">
        <f>'Alloc. Factors and Property Tax'!$C$18</f>
        <v>0.9604166666666667</v>
      </c>
      <c r="AJ57" s="33">
        <f t="shared" si="2"/>
        <v>944835.24974244996</v>
      </c>
    </row>
    <row r="58" spans="2:36" x14ac:dyDescent="0.2">
      <c r="B58" s="32" t="s">
        <v>12</v>
      </c>
      <c r="D58" s="3">
        <v>2030</v>
      </c>
      <c r="F58" s="263">
        <f>'Depr and ADFIT'!$C$1</f>
        <v>57798518.958269402</v>
      </c>
      <c r="G58" s="252"/>
      <c r="H58" s="26">
        <f>'Depr and ADFIT'!C56</f>
        <v>-16055200</v>
      </c>
      <c r="I58" s="252"/>
      <c r="J58" s="264">
        <f>'Depr and ADFIT'!J56</f>
        <v>364459</v>
      </c>
      <c r="L58" s="269">
        <f>'Depr and ADFIT'!$N$1</f>
        <v>20059165.356256999</v>
      </c>
      <c r="M58" s="252"/>
      <c r="N58" s="26">
        <f>'Depr and ADFIT'!N56</f>
        <v>-13930000</v>
      </c>
      <c r="O58" s="252"/>
      <c r="P58" s="264">
        <f>'Depr and ADFIT'!P56</f>
        <v>-1287125</v>
      </c>
      <c r="R58" s="220">
        <f t="shared" si="4"/>
        <v>46949818.314526401</v>
      </c>
      <c r="T58" s="28">
        <f>WACC!$S$16</f>
        <v>8.1600000000000006E-2</v>
      </c>
      <c r="V58" s="22">
        <f t="shared" si="1"/>
        <v>319258.76453877956</v>
      </c>
      <c r="W58" s="23"/>
      <c r="X58" s="23">
        <f>'O&amp;M'!$F$11</f>
        <v>58333.333333333336</v>
      </c>
      <c r="Z58" s="23">
        <f>(ROUND(F58*'Depr and ADFIT'!$C$4/12,0))</f>
        <v>321104</v>
      </c>
      <c r="AB58" s="23">
        <f>F58*'Alloc. Factors and Property Tax'!$E$24*'Alloc. Factors and Property Tax'!$E$25*'Alloc. Factors and Property Tax'!$E$26/12</f>
        <v>2866.2285551405798</v>
      </c>
      <c r="AD58" s="23">
        <f>Repayment!$AB$81/72</f>
        <v>278599.51883690275</v>
      </c>
      <c r="AF58" s="23">
        <f t="shared" si="3"/>
        <v>980161.84526415612</v>
      </c>
      <c r="AH58" s="29">
        <f>'Alloc. Factors and Property Tax'!$C$18</f>
        <v>0.9604166666666667</v>
      </c>
      <c r="AJ58" s="33">
        <f t="shared" si="2"/>
        <v>941363.77222245</v>
      </c>
    </row>
    <row r="59" spans="2:36" x14ac:dyDescent="0.2">
      <c r="B59" s="32" t="s">
        <v>13</v>
      </c>
      <c r="D59" s="3">
        <v>2030</v>
      </c>
      <c r="F59" s="263">
        <f>'Depr and ADFIT'!$C$1</f>
        <v>57798518.958269402</v>
      </c>
      <c r="G59" s="252"/>
      <c r="H59" s="26">
        <f>'Depr and ADFIT'!C57</f>
        <v>-16376304</v>
      </c>
      <c r="I59" s="252"/>
      <c r="J59" s="264">
        <f>'Depr and ADFIT'!J57</f>
        <v>374106</v>
      </c>
      <c r="L59" s="269">
        <f>'Depr and ADFIT'!$N$1</f>
        <v>20059165.356256999</v>
      </c>
      <c r="M59" s="252"/>
      <c r="N59" s="26">
        <f>'Depr and ADFIT'!N57</f>
        <v>-14208600</v>
      </c>
      <c r="O59" s="252"/>
      <c r="P59" s="264">
        <f>'Depr and ADFIT'!P57</f>
        <v>-1228619</v>
      </c>
      <c r="R59" s="220">
        <f t="shared" si="4"/>
        <v>46418267.314526401</v>
      </c>
      <c r="T59" s="28">
        <f>WACC!$S$16</f>
        <v>8.1600000000000006E-2</v>
      </c>
      <c r="V59" s="22">
        <f t="shared" si="1"/>
        <v>315644.21773877955</v>
      </c>
      <c r="W59" s="23"/>
      <c r="X59" s="23">
        <f>'O&amp;M'!$F$11</f>
        <v>58333.333333333336</v>
      </c>
      <c r="Z59" s="23">
        <f>(ROUND(F59*'Depr and ADFIT'!$C$4/12,0))</f>
        <v>321104</v>
      </c>
      <c r="AB59" s="23">
        <f>F59*'Alloc. Factors and Property Tax'!$E$24*'Alloc. Factors and Property Tax'!$E$25*'Alloc. Factors and Property Tax'!$E$26/12</f>
        <v>2866.2285551405798</v>
      </c>
      <c r="AD59" s="23">
        <f>Repayment!$AB$81/72</f>
        <v>278599.51883690275</v>
      </c>
      <c r="AF59" s="23">
        <f t="shared" si="3"/>
        <v>976547.29846415622</v>
      </c>
      <c r="AH59" s="29">
        <f>'Alloc. Factors and Property Tax'!$C$18</f>
        <v>0.9604166666666667</v>
      </c>
      <c r="AJ59" s="33">
        <f t="shared" si="2"/>
        <v>937892.30123328336</v>
      </c>
    </row>
    <row r="60" spans="2:36" x14ac:dyDescent="0.2">
      <c r="B60" s="32" t="s">
        <v>14</v>
      </c>
      <c r="D60" s="3">
        <v>2030</v>
      </c>
      <c r="F60" s="263">
        <f>'Depr and ADFIT'!$C$1</f>
        <v>57798518.958269402</v>
      </c>
      <c r="G60" s="252"/>
      <c r="H60" s="26">
        <f>'Depr and ADFIT'!C58</f>
        <v>-16697408</v>
      </c>
      <c r="I60" s="252"/>
      <c r="J60" s="264">
        <f>'Depr and ADFIT'!J58</f>
        <v>383752</v>
      </c>
      <c r="L60" s="269">
        <f>'Depr and ADFIT'!$N$1</f>
        <v>20059165.356256999</v>
      </c>
      <c r="M60" s="252"/>
      <c r="N60" s="26">
        <f>'Depr and ADFIT'!N58</f>
        <v>-14487200</v>
      </c>
      <c r="O60" s="252"/>
      <c r="P60" s="264">
        <f>'Depr and ADFIT'!P58</f>
        <v>-1170113</v>
      </c>
      <c r="R60" s="220">
        <f t="shared" si="4"/>
        <v>45886715.314526401</v>
      </c>
      <c r="T60" s="28">
        <f>WACC!$S$16</f>
        <v>8.1600000000000006E-2</v>
      </c>
      <c r="V60" s="22">
        <f t="shared" si="1"/>
        <v>312029.66413877957</v>
      </c>
      <c r="W60" s="23"/>
      <c r="X60" s="23">
        <f>'O&amp;M'!$F$11</f>
        <v>58333.333333333336</v>
      </c>
      <c r="Z60" s="23">
        <f>(ROUND(F60*'Depr and ADFIT'!$C$4/12,0))</f>
        <v>321104</v>
      </c>
      <c r="AB60" s="23">
        <f>F60*'Alloc. Factors and Property Tax'!$E$24*'Alloc. Factors and Property Tax'!$E$25*'Alloc. Factors and Property Tax'!$E$26/12</f>
        <v>2866.2285551405798</v>
      </c>
      <c r="AD60" s="23">
        <f>Repayment!$AB$81/72</f>
        <v>278599.51883690275</v>
      </c>
      <c r="AF60" s="23">
        <f t="shared" si="3"/>
        <v>972932.74486415624</v>
      </c>
      <c r="AH60" s="29">
        <f>'Alloc. Factors and Property Tax'!$C$18</f>
        <v>0.9604166666666667</v>
      </c>
      <c r="AJ60" s="33">
        <f t="shared" si="2"/>
        <v>934420.8237132834</v>
      </c>
    </row>
    <row r="61" spans="2:36" x14ac:dyDescent="0.2">
      <c r="B61" s="32" t="s">
        <v>15</v>
      </c>
      <c r="D61" s="3">
        <v>2030</v>
      </c>
      <c r="F61" s="263">
        <f>'Depr and ADFIT'!$C$1</f>
        <v>57798518.958269402</v>
      </c>
      <c r="G61" s="252"/>
      <c r="H61" s="26">
        <f>'Depr and ADFIT'!C59</f>
        <v>-17018512</v>
      </c>
      <c r="I61" s="252"/>
      <c r="J61" s="264">
        <f>'Depr and ADFIT'!J59</f>
        <v>393398</v>
      </c>
      <c r="L61" s="269">
        <f>'Depr and ADFIT'!$N$1</f>
        <v>20059165.356256999</v>
      </c>
      <c r="M61" s="252"/>
      <c r="N61" s="26">
        <f>'Depr and ADFIT'!N59</f>
        <v>-14765800</v>
      </c>
      <c r="O61" s="252"/>
      <c r="P61" s="264">
        <f>'Depr and ADFIT'!P59</f>
        <v>-1111607</v>
      </c>
      <c r="R61" s="220">
        <f t="shared" si="4"/>
        <v>45355163.314526401</v>
      </c>
      <c r="T61" s="28">
        <f>WACC!$S$16</f>
        <v>8.1600000000000006E-2</v>
      </c>
      <c r="V61" s="22">
        <f t="shared" si="1"/>
        <v>308415.11053877958</v>
      </c>
      <c r="W61" s="23"/>
      <c r="X61" s="23">
        <f>'O&amp;M'!$F$11</f>
        <v>58333.333333333336</v>
      </c>
      <c r="Z61" s="23">
        <f>(ROUND(F61*'Depr and ADFIT'!$C$4/12,0))</f>
        <v>321104</v>
      </c>
      <c r="AB61" s="23">
        <f>F61*'Alloc. Factors and Property Tax'!$E$24*'Alloc. Factors and Property Tax'!$E$25*'Alloc. Factors and Property Tax'!$E$26/12</f>
        <v>2866.2285551405798</v>
      </c>
      <c r="AD61" s="23">
        <f>Repayment!$AB$81/72</f>
        <v>278599.51883690275</v>
      </c>
      <c r="AF61" s="23">
        <f t="shared" si="3"/>
        <v>969318.19126415625</v>
      </c>
      <c r="AH61" s="29">
        <f>'Alloc. Factors and Property Tax'!$C$18</f>
        <v>0.9604166666666667</v>
      </c>
      <c r="AJ61" s="33">
        <f t="shared" si="2"/>
        <v>930949.34619328345</v>
      </c>
    </row>
    <row r="62" spans="2:36" x14ac:dyDescent="0.2">
      <c r="B62" s="32" t="s">
        <v>16</v>
      </c>
      <c r="D62" s="3">
        <v>2030</v>
      </c>
      <c r="F62" s="263">
        <f>'Depr and ADFIT'!$C$1</f>
        <v>57798518.958269402</v>
      </c>
      <c r="G62" s="252"/>
      <c r="H62" s="26">
        <f>'Depr and ADFIT'!C60</f>
        <v>-17339616</v>
      </c>
      <c r="I62" s="252"/>
      <c r="J62" s="264">
        <f>'Depr and ADFIT'!J60</f>
        <v>403045</v>
      </c>
      <c r="L62" s="269">
        <f>'Depr and ADFIT'!$N$1</f>
        <v>20059165.356256999</v>
      </c>
      <c r="M62" s="252"/>
      <c r="N62" s="26">
        <f>'Depr and ADFIT'!N60</f>
        <v>-15044400</v>
      </c>
      <c r="O62" s="252"/>
      <c r="P62" s="264">
        <f>'Depr and ADFIT'!P60</f>
        <v>-1053101</v>
      </c>
      <c r="R62" s="220">
        <f t="shared" si="4"/>
        <v>44823612.314526401</v>
      </c>
      <c r="T62" s="28">
        <f>WACC!$S$16</f>
        <v>8.1600000000000006E-2</v>
      </c>
      <c r="V62" s="22">
        <f t="shared" si="1"/>
        <v>304800.56373877957</v>
      </c>
      <c r="W62" s="23"/>
      <c r="X62" s="23">
        <f>'O&amp;M'!$F$11</f>
        <v>58333.333333333336</v>
      </c>
      <c r="Z62" s="23">
        <f>(ROUND(F62*'Depr and ADFIT'!$C$4/12,0))</f>
        <v>321104</v>
      </c>
      <c r="AB62" s="23">
        <f>F62*'Alloc. Factors and Property Tax'!$E$24*'Alloc. Factors and Property Tax'!$E$25*'Alloc. Factors and Property Tax'!$E$26/12</f>
        <v>2866.2285551405798</v>
      </c>
      <c r="AD62" s="23">
        <f>Repayment!$AB$81/72</f>
        <v>278599.51883690275</v>
      </c>
      <c r="AF62" s="23">
        <f t="shared" si="3"/>
        <v>965703.64446415612</v>
      </c>
      <c r="AH62" s="29">
        <f>'Alloc. Factors and Property Tax'!$C$18</f>
        <v>0.9604166666666667</v>
      </c>
      <c r="AJ62" s="33">
        <f t="shared" si="2"/>
        <v>927477.87520411669</v>
      </c>
    </row>
    <row r="63" spans="2:36" x14ac:dyDescent="0.2">
      <c r="B63" s="32" t="s">
        <v>17</v>
      </c>
      <c r="D63" s="3">
        <v>2030</v>
      </c>
      <c r="F63" s="263">
        <f>'Depr and ADFIT'!$C$1</f>
        <v>57798518.958269402</v>
      </c>
      <c r="G63" s="252"/>
      <c r="H63" s="26">
        <f>'Depr and ADFIT'!C61</f>
        <v>-17660720</v>
      </c>
      <c r="I63" s="252"/>
      <c r="J63" s="264">
        <f>'Depr and ADFIT'!J61</f>
        <v>412691</v>
      </c>
      <c r="L63" s="269">
        <f>'Depr and ADFIT'!$N$1</f>
        <v>20059165.356256999</v>
      </c>
      <c r="M63" s="252"/>
      <c r="N63" s="26">
        <f>'Depr and ADFIT'!N61</f>
        <v>-15323000</v>
      </c>
      <c r="O63" s="252"/>
      <c r="P63" s="264">
        <f>'Depr and ADFIT'!P61</f>
        <v>-994595</v>
      </c>
      <c r="R63" s="220">
        <f t="shared" si="4"/>
        <v>44292060.314526401</v>
      </c>
      <c r="T63" s="28">
        <f>WACC!$S$16</f>
        <v>8.1600000000000006E-2</v>
      </c>
      <c r="V63" s="22">
        <f t="shared" si="1"/>
        <v>301186.01013877959</v>
      </c>
      <c r="W63" s="23"/>
      <c r="X63" s="23">
        <f>'O&amp;M'!$F$11</f>
        <v>58333.333333333336</v>
      </c>
      <c r="Z63" s="23">
        <f>(ROUND(F63*'Depr and ADFIT'!$C$4/12,0))</f>
        <v>321104</v>
      </c>
      <c r="AB63" s="23">
        <f>F63*'Alloc. Factors and Property Tax'!$E$24*'Alloc. Factors and Property Tax'!$E$25*'Alloc. Factors and Property Tax'!$E$26/12</f>
        <v>2866.2285551405798</v>
      </c>
      <c r="AD63" s="23">
        <f>Repayment!$AB$81/72</f>
        <v>278599.51883690275</v>
      </c>
      <c r="AF63" s="23">
        <f t="shared" si="3"/>
        <v>962089.09086415614</v>
      </c>
      <c r="AH63" s="29">
        <f>'Alloc. Factors and Property Tax'!$C$18</f>
        <v>0.9604166666666667</v>
      </c>
      <c r="AJ63" s="33">
        <f t="shared" si="2"/>
        <v>924006.39768411661</v>
      </c>
    </row>
    <row r="64" spans="2:36" x14ac:dyDescent="0.2">
      <c r="B64" s="32" t="s">
        <v>18</v>
      </c>
      <c r="D64" s="3">
        <v>2030</v>
      </c>
      <c r="F64" s="263">
        <f>'Depr and ADFIT'!$C$1</f>
        <v>57798518.958269402</v>
      </c>
      <c r="G64" s="252"/>
      <c r="H64" s="26">
        <f>'Depr and ADFIT'!C62</f>
        <v>-17981824</v>
      </c>
      <c r="I64" s="252"/>
      <c r="J64" s="264">
        <f>'Depr and ADFIT'!J62</f>
        <v>422337</v>
      </c>
      <c r="L64" s="269">
        <f>'Depr and ADFIT'!$N$1</f>
        <v>20059165.356256999</v>
      </c>
      <c r="M64" s="252"/>
      <c r="N64" s="26">
        <f>'Depr and ADFIT'!N62</f>
        <v>-15601600</v>
      </c>
      <c r="O64" s="252"/>
      <c r="P64" s="264">
        <f>'Depr and ADFIT'!P62</f>
        <v>-936089</v>
      </c>
      <c r="R64" s="220">
        <f t="shared" si="4"/>
        <v>43760508.314526401</v>
      </c>
      <c r="T64" s="28">
        <f>WACC!$S$16</f>
        <v>8.1600000000000006E-2</v>
      </c>
      <c r="V64" s="22">
        <f t="shared" si="1"/>
        <v>297571.45653877954</v>
      </c>
      <c r="W64" s="23"/>
      <c r="X64" s="23">
        <f>'O&amp;M'!$F$11</f>
        <v>58333.333333333336</v>
      </c>
      <c r="Z64" s="23">
        <f>(ROUND(F64*'Depr and ADFIT'!$C$4/12,0))</f>
        <v>321104</v>
      </c>
      <c r="AB64" s="23">
        <f>F64*'Alloc. Factors and Property Tax'!$E$24*'Alloc. Factors and Property Tax'!$E$25*'Alloc. Factors and Property Tax'!$E$26/12</f>
        <v>2866.2285551405798</v>
      </c>
      <c r="AD64" s="23">
        <f>Repayment!$AB$81/72</f>
        <v>278599.51883690275</v>
      </c>
      <c r="AF64" s="23">
        <f t="shared" si="3"/>
        <v>958474.53726415616</v>
      </c>
      <c r="AH64" s="29">
        <f>'Alloc. Factors and Property Tax'!$C$18</f>
        <v>0.9604166666666667</v>
      </c>
      <c r="AJ64" s="33">
        <f t="shared" si="2"/>
        <v>920534.92016411666</v>
      </c>
    </row>
    <row r="65" spans="2:36" x14ac:dyDescent="0.2">
      <c r="B65" s="32" t="s">
        <v>19</v>
      </c>
      <c r="D65" s="3">
        <v>2030</v>
      </c>
      <c r="F65" s="263">
        <f>'Depr and ADFIT'!$C$1</f>
        <v>57798518.958269402</v>
      </c>
      <c r="G65" s="252"/>
      <c r="H65" s="26">
        <f>'Depr and ADFIT'!C63</f>
        <v>-18302928</v>
      </c>
      <c r="I65" s="252"/>
      <c r="J65" s="264">
        <f>'Depr and ADFIT'!J63</f>
        <v>431984</v>
      </c>
      <c r="L65" s="269">
        <f>'Depr and ADFIT'!$N$1</f>
        <v>20059165.356256999</v>
      </c>
      <c r="M65" s="252"/>
      <c r="N65" s="26">
        <f>'Depr and ADFIT'!N63</f>
        <v>-15880200</v>
      </c>
      <c r="O65" s="252"/>
      <c r="P65" s="264">
        <f>'Depr and ADFIT'!P63</f>
        <v>-877583</v>
      </c>
      <c r="R65" s="220">
        <f t="shared" si="4"/>
        <v>43228957.314526401</v>
      </c>
      <c r="T65" s="28">
        <f>WACC!$S$16</f>
        <v>8.1600000000000006E-2</v>
      </c>
      <c r="V65" s="22">
        <f t="shared" si="1"/>
        <v>293956.90973877953</v>
      </c>
      <c r="W65" s="23"/>
      <c r="X65" s="23">
        <f>'O&amp;M'!$F$11</f>
        <v>58333.333333333336</v>
      </c>
      <c r="Z65" s="23">
        <f>(ROUND(F65*'Depr and ADFIT'!$C$4/12,0))</f>
        <v>321104</v>
      </c>
      <c r="AB65" s="23">
        <f>F65*'Alloc. Factors and Property Tax'!$E$24*'Alloc. Factors and Property Tax'!$E$25*'Alloc. Factors and Property Tax'!$E$26/12</f>
        <v>2866.2285551405798</v>
      </c>
      <c r="AD65" s="23">
        <f>Repayment!$AB$81/72</f>
        <v>278599.51883690275</v>
      </c>
      <c r="AF65" s="23">
        <f t="shared" si="3"/>
        <v>954859.99046415603</v>
      </c>
      <c r="AH65" s="29">
        <f>'Alloc. Factors and Property Tax'!$C$18</f>
        <v>0.9604166666666667</v>
      </c>
      <c r="AJ65" s="33">
        <f t="shared" si="2"/>
        <v>917063.4491749499</v>
      </c>
    </row>
    <row r="66" spans="2:36" x14ac:dyDescent="0.2">
      <c r="B66" s="32" t="s">
        <v>8</v>
      </c>
      <c r="D66" s="3">
        <v>2030</v>
      </c>
      <c r="F66" s="263">
        <f>'Depr and ADFIT'!$C$1</f>
        <v>57798518.958269402</v>
      </c>
      <c r="G66" s="252"/>
      <c r="H66" s="26">
        <f>'Depr and ADFIT'!C64</f>
        <v>-18624032</v>
      </c>
      <c r="I66" s="252"/>
      <c r="J66" s="264">
        <f>'Depr and ADFIT'!J64</f>
        <v>441630</v>
      </c>
      <c r="L66" s="269">
        <f>'Depr and ADFIT'!$N$1</f>
        <v>20059165.356256999</v>
      </c>
      <c r="M66" s="252"/>
      <c r="N66" s="26">
        <f>'Depr and ADFIT'!N64</f>
        <v>-16158800</v>
      </c>
      <c r="O66" s="252"/>
      <c r="P66" s="264">
        <f>'Depr and ADFIT'!P64</f>
        <v>-819077</v>
      </c>
      <c r="R66" s="220">
        <f t="shared" si="4"/>
        <v>42697405.314526401</v>
      </c>
      <c r="T66" s="28">
        <f>WACC!$S$16</f>
        <v>8.1600000000000006E-2</v>
      </c>
      <c r="V66" s="22">
        <f t="shared" si="1"/>
        <v>290342.35613877955</v>
      </c>
      <c r="W66" s="23"/>
      <c r="X66" s="23">
        <f>'O&amp;M'!$F$11</f>
        <v>58333.333333333336</v>
      </c>
      <c r="Z66" s="23">
        <f>(ROUND(F66*'Depr and ADFIT'!$C$4/12,0))</f>
        <v>321104</v>
      </c>
      <c r="AB66" s="23">
        <f>F66*'Alloc. Factors and Property Tax'!$E$24*'Alloc. Factors and Property Tax'!$E$25*'Alloc. Factors and Property Tax'!$E$26/12</f>
        <v>2866.2285551405798</v>
      </c>
      <c r="AD66" s="23">
        <f>Repayment!$AB$81/72</f>
        <v>278599.51883690275</v>
      </c>
      <c r="AF66" s="23">
        <f t="shared" si="3"/>
        <v>951245.43686415604</v>
      </c>
      <c r="AH66" s="29">
        <f>'Alloc. Factors and Property Tax'!$C$18</f>
        <v>0.9604166666666667</v>
      </c>
      <c r="AJ66" s="33">
        <f t="shared" si="2"/>
        <v>913591.97165494994</v>
      </c>
    </row>
    <row r="67" spans="2:36" x14ac:dyDescent="0.2">
      <c r="B67" s="32" t="s">
        <v>9</v>
      </c>
      <c r="D67" s="3">
        <v>2030</v>
      </c>
      <c r="F67" s="263">
        <f>'Depr and ADFIT'!$C$1</f>
        <v>57798518.958269402</v>
      </c>
      <c r="G67" s="252"/>
      <c r="H67" s="26">
        <f>'Depr and ADFIT'!C65</f>
        <v>-18945136</v>
      </c>
      <c r="I67" s="252"/>
      <c r="J67" s="264">
        <f>'Depr and ADFIT'!J65</f>
        <v>451276</v>
      </c>
      <c r="L67" s="269">
        <f>'Depr and ADFIT'!$N$1</f>
        <v>20059165.356256999</v>
      </c>
      <c r="M67" s="252"/>
      <c r="N67" s="26">
        <f>'Depr and ADFIT'!N65</f>
        <v>-16437400</v>
      </c>
      <c r="O67" s="252"/>
      <c r="P67" s="264">
        <f>'Depr and ADFIT'!P65</f>
        <v>-760571</v>
      </c>
      <c r="R67" s="220">
        <f t="shared" si="4"/>
        <v>42165853.314526401</v>
      </c>
      <c r="T67" s="28">
        <f>WACC!$S$16</f>
        <v>8.1600000000000006E-2</v>
      </c>
      <c r="V67" s="22">
        <f t="shared" si="1"/>
        <v>286727.80253877956</v>
      </c>
      <c r="W67" s="23"/>
      <c r="X67" s="23">
        <f>'O&amp;M'!$F$11</f>
        <v>58333.333333333336</v>
      </c>
      <c r="Z67" s="23">
        <f>(ROUND(F67*'Depr and ADFIT'!$C$4/12,0))</f>
        <v>321104</v>
      </c>
      <c r="AB67" s="23">
        <f>F67*'Alloc. Factors and Property Tax'!$E$24*'Alloc. Factors and Property Tax'!$E$25*'Alloc. Factors and Property Tax'!$E$26/12</f>
        <v>2866.2285551405798</v>
      </c>
      <c r="AD67" s="23">
        <f>Repayment!$AB$81/72</f>
        <v>278599.51883690275</v>
      </c>
      <c r="AF67" s="23">
        <f t="shared" si="3"/>
        <v>947630.88326415606</v>
      </c>
      <c r="AH67" s="29">
        <f>'Alloc. Factors and Property Tax'!$C$18</f>
        <v>0.9604166666666667</v>
      </c>
      <c r="AJ67" s="33">
        <f t="shared" si="2"/>
        <v>910120.49413494987</v>
      </c>
    </row>
    <row r="68" spans="2:36" x14ac:dyDescent="0.2">
      <c r="B68" s="32" t="s">
        <v>10</v>
      </c>
      <c r="D68" s="3">
        <v>2030</v>
      </c>
      <c r="F68" s="263">
        <f>'Depr and ADFIT'!$C$1</f>
        <v>57798518.958269402</v>
      </c>
      <c r="G68" s="252"/>
      <c r="H68" s="26">
        <f>'Depr and ADFIT'!C66</f>
        <v>-19266240</v>
      </c>
      <c r="I68" s="252"/>
      <c r="J68" s="264">
        <f>'Depr and ADFIT'!J66</f>
        <v>460923</v>
      </c>
      <c r="L68" s="269">
        <f>'Depr and ADFIT'!$N$1</f>
        <v>20059165.356256999</v>
      </c>
      <c r="M68" s="252"/>
      <c r="N68" s="26">
        <f>'Depr and ADFIT'!N66</f>
        <v>-16716000</v>
      </c>
      <c r="O68" s="252"/>
      <c r="P68" s="264">
        <f>'Depr and ADFIT'!P66</f>
        <v>-702065</v>
      </c>
      <c r="R68" s="220">
        <f t="shared" si="4"/>
        <v>41634302.314526401</v>
      </c>
      <c r="T68" s="28">
        <f>WACC!$S$16</f>
        <v>8.1600000000000006E-2</v>
      </c>
      <c r="V68" s="22">
        <f t="shared" si="1"/>
        <v>283113.25573877955</v>
      </c>
      <c r="W68" s="23"/>
      <c r="X68" s="23">
        <f>'O&amp;M'!$F$11</f>
        <v>58333.333333333336</v>
      </c>
      <c r="Z68" s="23">
        <f>(ROUND(F68*'Depr and ADFIT'!$C$4/12,0))</f>
        <v>321104</v>
      </c>
      <c r="AB68" s="23">
        <f>F68*'Alloc. Factors and Property Tax'!$E$24*'Alloc. Factors and Property Tax'!$E$25*'Alloc. Factors and Property Tax'!$E$26/12</f>
        <v>2866.2285551405798</v>
      </c>
      <c r="AD68" s="23">
        <f>Repayment!$AB$81/72</f>
        <v>278599.51883690275</v>
      </c>
      <c r="AF68" s="23">
        <f t="shared" si="3"/>
        <v>944016.33646415616</v>
      </c>
      <c r="AH68" s="29">
        <f>'Alloc. Factors and Property Tax'!$C$18</f>
        <v>0.9604166666666667</v>
      </c>
      <c r="AJ68" s="33">
        <f t="shared" si="2"/>
        <v>906649.02314578334</v>
      </c>
    </row>
    <row r="69" spans="2:36" x14ac:dyDescent="0.2">
      <c r="B69" s="32" t="s">
        <v>11</v>
      </c>
      <c r="D69" s="3">
        <v>2031</v>
      </c>
      <c r="F69" s="263">
        <f>'Depr and ADFIT'!$C$1</f>
        <v>57798518.958269402</v>
      </c>
      <c r="G69" s="252"/>
      <c r="H69" s="26">
        <f>'Depr and ADFIT'!C67</f>
        <v>-19587344</v>
      </c>
      <c r="I69" s="252"/>
      <c r="J69" s="264">
        <f>'Depr and ADFIT'!J67</f>
        <v>474898</v>
      </c>
      <c r="L69" s="269">
        <f>'Depr and ADFIT'!$N$1</f>
        <v>20059165.356256999</v>
      </c>
      <c r="M69" s="252"/>
      <c r="N69" s="26">
        <f>'Depr and ADFIT'!N67</f>
        <v>-16994600</v>
      </c>
      <c r="O69" s="252"/>
      <c r="P69" s="264">
        <f>'Depr and ADFIT'!P67</f>
        <v>-643559</v>
      </c>
      <c r="R69" s="220">
        <f t="shared" si="4"/>
        <v>41107079.314526401</v>
      </c>
      <c r="T69" s="28">
        <f>WACC!$S$16</f>
        <v>8.1600000000000006E-2</v>
      </c>
      <c r="V69" s="22">
        <f t="shared" si="1"/>
        <v>279528.13933877955</v>
      </c>
      <c r="W69" s="23"/>
      <c r="X69" s="23">
        <f>'O&amp;M'!$G$11</f>
        <v>54166.666666666664</v>
      </c>
      <c r="Z69" s="23">
        <f>(ROUND(F69*'Depr and ADFIT'!$C$4/12,0))</f>
        <v>321104</v>
      </c>
      <c r="AB69" s="23">
        <f>F69*'Alloc. Factors and Property Tax'!$E$24*'Alloc. Factors and Property Tax'!$E$25*'Alloc. Factors and Property Tax'!$E$26/12</f>
        <v>2866.2285551405798</v>
      </c>
      <c r="AD69" s="23">
        <f>Repayment!$AB$81/72</f>
        <v>278599.51883690275</v>
      </c>
      <c r="AF69" s="23">
        <f t="shared" si="3"/>
        <v>936264.55339748948</v>
      </c>
      <c r="AH69" s="29">
        <f>'Alloc. Factors and Property Tax'!$C$18</f>
        <v>0.9604166666666667</v>
      </c>
      <c r="AJ69" s="33">
        <f t="shared" si="2"/>
        <v>899204.0814921722</v>
      </c>
    </row>
    <row r="70" spans="2:36" x14ac:dyDescent="0.2">
      <c r="B70" s="32" t="s">
        <v>12</v>
      </c>
      <c r="D70" s="3">
        <v>2031</v>
      </c>
      <c r="F70" s="263">
        <f>'Depr and ADFIT'!$C$1</f>
        <v>57798518.958269402</v>
      </c>
      <c r="G70" s="252"/>
      <c r="H70" s="26">
        <f>'Depr and ADFIT'!C68</f>
        <v>-19908448</v>
      </c>
      <c r="I70" s="252"/>
      <c r="J70" s="264">
        <f>'Depr and ADFIT'!J68</f>
        <v>488873</v>
      </c>
      <c r="L70" s="269">
        <f>'Depr and ADFIT'!$N$1</f>
        <v>20059165.356256999</v>
      </c>
      <c r="M70" s="252"/>
      <c r="N70" s="26">
        <f>'Depr and ADFIT'!N68</f>
        <v>-17273200</v>
      </c>
      <c r="O70" s="252"/>
      <c r="P70" s="264">
        <f>'Depr and ADFIT'!P68</f>
        <v>-585053</v>
      </c>
      <c r="R70" s="220">
        <f t="shared" si="4"/>
        <v>40579856.314526401</v>
      </c>
      <c r="T70" s="28">
        <f>WACC!$S$16</f>
        <v>8.1600000000000006E-2</v>
      </c>
      <c r="V70" s="22">
        <f t="shared" si="1"/>
        <v>275943.02293877956</v>
      </c>
      <c r="X70" s="23">
        <f>'O&amp;M'!$G$11</f>
        <v>54166.666666666664</v>
      </c>
      <c r="Z70" s="23">
        <f>(ROUND(F70*'Depr and ADFIT'!$C$4/12,0))</f>
        <v>321104</v>
      </c>
      <c r="AB70" s="23">
        <f>F70*'Alloc. Factors and Property Tax'!$E$24*'Alloc. Factors and Property Tax'!$E$25*'Alloc. Factors and Property Tax'!$E$26/12</f>
        <v>2866.2285551405798</v>
      </c>
      <c r="AD70" s="23">
        <f>Repayment!$AB$81/72</f>
        <v>278599.51883690275</v>
      </c>
      <c r="AF70" s="23">
        <f t="shared" si="3"/>
        <v>932679.43699748954</v>
      </c>
      <c r="AH70" s="29">
        <f>'Alloc. Factors and Property Tax'!$C$18</f>
        <v>0.9604166666666667</v>
      </c>
      <c r="AJ70" s="33">
        <f t="shared" si="2"/>
        <v>895760.87594967231</v>
      </c>
    </row>
    <row r="71" spans="2:36" x14ac:dyDescent="0.2">
      <c r="B71" s="32" t="s">
        <v>13</v>
      </c>
      <c r="D71" s="3">
        <v>2031</v>
      </c>
      <c r="F71" s="263">
        <f>'Depr and ADFIT'!$C$1</f>
        <v>57798518.958269402</v>
      </c>
      <c r="G71" s="252"/>
      <c r="H71" s="26">
        <f>'Depr and ADFIT'!C69</f>
        <v>-20229552</v>
      </c>
      <c r="I71" s="252"/>
      <c r="J71" s="264">
        <f>'Depr and ADFIT'!J69</f>
        <v>502849</v>
      </c>
      <c r="L71" s="269">
        <f>'Depr and ADFIT'!$N$1</f>
        <v>20059165.356256999</v>
      </c>
      <c r="M71" s="252"/>
      <c r="N71" s="26">
        <f>'Depr and ADFIT'!N69</f>
        <v>-17551800</v>
      </c>
      <c r="O71" s="252"/>
      <c r="P71" s="264">
        <f>'Depr and ADFIT'!P69</f>
        <v>-526547</v>
      </c>
      <c r="R71" s="220">
        <f t="shared" si="4"/>
        <v>40052634.314526401</v>
      </c>
      <c r="T71" s="28">
        <f>WACC!$S$16</f>
        <v>8.1600000000000006E-2</v>
      </c>
      <c r="V71" s="22">
        <f t="shared" ref="V71:V134" si="5">R71*T71/12</f>
        <v>272357.91333877953</v>
      </c>
      <c r="X71" s="23">
        <f>'O&amp;M'!$G$11</f>
        <v>54166.666666666664</v>
      </c>
      <c r="Z71" s="23">
        <f>(ROUND(F71*'Depr and ADFIT'!$C$4/12,0))</f>
        <v>321104</v>
      </c>
      <c r="AB71" s="23">
        <f>F71*'Alloc. Factors and Property Tax'!$E$24*'Alloc. Factors and Property Tax'!$E$25*'Alloc. Factors and Property Tax'!$E$26/12</f>
        <v>2866.2285551405798</v>
      </c>
      <c r="AD71" s="23">
        <f>Repayment!$AB$81/72</f>
        <v>278599.51883690275</v>
      </c>
      <c r="AF71" s="23">
        <f t="shared" si="3"/>
        <v>929094.32739748945</v>
      </c>
      <c r="AH71" s="29">
        <f>'Alloc. Factors and Property Tax'!$C$18</f>
        <v>0.9604166666666667</v>
      </c>
      <c r="AJ71" s="33">
        <f t="shared" ref="AJ71:AJ134" si="6">AF71*AH71</f>
        <v>892317.67693800549</v>
      </c>
    </row>
    <row r="72" spans="2:36" x14ac:dyDescent="0.2">
      <c r="B72" s="32" t="s">
        <v>14</v>
      </c>
      <c r="D72" s="3">
        <v>2031</v>
      </c>
      <c r="F72" s="263">
        <f>'Depr and ADFIT'!$C$1</f>
        <v>57798518.958269402</v>
      </c>
      <c r="G72" s="252"/>
      <c r="H72" s="26">
        <f>'Depr and ADFIT'!C70</f>
        <v>-20550656</v>
      </c>
      <c r="I72" s="252"/>
      <c r="J72" s="264">
        <f>'Depr and ADFIT'!J70</f>
        <v>516824</v>
      </c>
      <c r="L72" s="269">
        <f>'Depr and ADFIT'!$N$1</f>
        <v>20059165.356256999</v>
      </c>
      <c r="M72" s="252"/>
      <c r="N72" s="26">
        <f>'Depr and ADFIT'!N70</f>
        <v>-17830400</v>
      </c>
      <c r="O72" s="252"/>
      <c r="P72" s="264">
        <f>'Depr and ADFIT'!P70</f>
        <v>-468041</v>
      </c>
      <c r="R72" s="220">
        <f t="shared" si="4"/>
        <v>39525411.314526401</v>
      </c>
      <c r="T72" s="28">
        <f>WACC!$S$16</f>
        <v>8.1600000000000006E-2</v>
      </c>
      <c r="V72" s="22">
        <f t="shared" si="5"/>
        <v>268772.79693877953</v>
      </c>
      <c r="X72" s="23">
        <f>'O&amp;M'!$G$11</f>
        <v>54166.666666666664</v>
      </c>
      <c r="Z72" s="23">
        <f>(ROUND(F72*'Depr and ADFIT'!$C$4/12,0))</f>
        <v>321104</v>
      </c>
      <c r="AB72" s="23">
        <f>F72*'Alloc. Factors and Property Tax'!$E$24*'Alloc. Factors and Property Tax'!$E$25*'Alloc. Factors and Property Tax'!$E$26/12</f>
        <v>2866.2285551405798</v>
      </c>
      <c r="AD72" s="23">
        <f>Repayment!$AB$81/72</f>
        <v>278599.51883690275</v>
      </c>
      <c r="AF72" s="23">
        <f t="shared" si="3"/>
        <v>925509.21099748951</v>
      </c>
      <c r="AH72" s="29">
        <f>'Alloc. Factors and Property Tax'!$C$18</f>
        <v>0.9604166666666667</v>
      </c>
      <c r="AJ72" s="33">
        <f t="shared" si="6"/>
        <v>888874.47139550559</v>
      </c>
    </row>
    <row r="73" spans="2:36" x14ac:dyDescent="0.2">
      <c r="B73" s="32" t="s">
        <v>15</v>
      </c>
      <c r="D73" s="3">
        <v>2031</v>
      </c>
      <c r="F73" s="263">
        <f>'Depr and ADFIT'!$C$1</f>
        <v>57798518.958269402</v>
      </c>
      <c r="G73" s="252"/>
      <c r="H73" s="26">
        <f>'Depr and ADFIT'!C71</f>
        <v>-20871760</v>
      </c>
      <c r="I73" s="252"/>
      <c r="J73" s="264">
        <f>'Depr and ADFIT'!J71</f>
        <v>530800</v>
      </c>
      <c r="L73" s="269">
        <f>'Depr and ADFIT'!$N$1</f>
        <v>20059165.356256999</v>
      </c>
      <c r="M73" s="252"/>
      <c r="N73" s="26">
        <f>'Depr and ADFIT'!N71</f>
        <v>-18109000</v>
      </c>
      <c r="O73" s="252"/>
      <c r="P73" s="264">
        <f>'Depr and ADFIT'!P71</f>
        <v>-409535</v>
      </c>
      <c r="R73" s="220">
        <f t="shared" ref="R73:R104" si="7">SUM(F73:Q73)</f>
        <v>38998189.314526401</v>
      </c>
      <c r="T73" s="28">
        <f>WACC!$S$16</f>
        <v>8.1600000000000006E-2</v>
      </c>
      <c r="V73" s="22">
        <f t="shared" si="5"/>
        <v>265187.68733877956</v>
      </c>
      <c r="X73" s="23">
        <f>'O&amp;M'!$G$11</f>
        <v>54166.666666666664</v>
      </c>
      <c r="Z73" s="23">
        <f>(ROUND(F73*'Depr and ADFIT'!$C$4/12,0))</f>
        <v>321104</v>
      </c>
      <c r="AB73" s="23">
        <f>F73*'Alloc. Factors and Property Tax'!$E$24*'Alloc. Factors and Property Tax'!$E$25*'Alloc. Factors and Property Tax'!$E$26/12</f>
        <v>2866.2285551405798</v>
      </c>
      <c r="AD73" s="23">
        <f>Repayment!$AB$81/72</f>
        <v>278599.51883690275</v>
      </c>
      <c r="AF73" s="23">
        <f t="shared" si="3"/>
        <v>921924.10139748943</v>
      </c>
      <c r="AH73" s="29">
        <f>'Alloc. Factors and Property Tax'!$C$18</f>
        <v>0.9604166666666667</v>
      </c>
      <c r="AJ73" s="33">
        <f t="shared" si="6"/>
        <v>885431.27238383889</v>
      </c>
    </row>
    <row r="74" spans="2:36" x14ac:dyDescent="0.2">
      <c r="B74" s="32" t="s">
        <v>16</v>
      </c>
      <c r="D74" s="3">
        <v>2031</v>
      </c>
      <c r="F74" s="263">
        <f>'Depr and ADFIT'!$C$1</f>
        <v>57798518.958269402</v>
      </c>
      <c r="G74" s="252"/>
      <c r="H74" s="26">
        <f>'Depr and ADFIT'!C72</f>
        <v>-21192864</v>
      </c>
      <c r="I74" s="252"/>
      <c r="J74" s="264">
        <f>'Depr and ADFIT'!J72</f>
        <v>544775</v>
      </c>
      <c r="L74" s="269">
        <f>'Depr and ADFIT'!$N$1</f>
        <v>20059165.356256999</v>
      </c>
      <c r="M74" s="252"/>
      <c r="N74" s="26">
        <f>'Depr and ADFIT'!N72</f>
        <v>-18387600</v>
      </c>
      <c r="O74" s="252"/>
      <c r="P74" s="264">
        <f>'Depr and ADFIT'!P72</f>
        <v>-351029</v>
      </c>
      <c r="R74" s="220">
        <f t="shared" si="7"/>
        <v>38470966.314526401</v>
      </c>
      <c r="T74" s="28">
        <f>WACC!$S$16</f>
        <v>8.1600000000000006E-2</v>
      </c>
      <c r="V74" s="22">
        <f t="shared" si="5"/>
        <v>261602.57093877954</v>
      </c>
      <c r="X74" s="23">
        <f>'O&amp;M'!$G$11</f>
        <v>54166.666666666664</v>
      </c>
      <c r="Z74" s="23">
        <f>(ROUND(F74*'Depr and ADFIT'!$C$4/12,0))</f>
        <v>321104</v>
      </c>
      <c r="AB74" s="23">
        <f>F74*'Alloc. Factors and Property Tax'!$E$24*'Alloc. Factors and Property Tax'!$E$25*'Alloc. Factors and Property Tax'!$E$26/12</f>
        <v>2866.2285551405798</v>
      </c>
      <c r="AD74" s="23">
        <f>Repayment!$AB$81/72</f>
        <v>278599.51883690275</v>
      </c>
      <c r="AF74" s="23">
        <f t="shared" ref="AF74:AF137" si="8">SUM(V74:AD74)</f>
        <v>918338.98499748949</v>
      </c>
      <c r="AH74" s="29">
        <f>'Alloc. Factors and Property Tax'!$C$18</f>
        <v>0.9604166666666667</v>
      </c>
      <c r="AJ74" s="33">
        <f t="shared" si="6"/>
        <v>881988.06684133888</v>
      </c>
    </row>
    <row r="75" spans="2:36" x14ac:dyDescent="0.2">
      <c r="B75" s="32" t="s">
        <v>17</v>
      </c>
      <c r="D75" s="3">
        <v>2031</v>
      </c>
      <c r="F75" s="263">
        <f>'Depr and ADFIT'!$C$1</f>
        <v>57798518.958269402</v>
      </c>
      <c r="G75" s="252"/>
      <c r="H75" s="26">
        <f>'Depr and ADFIT'!C73</f>
        <v>-21513968</v>
      </c>
      <c r="I75" s="252"/>
      <c r="J75" s="264">
        <f>'Depr and ADFIT'!J73</f>
        <v>558751</v>
      </c>
      <c r="L75" s="269">
        <f>'Depr and ADFIT'!$N$1</f>
        <v>20059165.356256999</v>
      </c>
      <c r="M75" s="252"/>
      <c r="N75" s="26">
        <f>'Depr and ADFIT'!N73</f>
        <v>-18666200</v>
      </c>
      <c r="O75" s="252"/>
      <c r="P75" s="264">
        <f>'Depr and ADFIT'!P73</f>
        <v>-292523</v>
      </c>
      <c r="R75" s="220">
        <f t="shared" si="7"/>
        <v>37943744.314526401</v>
      </c>
      <c r="T75" s="28">
        <f>WACC!$S$16</f>
        <v>8.1600000000000006E-2</v>
      </c>
      <c r="V75" s="22">
        <f t="shared" si="5"/>
        <v>258017.46133877954</v>
      </c>
      <c r="X75" s="23">
        <f>'O&amp;M'!$G$11</f>
        <v>54166.666666666664</v>
      </c>
      <c r="Z75" s="23">
        <f>(ROUND(F75*'Depr and ADFIT'!$C$4/12,0))</f>
        <v>321104</v>
      </c>
      <c r="AB75" s="23">
        <f>F75*'Alloc. Factors and Property Tax'!$E$24*'Alloc. Factors and Property Tax'!$E$25*'Alloc. Factors and Property Tax'!$E$26/12</f>
        <v>2866.2285551405798</v>
      </c>
      <c r="AD75" s="23">
        <f>Repayment!$AB$81/72</f>
        <v>278599.51883690275</v>
      </c>
      <c r="AF75" s="23">
        <f t="shared" si="8"/>
        <v>914753.87539748941</v>
      </c>
      <c r="AH75" s="29">
        <f>'Alloc. Factors and Property Tax'!$C$18</f>
        <v>0.9604166666666667</v>
      </c>
      <c r="AJ75" s="33">
        <f t="shared" si="6"/>
        <v>878544.86782967218</v>
      </c>
    </row>
    <row r="76" spans="2:36" x14ac:dyDescent="0.2">
      <c r="B76" s="32" t="s">
        <v>18</v>
      </c>
      <c r="D76" s="3">
        <v>2031</v>
      </c>
      <c r="F76" s="263">
        <f>'Depr and ADFIT'!$C$1</f>
        <v>57798518.958269402</v>
      </c>
      <c r="G76" s="252"/>
      <c r="H76" s="26">
        <f>'Depr and ADFIT'!C74</f>
        <v>-21835072</v>
      </c>
      <c r="I76" s="252"/>
      <c r="J76" s="264">
        <f>'Depr and ADFIT'!J74</f>
        <v>572726</v>
      </c>
      <c r="L76" s="269">
        <f>'Depr and ADFIT'!$N$1</f>
        <v>20059165.356256999</v>
      </c>
      <c r="M76" s="252"/>
      <c r="N76" s="26">
        <f>'Depr and ADFIT'!N74</f>
        <v>-18944800</v>
      </c>
      <c r="O76" s="252"/>
      <c r="P76" s="264">
        <f>'Depr and ADFIT'!P74</f>
        <v>-234017</v>
      </c>
      <c r="R76" s="220">
        <f t="shared" si="7"/>
        <v>37416521.314526401</v>
      </c>
      <c r="T76" s="28">
        <f>WACC!$S$16</f>
        <v>8.1600000000000006E-2</v>
      </c>
      <c r="V76" s="22">
        <f t="shared" si="5"/>
        <v>254432.34493877957</v>
      </c>
      <c r="X76" s="23">
        <f>'O&amp;M'!$G$11</f>
        <v>54166.666666666664</v>
      </c>
      <c r="Z76" s="23">
        <f>(ROUND(F76*'Depr and ADFIT'!$C$4/12,0))</f>
        <v>321104</v>
      </c>
      <c r="AB76" s="23">
        <f>F76*'Alloc. Factors and Property Tax'!$E$24*'Alloc. Factors and Property Tax'!$E$25*'Alloc. Factors and Property Tax'!$E$26/12</f>
        <v>2866.2285551405798</v>
      </c>
      <c r="AD76" s="23">
        <f>Repayment!$AB$81/72</f>
        <v>278599.51883690275</v>
      </c>
      <c r="AF76" s="23">
        <f t="shared" si="8"/>
        <v>911168.75899748947</v>
      </c>
      <c r="AH76" s="29">
        <f>'Alloc. Factors and Property Tax'!$C$18</f>
        <v>0.9604166666666667</v>
      </c>
      <c r="AJ76" s="33">
        <f t="shared" si="6"/>
        <v>875101.66228717216</v>
      </c>
    </row>
    <row r="77" spans="2:36" x14ac:dyDescent="0.2">
      <c r="B77" s="32" t="s">
        <v>19</v>
      </c>
      <c r="D77" s="3">
        <v>2031</v>
      </c>
      <c r="F77" s="263">
        <f>'Depr and ADFIT'!$C$1</f>
        <v>57798518.958269402</v>
      </c>
      <c r="G77" s="252"/>
      <c r="H77" s="26">
        <f>'Depr and ADFIT'!C75</f>
        <v>-22156176</v>
      </c>
      <c r="I77" s="252"/>
      <c r="J77" s="264">
        <f>'Depr and ADFIT'!J75</f>
        <v>586701</v>
      </c>
      <c r="L77" s="269">
        <f>'Depr and ADFIT'!$N$1</f>
        <v>20059165.356256999</v>
      </c>
      <c r="M77" s="252"/>
      <c r="N77" s="26">
        <f>'Depr and ADFIT'!N75</f>
        <v>-19223400</v>
      </c>
      <c r="O77" s="252"/>
      <c r="P77" s="264">
        <f>'Depr and ADFIT'!P75</f>
        <v>-175511</v>
      </c>
      <c r="R77" s="220">
        <f t="shared" si="7"/>
        <v>36889298.314526401</v>
      </c>
      <c r="T77" s="28">
        <f>WACC!$S$16</f>
        <v>8.1600000000000006E-2</v>
      </c>
      <c r="V77" s="22">
        <f t="shared" si="5"/>
        <v>250847.22853877954</v>
      </c>
      <c r="X77" s="23">
        <f>'O&amp;M'!$G$11</f>
        <v>54166.666666666664</v>
      </c>
      <c r="Z77" s="23">
        <f>(ROUND(F77*'Depr and ADFIT'!$C$4/12,0))</f>
        <v>321104</v>
      </c>
      <c r="AB77" s="23">
        <f>F77*'Alloc. Factors and Property Tax'!$E$24*'Alloc. Factors and Property Tax'!$E$25*'Alloc. Factors and Property Tax'!$E$26/12</f>
        <v>2866.2285551405798</v>
      </c>
      <c r="AD77" s="23">
        <f>Repayment!$AB$81/72</f>
        <v>278599.51883690275</v>
      </c>
      <c r="AF77" s="23">
        <f t="shared" si="8"/>
        <v>907583.64259748952</v>
      </c>
      <c r="AH77" s="29">
        <f>'Alloc. Factors and Property Tax'!$C$18</f>
        <v>0.9604166666666667</v>
      </c>
      <c r="AJ77" s="33">
        <f t="shared" si="6"/>
        <v>871658.45674467226</v>
      </c>
    </row>
    <row r="78" spans="2:36" x14ac:dyDescent="0.2">
      <c r="B78" s="32" t="s">
        <v>8</v>
      </c>
      <c r="D78" s="3">
        <v>2031</v>
      </c>
      <c r="F78" s="263">
        <f>'Depr and ADFIT'!$C$1</f>
        <v>57798518.958269402</v>
      </c>
      <c r="G78" s="252"/>
      <c r="H78" s="26">
        <f>'Depr and ADFIT'!C76</f>
        <v>-22477280</v>
      </c>
      <c r="I78" s="252"/>
      <c r="J78" s="264">
        <f>'Depr and ADFIT'!J76</f>
        <v>600677</v>
      </c>
      <c r="L78" s="269">
        <f>'Depr and ADFIT'!$N$1</f>
        <v>20059165.356256999</v>
      </c>
      <c r="M78" s="252"/>
      <c r="N78" s="26">
        <f>'Depr and ADFIT'!N76</f>
        <v>-19502000</v>
      </c>
      <c r="O78" s="252"/>
      <c r="P78" s="264">
        <f>'Depr and ADFIT'!P76</f>
        <v>-117005</v>
      </c>
      <c r="R78" s="220">
        <f t="shared" si="7"/>
        <v>36362076.314526401</v>
      </c>
      <c r="T78" s="28">
        <f>WACC!$S$16</f>
        <v>8.1600000000000006E-2</v>
      </c>
      <c r="V78" s="22">
        <f t="shared" si="5"/>
        <v>247262.11893877955</v>
      </c>
      <c r="X78" s="23">
        <f>'O&amp;M'!$G$11</f>
        <v>54166.666666666664</v>
      </c>
      <c r="Z78" s="23">
        <f>(ROUND(F78*'Depr and ADFIT'!$C$4/12,0))</f>
        <v>321104</v>
      </c>
      <c r="AB78" s="23">
        <f>F78*'Alloc. Factors and Property Tax'!$E$24*'Alloc. Factors and Property Tax'!$E$25*'Alloc. Factors and Property Tax'!$E$26/12</f>
        <v>2866.2285551405798</v>
      </c>
      <c r="AD78" s="23">
        <f>Repayment!$AB$81/72</f>
        <v>278599.51883690275</v>
      </c>
      <c r="AF78" s="23">
        <f t="shared" si="8"/>
        <v>903998.53299748944</v>
      </c>
      <c r="AH78" s="29">
        <f>'Alloc. Factors and Property Tax'!$C$18</f>
        <v>0.9604166666666667</v>
      </c>
      <c r="AJ78" s="33">
        <f t="shared" si="6"/>
        <v>868215.25773300556</v>
      </c>
    </row>
    <row r="79" spans="2:36" x14ac:dyDescent="0.2">
      <c r="B79" s="32" t="s">
        <v>9</v>
      </c>
      <c r="D79" s="3">
        <v>2031</v>
      </c>
      <c r="F79" s="263">
        <f>'Depr and ADFIT'!$C$1</f>
        <v>57798518.958269402</v>
      </c>
      <c r="G79" s="252"/>
      <c r="H79" s="26">
        <f>'Depr and ADFIT'!C77</f>
        <v>-22798384</v>
      </c>
      <c r="I79" s="252"/>
      <c r="J79" s="264">
        <f>'Depr and ADFIT'!J77</f>
        <v>614652</v>
      </c>
      <c r="L79" s="269">
        <f>'Depr and ADFIT'!$N$1</f>
        <v>20059165.356256999</v>
      </c>
      <c r="M79" s="252"/>
      <c r="N79" s="26">
        <f>'Depr and ADFIT'!N77</f>
        <v>-19780600</v>
      </c>
      <c r="O79" s="252"/>
      <c r="P79" s="264">
        <f>'Depr and ADFIT'!P77</f>
        <v>-58499</v>
      </c>
      <c r="R79" s="220">
        <f t="shared" si="7"/>
        <v>35834853.314526401</v>
      </c>
      <c r="T79" s="28">
        <f>WACC!$S$16</f>
        <v>8.1600000000000006E-2</v>
      </c>
      <c r="V79" s="22">
        <f t="shared" si="5"/>
        <v>243677.00253877955</v>
      </c>
      <c r="X79" s="23">
        <f>'O&amp;M'!$G$11</f>
        <v>54166.666666666664</v>
      </c>
      <c r="Z79" s="23">
        <f>(ROUND(F79*'Depr and ADFIT'!$C$4/12,0))</f>
        <v>321104</v>
      </c>
      <c r="AB79" s="23">
        <f>F79*'Alloc. Factors and Property Tax'!$E$24*'Alloc. Factors and Property Tax'!$E$25*'Alloc. Factors and Property Tax'!$E$26/12</f>
        <v>2866.2285551405798</v>
      </c>
      <c r="AD79" s="23">
        <f>Repayment!$AB$81/72</f>
        <v>278599.51883690275</v>
      </c>
      <c r="AF79" s="23">
        <f t="shared" si="8"/>
        <v>900413.4165974895</v>
      </c>
      <c r="AH79" s="29">
        <f>'Alloc. Factors and Property Tax'!$C$18</f>
        <v>0.9604166666666667</v>
      </c>
      <c r="AJ79" s="33">
        <f t="shared" si="6"/>
        <v>864772.05219050555</v>
      </c>
    </row>
    <row r="80" spans="2:36" x14ac:dyDescent="0.2">
      <c r="B80" s="32" t="s">
        <v>10</v>
      </c>
      <c r="D80" s="3">
        <v>2031</v>
      </c>
      <c r="F80" s="263">
        <f>'Depr and ADFIT'!$C$1</f>
        <v>57798518.958269402</v>
      </c>
      <c r="G80" s="252"/>
      <c r="H80" s="26">
        <f>'Depr and ADFIT'!C78</f>
        <v>-23119488</v>
      </c>
      <c r="I80" s="252"/>
      <c r="J80" s="264">
        <f>'Depr and ADFIT'!J78</f>
        <v>628628</v>
      </c>
      <c r="L80" s="269">
        <f>'Depr and ADFIT'!$N$1</f>
        <v>20059165.356256999</v>
      </c>
      <c r="M80" s="252"/>
      <c r="N80" s="26">
        <f>'Depr and ADFIT'!N78</f>
        <v>-20059200</v>
      </c>
      <c r="O80" s="252"/>
      <c r="P80" s="264">
        <f>'Depr and ADFIT'!P78</f>
        <v>7</v>
      </c>
      <c r="R80" s="220">
        <f t="shared" si="7"/>
        <v>35307631.314526401</v>
      </c>
      <c r="T80" s="28">
        <f>WACC!$S$16</f>
        <v>8.1600000000000006E-2</v>
      </c>
      <c r="V80" s="22">
        <f t="shared" si="5"/>
        <v>240091.89293877955</v>
      </c>
      <c r="X80" s="23">
        <f>'O&amp;M'!$G$11</f>
        <v>54166.666666666664</v>
      </c>
      <c r="Z80" s="23">
        <f>(ROUND(F80*'Depr and ADFIT'!$C$4/12,0))</f>
        <v>321104</v>
      </c>
      <c r="AB80" s="23">
        <f>F80*'Alloc. Factors and Property Tax'!$E$24*'Alloc. Factors and Property Tax'!$E$25*'Alloc. Factors and Property Tax'!$E$26/12</f>
        <v>2866.2285551405798</v>
      </c>
      <c r="AD80" s="23">
        <f>Repayment!$AB$81/72</f>
        <v>278599.51883690275</v>
      </c>
      <c r="AF80" s="23">
        <f t="shared" si="8"/>
        <v>896828.30699748942</v>
      </c>
      <c r="AH80" s="29">
        <f>'Alloc. Factors and Property Tax'!$C$18</f>
        <v>0.9604166666666667</v>
      </c>
      <c r="AJ80" s="33">
        <f t="shared" si="6"/>
        <v>861328.85317883885</v>
      </c>
    </row>
    <row r="81" spans="2:36" x14ac:dyDescent="0.2">
      <c r="B81" s="32" t="s">
        <v>11</v>
      </c>
      <c r="D81" s="3">
        <v>2032</v>
      </c>
      <c r="F81" s="263">
        <f>'Depr and ADFIT'!$C$1</f>
        <v>57798518.958269402</v>
      </c>
      <c r="G81" s="252"/>
      <c r="H81" s="26">
        <f>'Depr and ADFIT'!C79</f>
        <v>-23440592</v>
      </c>
      <c r="I81" s="252"/>
      <c r="J81" s="264">
        <f>'Depr and ADFIT'!J79</f>
        <v>646619</v>
      </c>
      <c r="L81" s="269"/>
      <c r="M81" s="252"/>
      <c r="N81" s="26"/>
      <c r="O81" s="252"/>
      <c r="P81" s="264"/>
      <c r="R81" s="220">
        <f t="shared" si="7"/>
        <v>35004545.958269402</v>
      </c>
      <c r="T81" s="28">
        <f>WACC!$S$16</f>
        <v>8.1600000000000006E-2</v>
      </c>
      <c r="V81" s="22">
        <f t="shared" si="5"/>
        <v>238030.91251623197</v>
      </c>
      <c r="X81" s="23">
        <f>'O&amp;M'!$H$11</f>
        <v>54166.666666666664</v>
      </c>
      <c r="Z81" s="23">
        <f>(ROUND(F81*'Depr and ADFIT'!$C$4/12,0))</f>
        <v>321104</v>
      </c>
      <c r="AB81" s="23">
        <f>F81*'Alloc. Factors and Property Tax'!$E$24*'Alloc. Factors and Property Tax'!$E$25*'Alloc. Factors and Property Tax'!$E$26/12</f>
        <v>2866.2285551405798</v>
      </c>
      <c r="AD81" s="23"/>
      <c r="AF81" s="23">
        <f t="shared" si="8"/>
        <v>616167.80773803918</v>
      </c>
      <c r="AH81" s="29">
        <f>'Alloc. Factors and Property Tax'!$C$18</f>
        <v>0.9604166666666667</v>
      </c>
      <c r="AJ81" s="33">
        <f t="shared" si="6"/>
        <v>591777.83201507514</v>
      </c>
    </row>
    <row r="82" spans="2:36" x14ac:dyDescent="0.2">
      <c r="B82" s="32" t="s">
        <v>12</v>
      </c>
      <c r="D82" s="3">
        <v>2032</v>
      </c>
      <c r="F82" s="263">
        <f>'Depr and ADFIT'!$C$1</f>
        <v>57798518.958269402</v>
      </c>
      <c r="G82" s="252"/>
      <c r="H82" s="26">
        <f>'Depr and ADFIT'!C80</f>
        <v>-23761696</v>
      </c>
      <c r="I82" s="252"/>
      <c r="J82" s="264">
        <f>'Depr and ADFIT'!J80</f>
        <v>664610</v>
      </c>
      <c r="L82" s="269"/>
      <c r="M82" s="252"/>
      <c r="N82" s="26"/>
      <c r="O82" s="252"/>
      <c r="P82" s="264"/>
      <c r="R82" s="220">
        <f t="shared" si="7"/>
        <v>34701432.958269402</v>
      </c>
      <c r="T82" s="28">
        <f>WACC!$S$16</f>
        <v>8.1600000000000006E-2</v>
      </c>
      <c r="V82" s="22">
        <f t="shared" si="5"/>
        <v>235969.74411623194</v>
      </c>
      <c r="X82" s="23">
        <f>'O&amp;M'!$H$11</f>
        <v>54166.666666666664</v>
      </c>
      <c r="Z82" s="23">
        <f>(ROUND(F82*'Depr and ADFIT'!$C$4/12,0))</f>
        <v>321104</v>
      </c>
      <c r="AB82" s="23">
        <f>F82*'Alloc. Factors and Property Tax'!$E$24*'Alloc. Factors and Property Tax'!$E$25*'Alloc. Factors and Property Tax'!$E$26/12</f>
        <v>2866.2285551405798</v>
      </c>
      <c r="AD82" s="23"/>
      <c r="AF82" s="23">
        <f t="shared" si="8"/>
        <v>614106.63933803909</v>
      </c>
      <c r="AH82" s="29">
        <f>'Alloc. Factors and Property Tax'!$C$18</f>
        <v>0.9604166666666667</v>
      </c>
      <c r="AJ82" s="33">
        <f t="shared" si="6"/>
        <v>589798.2515309084</v>
      </c>
    </row>
    <row r="83" spans="2:36" x14ac:dyDescent="0.2">
      <c r="B83" s="32" t="s">
        <v>13</v>
      </c>
      <c r="D83" s="3">
        <v>2032</v>
      </c>
      <c r="F83" s="263">
        <f>'Depr and ADFIT'!$C$1</f>
        <v>57798518.958269402</v>
      </c>
      <c r="G83" s="252"/>
      <c r="H83" s="26">
        <f>'Depr and ADFIT'!C81</f>
        <v>-24082800</v>
      </c>
      <c r="I83" s="252"/>
      <c r="J83" s="264">
        <f>'Depr and ADFIT'!J81</f>
        <v>682601</v>
      </c>
      <c r="L83" s="269"/>
      <c r="M83" s="252"/>
      <c r="N83" s="26"/>
      <c r="O83" s="252"/>
      <c r="P83" s="264"/>
      <c r="R83" s="220">
        <f t="shared" si="7"/>
        <v>34398319.958269402</v>
      </c>
      <c r="T83" s="28">
        <f>WACC!$S$16</f>
        <v>8.1600000000000006E-2</v>
      </c>
      <c r="V83" s="22">
        <f t="shared" si="5"/>
        <v>233908.57571623195</v>
      </c>
      <c r="X83" s="23">
        <f>'O&amp;M'!$H$11</f>
        <v>54166.666666666664</v>
      </c>
      <c r="Z83" s="23">
        <f>(ROUND(F83*'Depr and ADFIT'!$C$4/12,0))</f>
        <v>321104</v>
      </c>
      <c r="AB83" s="23">
        <f>F83*'Alloc. Factors and Property Tax'!$E$24*'Alloc. Factors and Property Tax'!$E$25*'Alloc. Factors and Property Tax'!$E$26/12</f>
        <v>2866.2285551405798</v>
      </c>
      <c r="AD83" s="23"/>
      <c r="AF83" s="23">
        <f t="shared" si="8"/>
        <v>612045.47093803925</v>
      </c>
      <c r="AH83" s="29">
        <f>'Alloc. Factors and Property Tax'!$C$18</f>
        <v>0.9604166666666667</v>
      </c>
      <c r="AJ83" s="33">
        <f t="shared" si="6"/>
        <v>587818.67104674189</v>
      </c>
    </row>
    <row r="84" spans="2:36" x14ac:dyDescent="0.2">
      <c r="B84" s="32" t="s">
        <v>14</v>
      </c>
      <c r="D84" s="3">
        <v>2032</v>
      </c>
      <c r="F84" s="263">
        <f>'Depr and ADFIT'!$C$1</f>
        <v>57798518.958269402</v>
      </c>
      <c r="G84" s="252"/>
      <c r="H84" s="26">
        <f>'Depr and ADFIT'!C82</f>
        <v>-24403904</v>
      </c>
      <c r="I84" s="252"/>
      <c r="J84" s="264">
        <f>'Depr and ADFIT'!J82</f>
        <v>700592</v>
      </c>
      <c r="L84" s="269"/>
      <c r="M84" s="252"/>
      <c r="N84" s="26"/>
      <c r="O84" s="252"/>
      <c r="P84" s="264"/>
      <c r="R84" s="220">
        <f t="shared" si="7"/>
        <v>34095206.958269402</v>
      </c>
      <c r="T84" s="28">
        <f>WACC!$S$16</f>
        <v>8.1600000000000006E-2</v>
      </c>
      <c r="V84" s="22">
        <f t="shared" si="5"/>
        <v>231847.40731623195</v>
      </c>
      <c r="X84" s="23">
        <f>'O&amp;M'!$H$11</f>
        <v>54166.666666666664</v>
      </c>
      <c r="Z84" s="23">
        <f>(ROUND(F84*'Depr and ADFIT'!$C$4/12,0))</f>
        <v>321104</v>
      </c>
      <c r="AB84" s="23">
        <f>F84*'Alloc. Factors and Property Tax'!$E$24*'Alloc. Factors and Property Tax'!$E$25*'Alloc. Factors and Property Tax'!$E$26/12</f>
        <v>2866.2285551405798</v>
      </c>
      <c r="AD84" s="23"/>
      <c r="AF84" s="23">
        <f t="shared" si="8"/>
        <v>609984.30253803916</v>
      </c>
      <c r="AH84" s="29">
        <f>'Alloc. Factors and Property Tax'!$C$18</f>
        <v>0.9604166666666667</v>
      </c>
      <c r="AJ84" s="33">
        <f t="shared" si="6"/>
        <v>585839.09056257515</v>
      </c>
    </row>
    <row r="85" spans="2:36" x14ac:dyDescent="0.2">
      <c r="B85" s="32" t="s">
        <v>15</v>
      </c>
      <c r="D85" s="3">
        <v>2032</v>
      </c>
      <c r="F85" s="263">
        <f>'Depr and ADFIT'!$C$1</f>
        <v>57798518.958269402</v>
      </c>
      <c r="G85" s="252"/>
      <c r="H85" s="26">
        <f>'Depr and ADFIT'!C83</f>
        <v>-24725008</v>
      </c>
      <c r="I85" s="252"/>
      <c r="J85" s="264">
        <f>'Depr and ADFIT'!J83</f>
        <v>718583</v>
      </c>
      <c r="L85" s="269"/>
      <c r="M85" s="252"/>
      <c r="N85" s="26"/>
      <c r="O85" s="252"/>
      <c r="P85" s="264"/>
      <c r="R85" s="220">
        <f t="shared" si="7"/>
        <v>33792093.958269402</v>
      </c>
      <c r="T85" s="28">
        <f>WACC!$S$16</f>
        <v>8.1600000000000006E-2</v>
      </c>
      <c r="V85" s="22">
        <f t="shared" si="5"/>
        <v>229786.23891623193</v>
      </c>
      <c r="X85" s="23">
        <f>'O&amp;M'!$H$11</f>
        <v>54166.666666666664</v>
      </c>
      <c r="Z85" s="23">
        <f>(ROUND(F85*'Depr and ADFIT'!$C$4/12,0))</f>
        <v>321104</v>
      </c>
      <c r="AB85" s="23">
        <f>F85*'Alloc. Factors and Property Tax'!$E$24*'Alloc. Factors and Property Tax'!$E$25*'Alloc. Factors and Property Tax'!$E$26/12</f>
        <v>2866.2285551405798</v>
      </c>
      <c r="AD85" s="23"/>
      <c r="AF85" s="23">
        <f t="shared" si="8"/>
        <v>607923.13413803908</v>
      </c>
      <c r="AH85" s="29">
        <f>'Alloc. Factors and Property Tax'!$C$18</f>
        <v>0.9604166666666667</v>
      </c>
      <c r="AJ85" s="33">
        <f t="shared" si="6"/>
        <v>583859.51007840841</v>
      </c>
    </row>
    <row r="86" spans="2:36" x14ac:dyDescent="0.2">
      <c r="B86" s="32" t="s">
        <v>16</v>
      </c>
      <c r="D86" s="3">
        <v>2032</v>
      </c>
      <c r="F86" s="263">
        <f>'Depr and ADFIT'!$C$1</f>
        <v>57798518.958269402</v>
      </c>
      <c r="G86" s="252"/>
      <c r="H86" s="26">
        <f>'Depr and ADFIT'!C84</f>
        <v>-25046112</v>
      </c>
      <c r="I86" s="252"/>
      <c r="J86" s="264">
        <f>'Depr and ADFIT'!J84</f>
        <v>736574</v>
      </c>
      <c r="L86" s="269"/>
      <c r="M86" s="252"/>
      <c r="N86" s="26"/>
      <c r="O86" s="252"/>
      <c r="P86" s="264"/>
      <c r="R86" s="220">
        <f t="shared" si="7"/>
        <v>33488980.958269402</v>
      </c>
      <c r="T86" s="28">
        <f>WACC!$S$16</f>
        <v>8.1600000000000006E-2</v>
      </c>
      <c r="V86" s="22">
        <f t="shared" si="5"/>
        <v>227725.07051623194</v>
      </c>
      <c r="X86" s="23">
        <f>'O&amp;M'!$H$11</f>
        <v>54166.666666666664</v>
      </c>
      <c r="Z86" s="23">
        <f>(ROUND(F86*'Depr and ADFIT'!$C$4/12,0))</f>
        <v>321104</v>
      </c>
      <c r="AB86" s="23">
        <f>F86*'Alloc. Factors and Property Tax'!$E$24*'Alloc. Factors and Property Tax'!$E$25*'Alloc. Factors and Property Tax'!$E$26/12</f>
        <v>2866.2285551405798</v>
      </c>
      <c r="AD86" s="23"/>
      <c r="AF86" s="23">
        <f t="shared" si="8"/>
        <v>605861.96573803923</v>
      </c>
      <c r="AH86" s="29">
        <f>'Alloc. Factors and Property Tax'!$C$18</f>
        <v>0.9604166666666667</v>
      </c>
      <c r="AJ86" s="33">
        <f t="shared" si="6"/>
        <v>581879.9295942419</v>
      </c>
    </row>
    <row r="87" spans="2:36" x14ac:dyDescent="0.2">
      <c r="B87" s="32" t="s">
        <v>17</v>
      </c>
      <c r="D87" s="3">
        <v>2032</v>
      </c>
      <c r="F87" s="263">
        <f>'Depr and ADFIT'!$C$1</f>
        <v>57798518.958269402</v>
      </c>
      <c r="G87" s="252"/>
      <c r="H87" s="26">
        <f>'Depr and ADFIT'!C85</f>
        <v>-25367216</v>
      </c>
      <c r="I87" s="252"/>
      <c r="J87" s="264">
        <f>'Depr and ADFIT'!J85</f>
        <v>754565</v>
      </c>
      <c r="L87" s="269"/>
      <c r="M87" s="252"/>
      <c r="N87" s="26"/>
      <c r="O87" s="252"/>
      <c r="P87" s="264"/>
      <c r="R87" s="220">
        <f t="shared" si="7"/>
        <v>33185867.958269402</v>
      </c>
      <c r="T87" s="28">
        <f>WACC!$S$16</f>
        <v>8.1600000000000006E-2</v>
      </c>
      <c r="V87" s="22">
        <f t="shared" si="5"/>
        <v>225663.90211623197</v>
      </c>
      <c r="X87" s="23">
        <f>'O&amp;M'!$H$11</f>
        <v>54166.666666666664</v>
      </c>
      <c r="Z87" s="23">
        <f>(ROUND(F87*'Depr and ADFIT'!$C$4/12,0))</f>
        <v>321104</v>
      </c>
      <c r="AB87" s="23">
        <f>F87*'Alloc. Factors and Property Tax'!$E$24*'Alloc. Factors and Property Tax'!$E$25*'Alloc. Factors and Property Tax'!$E$26/12</f>
        <v>2866.2285551405798</v>
      </c>
      <c r="AD87" s="23"/>
      <c r="AF87" s="23">
        <f t="shared" si="8"/>
        <v>603800.79733803915</v>
      </c>
      <c r="AH87" s="29">
        <f>'Alloc. Factors and Property Tax'!$C$18</f>
        <v>0.9604166666666667</v>
      </c>
      <c r="AJ87" s="33">
        <f t="shared" si="6"/>
        <v>579900.34911007516</v>
      </c>
    </row>
    <row r="88" spans="2:36" x14ac:dyDescent="0.2">
      <c r="B88" s="32" t="s">
        <v>18</v>
      </c>
      <c r="D88" s="3">
        <v>2032</v>
      </c>
      <c r="F88" s="263">
        <f>'Depr and ADFIT'!$C$1</f>
        <v>57798518.958269402</v>
      </c>
      <c r="G88" s="252"/>
      <c r="H88" s="26">
        <f>'Depr and ADFIT'!C86</f>
        <v>-25688320</v>
      </c>
      <c r="I88" s="252"/>
      <c r="J88" s="264">
        <f>'Depr and ADFIT'!J86</f>
        <v>772556</v>
      </c>
      <c r="L88" s="269"/>
      <c r="M88" s="252"/>
      <c r="N88" s="26"/>
      <c r="O88" s="252"/>
      <c r="P88" s="264"/>
      <c r="R88" s="220">
        <f t="shared" si="7"/>
        <v>32882754.958269402</v>
      </c>
      <c r="T88" s="28">
        <f>WACC!$S$16</f>
        <v>8.1600000000000006E-2</v>
      </c>
      <c r="V88" s="22">
        <f t="shared" si="5"/>
        <v>223602.73371623197</v>
      </c>
      <c r="X88" s="23">
        <f>'O&amp;M'!$H$11</f>
        <v>54166.666666666664</v>
      </c>
      <c r="Z88" s="23">
        <f>(ROUND(F88*'Depr and ADFIT'!$C$4/12,0))</f>
        <v>321104</v>
      </c>
      <c r="AB88" s="23">
        <f>F88*'Alloc. Factors and Property Tax'!$E$24*'Alloc. Factors and Property Tax'!$E$25*'Alloc. Factors and Property Tax'!$E$26/12</f>
        <v>2866.2285551405798</v>
      </c>
      <c r="AD88" s="23"/>
      <c r="AF88" s="23">
        <f t="shared" si="8"/>
        <v>601739.62893803918</v>
      </c>
      <c r="AH88" s="29">
        <f>'Alloc. Factors and Property Tax'!$C$18</f>
        <v>0.9604166666666667</v>
      </c>
      <c r="AJ88" s="33">
        <f t="shared" si="6"/>
        <v>577920.76862590853</v>
      </c>
    </row>
    <row r="89" spans="2:36" x14ac:dyDescent="0.2">
      <c r="B89" s="32" t="s">
        <v>19</v>
      </c>
      <c r="D89" s="3">
        <v>2032</v>
      </c>
      <c r="F89" s="263">
        <f>'Depr and ADFIT'!$C$1</f>
        <v>57798518.958269402</v>
      </c>
      <c r="G89" s="252"/>
      <c r="H89" s="26">
        <f>'Depr and ADFIT'!C87</f>
        <v>-26009424</v>
      </c>
      <c r="I89" s="252"/>
      <c r="J89" s="264">
        <f>'Depr and ADFIT'!J87</f>
        <v>790547</v>
      </c>
      <c r="L89" s="269"/>
      <c r="M89" s="252"/>
      <c r="N89" s="26"/>
      <c r="O89" s="252"/>
      <c r="P89" s="264"/>
      <c r="R89" s="220">
        <f t="shared" si="7"/>
        <v>32579641.958269402</v>
      </c>
      <c r="T89" s="28">
        <f>WACC!$S$16</f>
        <v>8.1600000000000006E-2</v>
      </c>
      <c r="V89" s="22">
        <f t="shared" si="5"/>
        <v>221541.56531623195</v>
      </c>
      <c r="X89" s="23">
        <f>'O&amp;M'!$H$11</f>
        <v>54166.666666666664</v>
      </c>
      <c r="Z89" s="23">
        <f>(ROUND(F89*'Depr and ADFIT'!$C$4/12,0))</f>
        <v>321104</v>
      </c>
      <c r="AB89" s="23">
        <f>F89*'Alloc. Factors and Property Tax'!$E$24*'Alloc. Factors and Property Tax'!$E$25*'Alloc. Factors and Property Tax'!$E$26/12</f>
        <v>2866.2285551405798</v>
      </c>
      <c r="AD89" s="23"/>
      <c r="AF89" s="23">
        <f t="shared" si="8"/>
        <v>599678.46053803922</v>
      </c>
      <c r="AH89" s="29">
        <f>'Alloc. Factors and Property Tax'!$C$18</f>
        <v>0.9604166666666667</v>
      </c>
      <c r="AJ89" s="33">
        <f t="shared" si="6"/>
        <v>575941.18814174191</v>
      </c>
    </row>
    <row r="90" spans="2:36" x14ac:dyDescent="0.2">
      <c r="B90" s="32" t="s">
        <v>8</v>
      </c>
      <c r="D90" s="3">
        <v>2032</v>
      </c>
      <c r="F90" s="263">
        <f>'Depr and ADFIT'!$C$1</f>
        <v>57798518.958269402</v>
      </c>
      <c r="G90" s="252"/>
      <c r="H90" s="26">
        <f>'Depr and ADFIT'!C88</f>
        <v>-26330528</v>
      </c>
      <c r="I90" s="252"/>
      <c r="J90" s="264">
        <f>'Depr and ADFIT'!J88</f>
        <v>808538</v>
      </c>
      <c r="L90" s="269"/>
      <c r="M90" s="252"/>
      <c r="N90" s="26"/>
      <c r="O90" s="252"/>
      <c r="P90" s="264"/>
      <c r="R90" s="220">
        <f t="shared" si="7"/>
        <v>32276528.958269402</v>
      </c>
      <c r="T90" s="28">
        <f>WACC!$S$16</f>
        <v>8.1600000000000006E-2</v>
      </c>
      <c r="V90" s="22">
        <f t="shared" si="5"/>
        <v>219480.39691623196</v>
      </c>
      <c r="X90" s="23">
        <f>'O&amp;M'!$H$11</f>
        <v>54166.666666666664</v>
      </c>
      <c r="Z90" s="23">
        <f>(ROUND(F90*'Depr and ADFIT'!$C$4/12,0))</f>
        <v>321104</v>
      </c>
      <c r="AB90" s="23">
        <f>F90*'Alloc. Factors and Property Tax'!$E$24*'Alloc. Factors and Property Tax'!$E$25*'Alloc. Factors and Property Tax'!$E$26/12</f>
        <v>2866.2285551405798</v>
      </c>
      <c r="AD90" s="23"/>
      <c r="AF90" s="23">
        <f t="shared" si="8"/>
        <v>597617.29213803913</v>
      </c>
      <c r="AH90" s="29">
        <f>'Alloc. Factors and Property Tax'!$C$18</f>
        <v>0.9604166666666667</v>
      </c>
      <c r="AJ90" s="33">
        <f t="shared" si="6"/>
        <v>573961.60765757505</v>
      </c>
    </row>
    <row r="91" spans="2:36" x14ac:dyDescent="0.2">
      <c r="B91" s="32" t="s">
        <v>9</v>
      </c>
      <c r="D91" s="3">
        <v>2032</v>
      </c>
      <c r="F91" s="263">
        <f>'Depr and ADFIT'!$C$1</f>
        <v>57798518.958269402</v>
      </c>
      <c r="G91" s="252"/>
      <c r="H91" s="26">
        <f>'Depr and ADFIT'!C89</f>
        <v>-26651632</v>
      </c>
      <c r="I91" s="252"/>
      <c r="J91" s="264">
        <f>'Depr and ADFIT'!J89</f>
        <v>826529</v>
      </c>
      <c r="L91" s="269"/>
      <c r="M91" s="252"/>
      <c r="N91" s="26"/>
      <c r="O91" s="252"/>
      <c r="P91" s="264"/>
      <c r="R91" s="220">
        <f t="shared" si="7"/>
        <v>31973415.958269402</v>
      </c>
      <c r="T91" s="28">
        <f>WACC!$S$16</f>
        <v>8.1600000000000006E-2</v>
      </c>
      <c r="V91" s="22">
        <f t="shared" si="5"/>
        <v>217419.22851623196</v>
      </c>
      <c r="X91" s="23">
        <f>'O&amp;M'!$H$11</f>
        <v>54166.666666666664</v>
      </c>
      <c r="Z91" s="23">
        <f>(ROUND(F91*'Depr and ADFIT'!$C$4/12,0))</f>
        <v>321104</v>
      </c>
      <c r="AB91" s="23">
        <f>F91*'Alloc. Factors and Property Tax'!$E$24*'Alloc. Factors and Property Tax'!$E$25*'Alloc. Factors and Property Tax'!$E$26/12</f>
        <v>2866.2285551405798</v>
      </c>
      <c r="AD91" s="23"/>
      <c r="AF91" s="23">
        <f t="shared" si="8"/>
        <v>595556.12373803917</v>
      </c>
      <c r="AH91" s="29">
        <f>'Alloc. Factors and Property Tax'!$C$18</f>
        <v>0.9604166666666667</v>
      </c>
      <c r="AJ91" s="33">
        <f t="shared" si="6"/>
        <v>571982.02717340842</v>
      </c>
    </row>
    <row r="92" spans="2:36" x14ac:dyDescent="0.2">
      <c r="B92" s="32" t="s">
        <v>10</v>
      </c>
      <c r="D92" s="3">
        <v>2032</v>
      </c>
      <c r="F92" s="263">
        <f>'Depr and ADFIT'!$C$1</f>
        <v>57798518.958269402</v>
      </c>
      <c r="G92" s="252"/>
      <c r="H92" s="26">
        <f>'Depr and ADFIT'!C90</f>
        <v>-26972736</v>
      </c>
      <c r="I92" s="252"/>
      <c r="J92" s="264">
        <f>'Depr and ADFIT'!J90</f>
        <v>844520</v>
      </c>
      <c r="L92" s="269"/>
      <c r="M92" s="252"/>
      <c r="N92" s="26"/>
      <c r="O92" s="252"/>
      <c r="P92" s="264"/>
      <c r="R92" s="220">
        <f t="shared" si="7"/>
        <v>31670302.958269402</v>
      </c>
      <c r="T92" s="28">
        <f>WACC!$S$16</f>
        <v>8.1600000000000006E-2</v>
      </c>
      <c r="V92" s="22">
        <f t="shared" si="5"/>
        <v>215358.06011623194</v>
      </c>
      <c r="X92" s="23">
        <f>'O&amp;M'!$H$11</f>
        <v>54166.666666666664</v>
      </c>
      <c r="Z92" s="23">
        <f>(ROUND(F92*'Depr and ADFIT'!$C$4/12,0))</f>
        <v>321104</v>
      </c>
      <c r="AB92" s="23">
        <f>F92*'Alloc. Factors and Property Tax'!$E$24*'Alloc. Factors and Property Tax'!$E$25*'Alloc. Factors and Property Tax'!$E$26/12</f>
        <v>2866.2285551405798</v>
      </c>
      <c r="AD92" s="23"/>
      <c r="AF92" s="23">
        <f t="shared" si="8"/>
        <v>593494.9553380392</v>
      </c>
      <c r="AH92" s="29">
        <f>'Alloc. Factors and Property Tax'!$C$18</f>
        <v>0.9604166666666667</v>
      </c>
      <c r="AJ92" s="33">
        <f t="shared" si="6"/>
        <v>570002.4466892418</v>
      </c>
    </row>
    <row r="93" spans="2:36" x14ac:dyDescent="0.2">
      <c r="B93" s="32" t="s">
        <v>11</v>
      </c>
      <c r="D93" s="3">
        <v>2033</v>
      </c>
      <c r="F93" s="263">
        <f>'Depr and ADFIT'!$C$1</f>
        <v>57798518.958269402</v>
      </c>
      <c r="G93" s="252"/>
      <c r="H93" s="26">
        <f>'Depr and ADFIT'!C91</f>
        <v>-27293840</v>
      </c>
      <c r="I93" s="252"/>
      <c r="J93" s="264">
        <f>'Depr and ADFIT'!J91</f>
        <v>866213</v>
      </c>
      <c r="L93" s="269"/>
      <c r="M93" s="252"/>
      <c r="N93" s="26"/>
      <c r="O93" s="252"/>
      <c r="P93" s="264"/>
      <c r="R93" s="220">
        <f t="shared" si="7"/>
        <v>31370891.958269402</v>
      </c>
      <c r="T93" s="28">
        <f>WACC!$S$16</f>
        <v>8.1600000000000006E-2</v>
      </c>
      <c r="V93" s="22">
        <f t="shared" si="5"/>
        <v>213322.06531623195</v>
      </c>
      <c r="X93" s="23">
        <f>'O&amp;M'!$I$11</f>
        <v>54166.666666666664</v>
      </c>
      <c r="Z93" s="23">
        <f>(ROUND(F93*'Depr and ADFIT'!$C$4/12,0))</f>
        <v>321104</v>
      </c>
      <c r="AB93" s="23">
        <f>F93*'Alloc. Factors and Property Tax'!$E$24*'Alloc. Factors and Property Tax'!$E$25*'Alloc. Factors and Property Tax'!$E$26/12</f>
        <v>2866.2285551405798</v>
      </c>
      <c r="AD93" s="23"/>
      <c r="AF93" s="23">
        <f t="shared" si="8"/>
        <v>591458.96053803922</v>
      </c>
      <c r="AH93" s="29">
        <f>'Alloc. Factors and Property Tax'!$C$18</f>
        <v>0.9604166666666667</v>
      </c>
      <c r="AJ93" s="33">
        <f t="shared" si="6"/>
        <v>568047.04335007514</v>
      </c>
    </row>
    <row r="94" spans="2:36" x14ac:dyDescent="0.2">
      <c r="B94" s="32" t="s">
        <v>12</v>
      </c>
      <c r="D94" s="3">
        <v>2033</v>
      </c>
      <c r="F94" s="263">
        <f>'Depr and ADFIT'!$C$1</f>
        <v>57798518.958269402</v>
      </c>
      <c r="G94" s="252"/>
      <c r="H94" s="26">
        <f>'Depr and ADFIT'!C92</f>
        <v>-27614944</v>
      </c>
      <c r="I94" s="252"/>
      <c r="J94" s="264">
        <f>'Depr and ADFIT'!J92</f>
        <v>887906</v>
      </c>
      <c r="L94" s="269"/>
      <c r="M94" s="252"/>
      <c r="N94" s="26"/>
      <c r="O94" s="252"/>
      <c r="P94" s="264"/>
      <c r="R94" s="220">
        <f t="shared" si="7"/>
        <v>31071480.958269402</v>
      </c>
      <c r="T94" s="28">
        <f>WACC!$S$16</f>
        <v>8.1600000000000006E-2</v>
      </c>
      <c r="V94" s="22">
        <f t="shared" si="5"/>
        <v>211286.07051623194</v>
      </c>
      <c r="X94" s="23">
        <f>'O&amp;M'!$I$11</f>
        <v>54166.666666666664</v>
      </c>
      <c r="Z94" s="23">
        <f>(ROUND(F94*'Depr and ADFIT'!$C$4/12,0))</f>
        <v>321104</v>
      </c>
      <c r="AB94" s="23">
        <f>F94*'Alloc. Factors and Property Tax'!$E$24*'Alloc. Factors and Property Tax'!$E$25*'Alloc. Factors and Property Tax'!$E$26/12</f>
        <v>2866.2285551405798</v>
      </c>
      <c r="AD94" s="23"/>
      <c r="AF94" s="23">
        <f t="shared" si="8"/>
        <v>589422.96573803923</v>
      </c>
      <c r="AH94" s="29">
        <f>'Alloc. Factors and Property Tax'!$C$18</f>
        <v>0.9604166666666667</v>
      </c>
      <c r="AJ94" s="33">
        <f t="shared" si="6"/>
        <v>566091.64001090848</v>
      </c>
    </row>
    <row r="95" spans="2:36" x14ac:dyDescent="0.2">
      <c r="B95" s="32" t="s">
        <v>13</v>
      </c>
      <c r="D95" s="3">
        <v>2033</v>
      </c>
      <c r="F95" s="263">
        <f>'Depr and ADFIT'!$C$1</f>
        <v>57798518.958269402</v>
      </c>
      <c r="G95" s="252"/>
      <c r="H95" s="26">
        <f>'Depr and ADFIT'!C93</f>
        <v>-27936048</v>
      </c>
      <c r="I95" s="252"/>
      <c r="J95" s="264">
        <f>'Depr and ADFIT'!J93</f>
        <v>909599</v>
      </c>
      <c r="L95" s="269"/>
      <c r="M95" s="252"/>
      <c r="N95" s="26"/>
      <c r="O95" s="252"/>
      <c r="P95" s="264"/>
      <c r="R95" s="220">
        <f t="shared" si="7"/>
        <v>30772069.958269402</v>
      </c>
      <c r="T95" s="28">
        <f>WACC!$S$16</f>
        <v>8.1600000000000006E-2</v>
      </c>
      <c r="V95" s="22">
        <f t="shared" si="5"/>
        <v>209250.07571623195</v>
      </c>
      <c r="X95" s="23">
        <f>'O&amp;M'!$I$11</f>
        <v>54166.666666666664</v>
      </c>
      <c r="Z95" s="23">
        <f>(ROUND(F95*'Depr and ADFIT'!$C$4/12,0))</f>
        <v>321104</v>
      </c>
      <c r="AB95" s="23">
        <f>F95*'Alloc. Factors and Property Tax'!$E$24*'Alloc. Factors and Property Tax'!$E$25*'Alloc. Factors and Property Tax'!$E$26/12</f>
        <v>2866.2285551405798</v>
      </c>
      <c r="AD95" s="23"/>
      <c r="AF95" s="23">
        <f t="shared" si="8"/>
        <v>587386.97093803925</v>
      </c>
      <c r="AH95" s="29">
        <f>'Alloc. Factors and Property Tax'!$C$18</f>
        <v>0.9604166666666667</v>
      </c>
      <c r="AJ95" s="33">
        <f t="shared" si="6"/>
        <v>564136.23667174182</v>
      </c>
    </row>
    <row r="96" spans="2:36" x14ac:dyDescent="0.2">
      <c r="B96" s="32" t="s">
        <v>14</v>
      </c>
      <c r="D96" s="3">
        <v>2033</v>
      </c>
      <c r="F96" s="263">
        <f>'Depr and ADFIT'!$C$1</f>
        <v>57798518.958269402</v>
      </c>
      <c r="G96" s="252"/>
      <c r="H96" s="26">
        <f>'Depr and ADFIT'!C94</f>
        <v>-28257152</v>
      </c>
      <c r="I96" s="252"/>
      <c r="J96" s="264">
        <f>'Depr and ADFIT'!J94</f>
        <v>931292</v>
      </c>
      <c r="L96" s="269"/>
      <c r="M96" s="252"/>
      <c r="N96" s="26"/>
      <c r="O96" s="252"/>
      <c r="P96" s="264"/>
      <c r="R96" s="220">
        <f t="shared" si="7"/>
        <v>30472658.958269402</v>
      </c>
      <c r="T96" s="28">
        <f>WACC!$S$16</f>
        <v>8.1600000000000006E-2</v>
      </c>
      <c r="V96" s="22">
        <f t="shared" si="5"/>
        <v>207214.08091623196</v>
      </c>
      <c r="X96" s="23">
        <f>'O&amp;M'!$I$11</f>
        <v>54166.666666666664</v>
      </c>
      <c r="Z96" s="23">
        <f>(ROUND(F96*'Depr and ADFIT'!$C$4/12,0))</f>
        <v>321104</v>
      </c>
      <c r="AB96" s="23">
        <f>F96*'Alloc. Factors and Property Tax'!$E$24*'Alloc. Factors and Property Tax'!$E$25*'Alloc. Factors and Property Tax'!$E$26/12</f>
        <v>2866.2285551405798</v>
      </c>
      <c r="AD96" s="23"/>
      <c r="AF96" s="23">
        <f t="shared" si="8"/>
        <v>585350.97613803914</v>
      </c>
      <c r="AH96" s="29">
        <f>'Alloc. Factors and Property Tax'!$C$18</f>
        <v>0.9604166666666667</v>
      </c>
      <c r="AJ96" s="33">
        <f t="shared" si="6"/>
        <v>562180.83333257516</v>
      </c>
    </row>
    <row r="97" spans="2:36" x14ac:dyDescent="0.2">
      <c r="B97" s="32" t="s">
        <v>15</v>
      </c>
      <c r="D97" s="3">
        <v>2033</v>
      </c>
      <c r="F97" s="263">
        <f>'Depr and ADFIT'!$C$1</f>
        <v>57798518.958269402</v>
      </c>
      <c r="G97" s="252"/>
      <c r="H97" s="26">
        <f>'Depr and ADFIT'!C95</f>
        <v>-28578256</v>
      </c>
      <c r="I97" s="252"/>
      <c r="J97" s="264">
        <f>'Depr and ADFIT'!J95</f>
        <v>952985</v>
      </c>
      <c r="L97" s="269"/>
      <c r="M97" s="252"/>
      <c r="N97" s="26"/>
      <c r="O97" s="252"/>
      <c r="P97" s="264"/>
      <c r="R97" s="220">
        <f t="shared" si="7"/>
        <v>30173247.958269402</v>
      </c>
      <c r="T97" s="28">
        <f>WACC!$S$16</f>
        <v>8.1600000000000006E-2</v>
      </c>
      <c r="V97" s="22">
        <f t="shared" si="5"/>
        <v>205178.08611623195</v>
      </c>
      <c r="X97" s="23">
        <f>'O&amp;M'!$I$11</f>
        <v>54166.666666666664</v>
      </c>
      <c r="Z97" s="23">
        <f>(ROUND(F97*'Depr and ADFIT'!$C$4/12,0))</f>
        <v>321104</v>
      </c>
      <c r="AB97" s="23">
        <f>F97*'Alloc. Factors and Property Tax'!$E$24*'Alloc. Factors and Property Tax'!$E$25*'Alloc. Factors and Property Tax'!$E$26/12</f>
        <v>2866.2285551405798</v>
      </c>
      <c r="AD97" s="23"/>
      <c r="AF97" s="23">
        <f t="shared" si="8"/>
        <v>583314.98133803916</v>
      </c>
      <c r="AH97" s="29">
        <f>'Alloc. Factors and Property Tax'!$C$18</f>
        <v>0.9604166666666667</v>
      </c>
      <c r="AJ97" s="33">
        <f t="shared" si="6"/>
        <v>560225.4299934085</v>
      </c>
    </row>
    <row r="98" spans="2:36" x14ac:dyDescent="0.2">
      <c r="B98" s="32" t="s">
        <v>16</v>
      </c>
      <c r="D98" s="3">
        <v>2033</v>
      </c>
      <c r="F98" s="263">
        <f>'Depr and ADFIT'!$C$1</f>
        <v>57798518.958269402</v>
      </c>
      <c r="G98" s="252"/>
      <c r="H98" s="26">
        <f>'Depr and ADFIT'!C96</f>
        <v>-28899360</v>
      </c>
      <c r="I98" s="252"/>
      <c r="J98" s="264">
        <f>'Depr and ADFIT'!J96</f>
        <v>974678</v>
      </c>
      <c r="L98" s="269"/>
      <c r="M98" s="252"/>
      <c r="N98" s="26"/>
      <c r="O98" s="252"/>
      <c r="P98" s="264"/>
      <c r="R98" s="220">
        <f t="shared" si="7"/>
        <v>29873836.958269402</v>
      </c>
      <c r="T98" s="28">
        <f>WACC!$S$16</f>
        <v>8.1600000000000006E-2</v>
      </c>
      <c r="V98" s="22">
        <f t="shared" si="5"/>
        <v>203142.09131623196</v>
      </c>
      <c r="X98" s="23">
        <f>'O&amp;M'!$I$11</f>
        <v>54166.666666666664</v>
      </c>
      <c r="Z98" s="23">
        <f>(ROUND(F98*'Depr and ADFIT'!$C$4/12,0))</f>
        <v>321104</v>
      </c>
      <c r="AB98" s="23">
        <f>F98*'Alloc. Factors and Property Tax'!$E$24*'Alloc. Factors and Property Tax'!$E$25*'Alloc. Factors and Property Tax'!$E$26/12</f>
        <v>2866.2285551405798</v>
      </c>
      <c r="AD98" s="23"/>
      <c r="AF98" s="23">
        <f t="shared" si="8"/>
        <v>581278.98653803917</v>
      </c>
      <c r="AH98" s="29">
        <f>'Alloc. Factors and Property Tax'!$C$18</f>
        <v>0.9604166666666667</v>
      </c>
      <c r="AJ98" s="33">
        <f t="shared" si="6"/>
        <v>558270.02665424184</v>
      </c>
    </row>
    <row r="99" spans="2:36" x14ac:dyDescent="0.2">
      <c r="B99" s="32" t="s">
        <v>17</v>
      </c>
      <c r="D99" s="3">
        <v>2033</v>
      </c>
      <c r="F99" s="263">
        <f>'Depr and ADFIT'!$C$1</f>
        <v>57798518.958269402</v>
      </c>
      <c r="G99" s="252"/>
      <c r="H99" s="26">
        <f>'Depr and ADFIT'!C97</f>
        <v>-29220464</v>
      </c>
      <c r="I99" s="252"/>
      <c r="J99" s="264">
        <f>'Depr and ADFIT'!J97</f>
        <v>996371</v>
      </c>
      <c r="L99" s="269"/>
      <c r="M99" s="252"/>
      <c r="N99" s="26"/>
      <c r="O99" s="252"/>
      <c r="P99" s="264"/>
      <c r="R99" s="220">
        <f t="shared" si="7"/>
        <v>29574425.958269402</v>
      </c>
      <c r="T99" s="28">
        <f>WACC!$S$16</f>
        <v>8.1600000000000006E-2</v>
      </c>
      <c r="V99" s="22">
        <f t="shared" si="5"/>
        <v>201106.09651623198</v>
      </c>
      <c r="X99" s="23">
        <f>'O&amp;M'!$I$11</f>
        <v>54166.666666666664</v>
      </c>
      <c r="Z99" s="23">
        <f>(ROUND(F99*'Depr and ADFIT'!$C$4/12,0))</f>
        <v>321104</v>
      </c>
      <c r="AB99" s="23">
        <f>F99*'Alloc. Factors and Property Tax'!$E$24*'Alloc. Factors and Property Tax'!$E$25*'Alloc. Factors and Property Tax'!$E$26/12</f>
        <v>2866.2285551405798</v>
      </c>
      <c r="AD99" s="23"/>
      <c r="AF99" s="23">
        <f t="shared" si="8"/>
        <v>579242.99173803919</v>
      </c>
      <c r="AH99" s="29">
        <f>'Alloc. Factors and Property Tax'!$C$18</f>
        <v>0.9604166666666667</v>
      </c>
      <c r="AJ99" s="33">
        <f t="shared" si="6"/>
        <v>556314.62331507518</v>
      </c>
    </row>
    <row r="100" spans="2:36" x14ac:dyDescent="0.2">
      <c r="B100" s="32" t="s">
        <v>18</v>
      </c>
      <c r="D100" s="3">
        <v>2033</v>
      </c>
      <c r="F100" s="263">
        <f>'Depr and ADFIT'!$C$1</f>
        <v>57798518.958269402</v>
      </c>
      <c r="G100" s="252"/>
      <c r="H100" s="26">
        <f>'Depr and ADFIT'!C98</f>
        <v>-29541568</v>
      </c>
      <c r="I100" s="252"/>
      <c r="J100" s="264">
        <f>'Depr and ADFIT'!J98</f>
        <v>1018063</v>
      </c>
      <c r="L100" s="269"/>
      <c r="M100" s="252"/>
      <c r="N100" s="26"/>
      <c r="O100" s="252"/>
      <c r="P100" s="264"/>
      <c r="R100" s="220">
        <f t="shared" si="7"/>
        <v>29275013.958269402</v>
      </c>
      <c r="T100" s="28">
        <f>WACC!$S$16</f>
        <v>8.1600000000000006E-2</v>
      </c>
      <c r="V100" s="22">
        <f t="shared" si="5"/>
        <v>199070.09491623196</v>
      </c>
      <c r="X100" s="23">
        <f>'O&amp;M'!$I$11</f>
        <v>54166.666666666664</v>
      </c>
      <c r="Z100" s="23">
        <f>(ROUND(F100*'Depr and ADFIT'!$C$4/12,0))</f>
        <v>321104</v>
      </c>
      <c r="AB100" s="23">
        <f>F100*'Alloc. Factors and Property Tax'!$E$24*'Alloc. Factors and Property Tax'!$E$25*'Alloc. Factors and Property Tax'!$E$26/12</f>
        <v>2866.2285551405798</v>
      </c>
      <c r="AD100" s="23"/>
      <c r="AF100" s="23">
        <f t="shared" si="8"/>
        <v>577206.99013803923</v>
      </c>
      <c r="AH100" s="29">
        <f>'Alloc. Factors and Property Tax'!$C$18</f>
        <v>0.9604166666666667</v>
      </c>
      <c r="AJ100" s="33">
        <f t="shared" si="6"/>
        <v>554359.21344507521</v>
      </c>
    </row>
    <row r="101" spans="2:36" x14ac:dyDescent="0.2">
      <c r="B101" s="32" t="s">
        <v>19</v>
      </c>
      <c r="D101" s="3">
        <v>2033</v>
      </c>
      <c r="F101" s="263">
        <f>'Depr and ADFIT'!$C$1</f>
        <v>57798518.958269402</v>
      </c>
      <c r="G101" s="252"/>
      <c r="H101" s="26">
        <f>'Depr and ADFIT'!C99</f>
        <v>-29862672</v>
      </c>
      <c r="I101" s="252"/>
      <c r="J101" s="264">
        <f>'Depr and ADFIT'!J99</f>
        <v>1039756</v>
      </c>
      <c r="L101" s="269"/>
      <c r="M101" s="252"/>
      <c r="N101" s="26"/>
      <c r="O101" s="252"/>
      <c r="P101" s="264"/>
      <c r="R101" s="220">
        <f t="shared" si="7"/>
        <v>28975602.958269402</v>
      </c>
      <c r="T101" s="28">
        <f>WACC!$S$16</f>
        <v>8.1600000000000006E-2</v>
      </c>
      <c r="V101" s="22">
        <f t="shared" si="5"/>
        <v>197034.10011623194</v>
      </c>
      <c r="X101" s="23">
        <f>'O&amp;M'!$I$11</f>
        <v>54166.666666666664</v>
      </c>
      <c r="Z101" s="23">
        <f>(ROUND(F101*'Depr and ADFIT'!$C$4/12,0))</f>
        <v>321104</v>
      </c>
      <c r="AB101" s="23">
        <f>F101*'Alloc. Factors and Property Tax'!$E$24*'Alloc. Factors and Property Tax'!$E$25*'Alloc. Factors and Property Tax'!$E$26/12</f>
        <v>2866.2285551405798</v>
      </c>
      <c r="AD101" s="23"/>
      <c r="AF101" s="23">
        <f t="shared" si="8"/>
        <v>575170.99533803912</v>
      </c>
      <c r="AH101" s="29">
        <f>'Alloc. Factors and Property Tax'!$C$18</f>
        <v>0.9604166666666667</v>
      </c>
      <c r="AJ101" s="33">
        <f t="shared" si="6"/>
        <v>552403.81010590843</v>
      </c>
    </row>
    <row r="102" spans="2:36" x14ac:dyDescent="0.2">
      <c r="B102" s="32" t="s">
        <v>8</v>
      </c>
      <c r="D102" s="3">
        <v>2033</v>
      </c>
      <c r="F102" s="263">
        <f>'Depr and ADFIT'!$C$1</f>
        <v>57798518.958269402</v>
      </c>
      <c r="G102" s="252"/>
      <c r="H102" s="26">
        <f>'Depr and ADFIT'!C100</f>
        <v>-30183776</v>
      </c>
      <c r="I102" s="252"/>
      <c r="J102" s="264">
        <f>'Depr and ADFIT'!J100</f>
        <v>1061449</v>
      </c>
      <c r="L102" s="269"/>
      <c r="M102" s="252"/>
      <c r="N102" s="26"/>
      <c r="O102" s="252"/>
      <c r="P102" s="264"/>
      <c r="R102" s="220">
        <f t="shared" si="7"/>
        <v>28676191.958269402</v>
      </c>
      <c r="T102" s="28">
        <f>WACC!$S$16</f>
        <v>8.1600000000000006E-2</v>
      </c>
      <c r="V102" s="22">
        <f t="shared" si="5"/>
        <v>194998.10531623196</v>
      </c>
      <c r="X102" s="23">
        <f>'O&amp;M'!$I$11</f>
        <v>54166.666666666664</v>
      </c>
      <c r="Z102" s="23">
        <f>(ROUND(F102*'Depr and ADFIT'!$C$4/12,0))</f>
        <v>321104</v>
      </c>
      <c r="AB102" s="23">
        <f>F102*'Alloc. Factors and Property Tax'!$E$24*'Alloc. Factors and Property Tax'!$E$25*'Alloc. Factors and Property Tax'!$E$26/12</f>
        <v>2866.2285551405798</v>
      </c>
      <c r="AD102" s="23"/>
      <c r="AF102" s="23">
        <f t="shared" si="8"/>
        <v>573135.00053803914</v>
      </c>
      <c r="AH102" s="29">
        <f>'Alloc. Factors and Property Tax'!$C$18</f>
        <v>0.9604166666666667</v>
      </c>
      <c r="AJ102" s="33">
        <f t="shared" si="6"/>
        <v>550448.40676674177</v>
      </c>
    </row>
    <row r="103" spans="2:36" x14ac:dyDescent="0.2">
      <c r="B103" s="32" t="s">
        <v>9</v>
      </c>
      <c r="D103" s="3">
        <v>2033</v>
      </c>
      <c r="F103" s="263">
        <f>'Depr and ADFIT'!$C$1</f>
        <v>57798518.958269402</v>
      </c>
      <c r="G103" s="252"/>
      <c r="H103" s="26">
        <f>'Depr and ADFIT'!C101</f>
        <v>-30504880</v>
      </c>
      <c r="I103" s="252"/>
      <c r="J103" s="264">
        <f>'Depr and ADFIT'!J101</f>
        <v>1083142</v>
      </c>
      <c r="L103" s="269"/>
      <c r="M103" s="252"/>
      <c r="N103" s="26"/>
      <c r="O103" s="252"/>
      <c r="P103" s="264"/>
      <c r="R103" s="220">
        <f t="shared" si="7"/>
        <v>28376780.958269402</v>
      </c>
      <c r="T103" s="28">
        <f>WACC!$S$16</f>
        <v>8.1600000000000006E-2</v>
      </c>
      <c r="V103" s="22">
        <f t="shared" si="5"/>
        <v>192962.11051623194</v>
      </c>
      <c r="X103" s="23">
        <f>'O&amp;M'!$I$11</f>
        <v>54166.666666666664</v>
      </c>
      <c r="Z103" s="23">
        <f>(ROUND(F103*'Depr and ADFIT'!$C$4/12,0))</f>
        <v>321104</v>
      </c>
      <c r="AB103" s="23">
        <f>F103*'Alloc. Factors and Property Tax'!$E$24*'Alloc. Factors and Property Tax'!$E$25*'Alloc. Factors and Property Tax'!$E$26/12</f>
        <v>2866.2285551405798</v>
      </c>
      <c r="AD103" s="23"/>
      <c r="AF103" s="23">
        <f t="shared" si="8"/>
        <v>571099.00573803915</v>
      </c>
      <c r="AH103" s="29">
        <f>'Alloc. Factors and Property Tax'!$C$18</f>
        <v>0.9604166666666667</v>
      </c>
      <c r="AJ103" s="33">
        <f t="shared" si="6"/>
        <v>548493.00342757511</v>
      </c>
    </row>
    <row r="104" spans="2:36" x14ac:dyDescent="0.2">
      <c r="B104" s="32" t="s">
        <v>10</v>
      </c>
      <c r="D104" s="3">
        <v>2033</v>
      </c>
      <c r="F104" s="263">
        <f>'Depr and ADFIT'!$C$1</f>
        <v>57798518.958269402</v>
      </c>
      <c r="G104" s="252"/>
      <c r="H104" s="26">
        <f>'Depr and ADFIT'!C102</f>
        <v>-30825984</v>
      </c>
      <c r="I104" s="252"/>
      <c r="J104" s="264">
        <f>'Depr and ADFIT'!J102</f>
        <v>1104835</v>
      </c>
      <c r="L104" s="269"/>
      <c r="M104" s="252"/>
      <c r="N104" s="26"/>
      <c r="O104" s="252"/>
      <c r="P104" s="264"/>
      <c r="R104" s="220">
        <f t="shared" si="7"/>
        <v>28077369.958269402</v>
      </c>
      <c r="T104" s="28">
        <f>WACC!$S$16</f>
        <v>8.1600000000000006E-2</v>
      </c>
      <c r="V104" s="22">
        <f t="shared" si="5"/>
        <v>190926.11571623196</v>
      </c>
      <c r="X104" s="23">
        <f>'O&amp;M'!$I$11</f>
        <v>54166.666666666664</v>
      </c>
      <c r="Z104" s="23">
        <f>(ROUND(F104*'Depr and ADFIT'!$C$4/12,0))</f>
        <v>321104</v>
      </c>
      <c r="AB104" s="23">
        <f>F104*'Alloc. Factors and Property Tax'!$E$24*'Alloc. Factors and Property Tax'!$E$25*'Alloc. Factors and Property Tax'!$E$26/12</f>
        <v>2866.2285551405798</v>
      </c>
      <c r="AD104" s="23"/>
      <c r="AF104" s="23">
        <f t="shared" si="8"/>
        <v>569063.01093803917</v>
      </c>
      <c r="AH104" s="29">
        <f>'Alloc. Factors and Property Tax'!$C$18</f>
        <v>0.9604166666666667</v>
      </c>
      <c r="AJ104" s="33">
        <f t="shared" si="6"/>
        <v>546537.60008840845</v>
      </c>
    </row>
    <row r="105" spans="2:36" x14ac:dyDescent="0.2">
      <c r="B105" s="32" t="s">
        <v>11</v>
      </c>
      <c r="D105" s="3">
        <v>2034</v>
      </c>
      <c r="F105" s="263">
        <f>'Depr and ADFIT'!$C$1</f>
        <v>57798518.958269402</v>
      </c>
      <c r="G105" s="252"/>
      <c r="H105" s="26">
        <f>'Depr and ADFIT'!C103</f>
        <v>-31147088</v>
      </c>
      <c r="I105" s="252"/>
      <c r="J105" s="264">
        <f>'Depr and ADFIT'!J103</f>
        <v>1127135</v>
      </c>
      <c r="L105" s="269"/>
      <c r="M105" s="252"/>
      <c r="N105" s="26"/>
      <c r="O105" s="252"/>
      <c r="P105" s="264"/>
      <c r="R105" s="220">
        <f t="shared" ref="R105:R136" si="9">SUM(F105:Q105)</f>
        <v>27778565.958269402</v>
      </c>
      <c r="T105" s="28">
        <f>WACC!$S$16</f>
        <v>8.1600000000000006E-2</v>
      </c>
      <c r="V105" s="22">
        <f t="shared" si="5"/>
        <v>188894.24851623192</v>
      </c>
      <c r="X105" s="23">
        <f>'O&amp;M'!$J$11</f>
        <v>54166.666666666664</v>
      </c>
      <c r="Z105" s="23">
        <f>(ROUND(F105*'Depr and ADFIT'!$C$4/12,0))</f>
        <v>321104</v>
      </c>
      <c r="AB105" s="23">
        <f>F105*'Alloc. Factors and Property Tax'!$E$24*'Alloc. Factors and Property Tax'!$E$25*'Alloc. Factors and Property Tax'!$E$26/12</f>
        <v>2866.2285551405798</v>
      </c>
      <c r="AD105" s="23"/>
      <c r="AF105" s="23">
        <f t="shared" si="8"/>
        <v>567031.14373803907</v>
      </c>
      <c r="AH105" s="29">
        <f>'Alloc. Factors and Property Tax'!$C$18</f>
        <v>0.9604166666666667</v>
      </c>
      <c r="AJ105" s="33">
        <f t="shared" si="6"/>
        <v>544586.16096507502</v>
      </c>
    </row>
    <row r="106" spans="2:36" x14ac:dyDescent="0.2">
      <c r="B106" s="32" t="s">
        <v>12</v>
      </c>
      <c r="D106" s="3">
        <v>2034</v>
      </c>
      <c r="F106" s="263">
        <f>'Depr and ADFIT'!$C$1</f>
        <v>57798518.958269402</v>
      </c>
      <c r="G106" s="252"/>
      <c r="H106" s="26">
        <f>'Depr and ADFIT'!C104</f>
        <v>-31468192</v>
      </c>
      <c r="I106" s="252"/>
      <c r="J106" s="264">
        <f>'Depr and ADFIT'!J104</f>
        <v>1149435</v>
      </c>
      <c r="L106" s="269"/>
      <c r="M106" s="252"/>
      <c r="N106" s="26"/>
      <c r="O106" s="252"/>
      <c r="P106" s="264"/>
      <c r="R106" s="220">
        <f t="shared" si="9"/>
        <v>27479761.958269402</v>
      </c>
      <c r="T106" s="28">
        <f>WACC!$S$16</f>
        <v>8.1600000000000006E-2</v>
      </c>
      <c r="V106" s="22">
        <f t="shared" si="5"/>
        <v>186862.38131623194</v>
      </c>
      <c r="X106" s="23">
        <f>'O&amp;M'!$J$11</f>
        <v>54166.666666666664</v>
      </c>
      <c r="Z106" s="23">
        <f>(ROUND(F106*'Depr and ADFIT'!$C$4/12,0))</f>
        <v>321104</v>
      </c>
      <c r="AB106" s="23">
        <f>F106*'Alloc. Factors and Property Tax'!$E$24*'Alloc. Factors and Property Tax'!$E$25*'Alloc. Factors and Property Tax'!$E$26/12</f>
        <v>2866.2285551405798</v>
      </c>
      <c r="AD106" s="23"/>
      <c r="AF106" s="23">
        <f t="shared" si="8"/>
        <v>564999.27653803909</v>
      </c>
      <c r="AH106" s="29">
        <f>'Alloc. Factors and Property Tax'!$C$18</f>
        <v>0.9604166666666667</v>
      </c>
      <c r="AJ106" s="33">
        <f t="shared" si="6"/>
        <v>542634.7218417417</v>
      </c>
    </row>
    <row r="107" spans="2:36" x14ac:dyDescent="0.2">
      <c r="B107" s="32" t="s">
        <v>13</v>
      </c>
      <c r="D107" s="3">
        <v>2034</v>
      </c>
      <c r="F107" s="263">
        <f>'Depr and ADFIT'!$C$1</f>
        <v>57798518.958269402</v>
      </c>
      <c r="G107" s="252"/>
      <c r="H107" s="26">
        <f>'Depr and ADFIT'!C105</f>
        <v>-31789296</v>
      </c>
      <c r="I107" s="252"/>
      <c r="J107" s="264">
        <f>'Depr and ADFIT'!J105</f>
        <v>1171735</v>
      </c>
      <c r="L107" s="269"/>
      <c r="M107" s="252"/>
      <c r="N107" s="26"/>
      <c r="O107" s="252"/>
      <c r="P107" s="264"/>
      <c r="R107" s="220">
        <f t="shared" si="9"/>
        <v>27180957.958269402</v>
      </c>
      <c r="T107" s="28">
        <f>WACC!$S$16</f>
        <v>8.1600000000000006E-2</v>
      </c>
      <c r="V107" s="22">
        <f t="shared" si="5"/>
        <v>184830.51411623193</v>
      </c>
      <c r="X107" s="23">
        <f>'O&amp;M'!$J$11</f>
        <v>54166.666666666664</v>
      </c>
      <c r="Z107" s="23">
        <f>(ROUND(F107*'Depr and ADFIT'!$C$4/12,0))</f>
        <v>321104</v>
      </c>
      <c r="AB107" s="23">
        <f>F107*'Alloc. Factors and Property Tax'!$E$24*'Alloc. Factors and Property Tax'!$E$25*'Alloc. Factors and Property Tax'!$E$26/12</f>
        <v>2866.2285551405798</v>
      </c>
      <c r="AD107" s="23"/>
      <c r="AF107" s="23">
        <f t="shared" si="8"/>
        <v>562967.40933803911</v>
      </c>
      <c r="AH107" s="29">
        <f>'Alloc. Factors and Property Tax'!$C$18</f>
        <v>0.9604166666666667</v>
      </c>
      <c r="AJ107" s="33">
        <f t="shared" si="6"/>
        <v>540683.28271840839</v>
      </c>
    </row>
    <row r="108" spans="2:36" x14ac:dyDescent="0.2">
      <c r="B108" s="32" t="s">
        <v>14</v>
      </c>
      <c r="D108" s="3">
        <v>2034</v>
      </c>
      <c r="F108" s="263">
        <f>'Depr and ADFIT'!$C$1</f>
        <v>57798518.958269402</v>
      </c>
      <c r="G108" s="252"/>
      <c r="H108" s="26">
        <f>'Depr and ADFIT'!C106</f>
        <v>-32110400</v>
      </c>
      <c r="I108" s="252"/>
      <c r="J108" s="264">
        <f>'Depr and ADFIT'!J106</f>
        <v>1194035</v>
      </c>
      <c r="L108" s="269"/>
      <c r="M108" s="252"/>
      <c r="N108" s="26"/>
      <c r="O108" s="252"/>
      <c r="P108" s="264"/>
      <c r="R108" s="220">
        <f t="shared" si="9"/>
        <v>26882153.958269402</v>
      </c>
      <c r="T108" s="28">
        <f>WACC!$S$16</f>
        <v>8.1600000000000006E-2</v>
      </c>
      <c r="V108" s="22">
        <f t="shared" si="5"/>
        <v>182798.64691623196</v>
      </c>
      <c r="X108" s="23">
        <f>'O&amp;M'!$J$11</f>
        <v>54166.666666666664</v>
      </c>
      <c r="Z108" s="23">
        <f>(ROUND(F108*'Depr and ADFIT'!$C$4/12,0))</f>
        <v>321104</v>
      </c>
      <c r="AB108" s="23">
        <f>F108*'Alloc. Factors and Property Tax'!$E$24*'Alloc. Factors and Property Tax'!$E$25*'Alloc. Factors and Property Tax'!$E$26/12</f>
        <v>2866.2285551405798</v>
      </c>
      <c r="AD108" s="23"/>
      <c r="AF108" s="23">
        <f t="shared" si="8"/>
        <v>560935.54213803913</v>
      </c>
      <c r="AH108" s="29">
        <f>'Alloc. Factors and Property Tax'!$C$18</f>
        <v>0.9604166666666667</v>
      </c>
      <c r="AJ108" s="33">
        <f t="shared" si="6"/>
        <v>538731.84359507507</v>
      </c>
    </row>
    <row r="109" spans="2:36" x14ac:dyDescent="0.2">
      <c r="B109" s="32" t="s">
        <v>15</v>
      </c>
      <c r="D109" s="3">
        <v>2034</v>
      </c>
      <c r="F109" s="263">
        <f>'Depr and ADFIT'!$C$1</f>
        <v>57798518.958269402</v>
      </c>
      <c r="G109" s="252"/>
      <c r="H109" s="26">
        <f>'Depr and ADFIT'!C107</f>
        <v>-32431504</v>
      </c>
      <c r="I109" s="252"/>
      <c r="J109" s="264">
        <f>'Depr and ADFIT'!J107</f>
        <v>1216335</v>
      </c>
      <c r="L109" s="269"/>
      <c r="M109" s="252"/>
      <c r="N109" s="26"/>
      <c r="O109" s="252"/>
      <c r="P109" s="264"/>
      <c r="R109" s="220">
        <f t="shared" si="9"/>
        <v>26583349.958269402</v>
      </c>
      <c r="T109" s="28">
        <f>WACC!$S$16</f>
        <v>8.1600000000000006E-2</v>
      </c>
      <c r="V109" s="22">
        <f t="shared" si="5"/>
        <v>180766.77971623195</v>
      </c>
      <c r="X109" s="23">
        <f>'O&amp;M'!$J$11</f>
        <v>54166.666666666664</v>
      </c>
      <c r="Z109" s="23">
        <f>(ROUND(F109*'Depr and ADFIT'!$C$4/12,0))</f>
        <v>321104</v>
      </c>
      <c r="AB109" s="23">
        <f>F109*'Alloc. Factors and Property Tax'!$E$24*'Alloc. Factors and Property Tax'!$E$25*'Alloc. Factors and Property Tax'!$E$26/12</f>
        <v>2866.2285551405798</v>
      </c>
      <c r="AD109" s="23"/>
      <c r="AF109" s="23">
        <f t="shared" si="8"/>
        <v>558903.67493803916</v>
      </c>
      <c r="AH109" s="29">
        <f>'Alloc. Factors and Property Tax'!$C$18</f>
        <v>0.9604166666666667</v>
      </c>
      <c r="AJ109" s="33">
        <f t="shared" si="6"/>
        <v>536780.40447174176</v>
      </c>
    </row>
    <row r="110" spans="2:36" x14ac:dyDescent="0.2">
      <c r="B110" s="32" t="s">
        <v>16</v>
      </c>
      <c r="D110" s="3">
        <v>2034</v>
      </c>
      <c r="F110" s="263">
        <f>'Depr and ADFIT'!$C$1</f>
        <v>57798518.958269402</v>
      </c>
      <c r="G110" s="252"/>
      <c r="H110" s="26">
        <f>'Depr and ADFIT'!C108</f>
        <v>-32752608</v>
      </c>
      <c r="I110" s="252"/>
      <c r="J110" s="264">
        <f>'Depr and ADFIT'!J108</f>
        <v>1238635</v>
      </c>
      <c r="L110" s="269"/>
      <c r="M110" s="252"/>
      <c r="N110" s="26"/>
      <c r="O110" s="252"/>
      <c r="P110" s="264"/>
      <c r="R110" s="220">
        <f t="shared" si="9"/>
        <v>26284545.958269402</v>
      </c>
      <c r="T110" s="28">
        <f>WACC!$S$16</f>
        <v>8.1600000000000006E-2</v>
      </c>
      <c r="V110" s="22">
        <f t="shared" si="5"/>
        <v>178734.91251623197</v>
      </c>
      <c r="X110" s="23">
        <f>'O&amp;M'!$J$11</f>
        <v>54166.666666666664</v>
      </c>
      <c r="Z110" s="23">
        <f>(ROUND(F110*'Depr and ADFIT'!$C$4/12,0))</f>
        <v>321104</v>
      </c>
      <c r="AB110" s="23">
        <f>F110*'Alloc. Factors and Property Tax'!$E$24*'Alloc. Factors and Property Tax'!$E$25*'Alloc. Factors and Property Tax'!$E$26/12</f>
        <v>2866.2285551405798</v>
      </c>
      <c r="AD110" s="23"/>
      <c r="AF110" s="23">
        <f t="shared" si="8"/>
        <v>556871.80773803918</v>
      </c>
      <c r="AH110" s="29">
        <f>'Alloc. Factors and Property Tax'!$C$18</f>
        <v>0.9604166666666667</v>
      </c>
      <c r="AJ110" s="33">
        <f t="shared" si="6"/>
        <v>534828.96534840844</v>
      </c>
    </row>
    <row r="111" spans="2:36" x14ac:dyDescent="0.2">
      <c r="B111" s="32" t="s">
        <v>17</v>
      </c>
      <c r="D111" s="3">
        <v>2034</v>
      </c>
      <c r="F111" s="263">
        <f>'Depr and ADFIT'!$C$1</f>
        <v>57798518.958269402</v>
      </c>
      <c r="G111" s="252"/>
      <c r="H111" s="26">
        <f>'Depr and ADFIT'!C109</f>
        <v>-33073712</v>
      </c>
      <c r="I111" s="252"/>
      <c r="J111" s="264">
        <f>'Depr and ADFIT'!J109</f>
        <v>1260934</v>
      </c>
      <c r="L111" s="269"/>
      <c r="M111" s="252"/>
      <c r="N111" s="26"/>
      <c r="O111" s="252"/>
      <c r="P111" s="264"/>
      <c r="R111" s="220">
        <f t="shared" si="9"/>
        <v>25985740.958269402</v>
      </c>
      <c r="T111" s="28">
        <f>WACC!$S$16</f>
        <v>8.1600000000000006E-2</v>
      </c>
      <c r="V111" s="22">
        <f t="shared" si="5"/>
        <v>176703.03851623196</v>
      </c>
      <c r="X111" s="23">
        <f>'O&amp;M'!$J$11</f>
        <v>54166.666666666664</v>
      </c>
      <c r="Z111" s="23">
        <f>(ROUND(F111*'Depr and ADFIT'!$C$4/12,0))</f>
        <v>321104</v>
      </c>
      <c r="AB111" s="23">
        <f>F111*'Alloc. Factors and Property Tax'!$E$24*'Alloc. Factors and Property Tax'!$E$25*'Alloc. Factors and Property Tax'!$E$26/12</f>
        <v>2866.2285551405798</v>
      </c>
      <c r="AD111" s="23"/>
      <c r="AF111" s="23">
        <f t="shared" si="8"/>
        <v>554839.93373803911</v>
      </c>
      <c r="AH111" s="29">
        <f>'Alloc. Factors and Property Tax'!$C$18</f>
        <v>0.9604166666666667</v>
      </c>
      <c r="AJ111" s="33">
        <f t="shared" si="6"/>
        <v>532877.5196942417</v>
      </c>
    </row>
    <row r="112" spans="2:36" x14ac:dyDescent="0.2">
      <c r="B112" s="32" t="s">
        <v>18</v>
      </c>
      <c r="D112" s="3">
        <v>2034</v>
      </c>
      <c r="F112" s="263">
        <f>'Depr and ADFIT'!$C$1</f>
        <v>57798518.958269402</v>
      </c>
      <c r="G112" s="252"/>
      <c r="H112" s="26">
        <f>'Depr and ADFIT'!C110</f>
        <v>-33394816</v>
      </c>
      <c r="I112" s="252"/>
      <c r="J112" s="264">
        <f>'Depr and ADFIT'!J110</f>
        <v>1283234</v>
      </c>
      <c r="L112" s="269"/>
      <c r="M112" s="252"/>
      <c r="N112" s="26"/>
      <c r="O112" s="252"/>
      <c r="P112" s="264"/>
      <c r="R112" s="220">
        <f t="shared" si="9"/>
        <v>25686936.958269402</v>
      </c>
      <c r="T112" s="28">
        <f>WACC!$S$16</f>
        <v>8.1600000000000006E-2</v>
      </c>
      <c r="V112" s="22">
        <f t="shared" si="5"/>
        <v>174671.17131623195</v>
      </c>
      <c r="X112" s="23">
        <f>'O&amp;M'!$J$11</f>
        <v>54166.666666666664</v>
      </c>
      <c r="Z112" s="23">
        <f>(ROUND(F112*'Depr and ADFIT'!$C$4/12,0))</f>
        <v>321104</v>
      </c>
      <c r="AB112" s="23">
        <f>F112*'Alloc. Factors and Property Tax'!$E$24*'Alloc. Factors and Property Tax'!$E$25*'Alloc. Factors and Property Tax'!$E$26/12</f>
        <v>2866.2285551405798</v>
      </c>
      <c r="AD112" s="23"/>
      <c r="AF112" s="23">
        <f t="shared" si="8"/>
        <v>552808.06653803913</v>
      </c>
      <c r="AH112" s="29">
        <f>'Alloc. Factors and Property Tax'!$C$18</f>
        <v>0.9604166666666667</v>
      </c>
      <c r="AJ112" s="33">
        <f t="shared" si="6"/>
        <v>530926.08057090838</v>
      </c>
    </row>
    <row r="113" spans="2:38" x14ac:dyDescent="0.2">
      <c r="B113" s="32" t="s">
        <v>19</v>
      </c>
      <c r="D113" s="3">
        <v>2034</v>
      </c>
      <c r="F113" s="263">
        <f>'Depr and ADFIT'!$C$1</f>
        <v>57798518.958269402</v>
      </c>
      <c r="G113" s="252"/>
      <c r="H113" s="26">
        <f>'Depr and ADFIT'!C111</f>
        <v>-33715920</v>
      </c>
      <c r="I113" s="252"/>
      <c r="J113" s="264">
        <f>'Depr and ADFIT'!J111</f>
        <v>1305534</v>
      </c>
      <c r="L113" s="269"/>
      <c r="M113" s="252"/>
      <c r="N113" s="26"/>
      <c r="O113" s="252"/>
      <c r="P113" s="264"/>
      <c r="R113" s="220">
        <f t="shared" si="9"/>
        <v>25388132.958269402</v>
      </c>
      <c r="T113" s="28">
        <f>WACC!$S$16</f>
        <v>8.1600000000000006E-2</v>
      </c>
      <c r="V113" s="22">
        <f t="shared" si="5"/>
        <v>172639.30411623194</v>
      </c>
      <c r="X113" s="23">
        <f>'O&amp;M'!$J$11</f>
        <v>54166.666666666664</v>
      </c>
      <c r="Z113" s="23">
        <f>(ROUND(F113*'Depr and ADFIT'!$C$4/12,0))</f>
        <v>321104</v>
      </c>
      <c r="AB113" s="23">
        <f>F113*'Alloc. Factors and Property Tax'!$E$24*'Alloc. Factors and Property Tax'!$E$25*'Alloc. Factors and Property Tax'!$E$26/12</f>
        <v>2866.2285551405798</v>
      </c>
      <c r="AD113" s="23"/>
      <c r="AF113" s="23">
        <f t="shared" si="8"/>
        <v>550776.19933803915</v>
      </c>
      <c r="AH113" s="29">
        <f>'Alloc. Factors and Property Tax'!$C$18</f>
        <v>0.9604166666666667</v>
      </c>
      <c r="AJ113" s="33">
        <f t="shared" si="6"/>
        <v>528974.64144757506</v>
      </c>
    </row>
    <row r="114" spans="2:38" x14ac:dyDescent="0.2">
      <c r="B114" s="32" t="s">
        <v>8</v>
      </c>
      <c r="D114" s="3">
        <v>2034</v>
      </c>
      <c r="F114" s="263">
        <f>'Depr and ADFIT'!$C$1</f>
        <v>57798518.958269402</v>
      </c>
      <c r="G114" s="252"/>
      <c r="H114" s="26">
        <f>'Depr and ADFIT'!C112</f>
        <v>-34037024</v>
      </c>
      <c r="I114" s="252"/>
      <c r="J114" s="264">
        <f>'Depr and ADFIT'!J112</f>
        <v>1327834</v>
      </c>
      <c r="L114" s="269"/>
      <c r="M114" s="252"/>
      <c r="N114" s="26"/>
      <c r="O114" s="252"/>
      <c r="P114" s="264"/>
      <c r="R114" s="220">
        <f t="shared" si="9"/>
        <v>25089328.958269402</v>
      </c>
      <c r="T114" s="28">
        <f>WACC!$S$16</f>
        <v>8.1600000000000006E-2</v>
      </c>
      <c r="V114" s="22">
        <f t="shared" si="5"/>
        <v>170607.43691623196</v>
      </c>
      <c r="X114" s="23">
        <f>'O&amp;M'!$J$11</f>
        <v>54166.666666666664</v>
      </c>
      <c r="Z114" s="23">
        <f>(ROUND(F114*'Depr and ADFIT'!$C$4/12,0))</f>
        <v>321104</v>
      </c>
      <c r="AB114" s="23">
        <f>F114*'Alloc. Factors and Property Tax'!$E$24*'Alloc. Factors and Property Tax'!$E$25*'Alloc. Factors and Property Tax'!$E$26/12</f>
        <v>2866.2285551405798</v>
      </c>
      <c r="AD114" s="23"/>
      <c r="AF114" s="23">
        <f t="shared" si="8"/>
        <v>548744.33213803917</v>
      </c>
      <c r="AH114" s="29">
        <f>'Alloc. Factors and Property Tax'!$C$18</f>
        <v>0.9604166666666667</v>
      </c>
      <c r="AJ114" s="33">
        <f t="shared" si="6"/>
        <v>527023.20232424175</v>
      </c>
    </row>
    <row r="115" spans="2:38" x14ac:dyDescent="0.2">
      <c r="B115" s="32" t="s">
        <v>9</v>
      </c>
      <c r="D115" s="3">
        <v>2034</v>
      </c>
      <c r="F115" s="263">
        <f>'Depr and ADFIT'!$C$1</f>
        <v>57798518.958269402</v>
      </c>
      <c r="G115" s="252"/>
      <c r="H115" s="26">
        <f>'Depr and ADFIT'!C113</f>
        <v>-34358128</v>
      </c>
      <c r="I115" s="252"/>
      <c r="J115" s="264">
        <f>'Depr and ADFIT'!J113</f>
        <v>1350134</v>
      </c>
      <c r="L115" s="269"/>
      <c r="M115" s="252"/>
      <c r="N115" s="26"/>
      <c r="O115" s="252"/>
      <c r="P115" s="264"/>
      <c r="R115" s="220">
        <f t="shared" si="9"/>
        <v>24790524.958269402</v>
      </c>
      <c r="T115" s="28">
        <f>WACC!$S$16</f>
        <v>8.1600000000000006E-2</v>
      </c>
      <c r="V115" s="22">
        <f t="shared" si="5"/>
        <v>168575.56971623196</v>
      </c>
      <c r="X115" s="23">
        <f>'O&amp;M'!$J$11</f>
        <v>54166.666666666664</v>
      </c>
      <c r="Z115" s="23">
        <f>(ROUND(F115*'Depr and ADFIT'!$C$4/12,0))</f>
        <v>321104</v>
      </c>
      <c r="AB115" s="23">
        <f>F115*'Alloc. Factors and Property Tax'!$E$24*'Alloc. Factors and Property Tax'!$E$25*'Alloc. Factors and Property Tax'!$E$26/12</f>
        <v>2866.2285551405798</v>
      </c>
      <c r="AD115" s="23"/>
      <c r="AF115" s="23">
        <f t="shared" si="8"/>
        <v>546712.46493803919</v>
      </c>
      <c r="AH115" s="29">
        <f>'Alloc. Factors and Property Tax'!$C$18</f>
        <v>0.9604166666666667</v>
      </c>
      <c r="AJ115" s="33">
        <f t="shared" si="6"/>
        <v>525071.76320090843</v>
      </c>
      <c r="AL115" s="30"/>
    </row>
    <row r="116" spans="2:38" x14ac:dyDescent="0.2">
      <c r="B116" s="32" t="s">
        <v>10</v>
      </c>
      <c r="D116" s="3">
        <v>2034</v>
      </c>
      <c r="F116" s="263">
        <f>'Depr and ADFIT'!$C$1</f>
        <v>57798518.958269402</v>
      </c>
      <c r="G116" s="252"/>
      <c r="H116" s="26">
        <f>'Depr and ADFIT'!C114</f>
        <v>-34679232</v>
      </c>
      <c r="I116" s="252"/>
      <c r="J116" s="264">
        <f>'Depr and ADFIT'!J114</f>
        <v>1372434</v>
      </c>
      <c r="L116" s="269"/>
      <c r="M116" s="252"/>
      <c r="N116" s="26"/>
      <c r="O116" s="252"/>
      <c r="P116" s="264"/>
      <c r="R116" s="220">
        <f t="shared" si="9"/>
        <v>24491720.958269402</v>
      </c>
      <c r="T116" s="28">
        <f>WACC!$S$16</f>
        <v>8.1600000000000006E-2</v>
      </c>
      <c r="V116" s="22">
        <f t="shared" si="5"/>
        <v>166543.70251623195</v>
      </c>
      <c r="X116" s="23">
        <f>'O&amp;M'!$J$11</f>
        <v>54166.666666666664</v>
      </c>
      <c r="Z116" s="23">
        <f>(ROUND(F116*'Depr and ADFIT'!$C$4/12,0))</f>
        <v>321104</v>
      </c>
      <c r="AB116" s="23">
        <f>F116*'Alloc. Factors and Property Tax'!$E$24*'Alloc. Factors and Property Tax'!$E$25*'Alloc. Factors and Property Tax'!$E$26/12</f>
        <v>2866.2285551405798</v>
      </c>
      <c r="AD116" s="23"/>
      <c r="AF116" s="23">
        <f t="shared" si="8"/>
        <v>544680.59773803921</v>
      </c>
      <c r="AH116" s="29">
        <f>'Alloc. Factors and Property Tax'!$C$18</f>
        <v>0.9604166666666667</v>
      </c>
      <c r="AJ116" s="33">
        <f t="shared" si="6"/>
        <v>523120.32407757518</v>
      </c>
    </row>
    <row r="117" spans="2:38" x14ac:dyDescent="0.2">
      <c r="B117" s="32" t="s">
        <v>11</v>
      </c>
      <c r="D117" s="3">
        <v>2035</v>
      </c>
      <c r="F117" s="263">
        <f>'Depr and ADFIT'!$C$1</f>
        <v>57798518.958269402</v>
      </c>
      <c r="G117" s="252"/>
      <c r="H117" s="26">
        <f>'Depr and ADFIT'!C115</f>
        <v>-35000336</v>
      </c>
      <c r="I117" s="252"/>
      <c r="J117" s="264">
        <f>'Depr and ADFIT'!J115</f>
        <v>1394744</v>
      </c>
      <c r="L117" s="269"/>
      <c r="M117" s="252"/>
      <c r="N117" s="26"/>
      <c r="O117" s="252"/>
      <c r="P117" s="264"/>
      <c r="R117" s="220">
        <f t="shared" si="9"/>
        <v>24192926.958269402</v>
      </c>
      <c r="T117" s="28">
        <f>WACC!$S$16</f>
        <v>8.1600000000000006E-2</v>
      </c>
      <c r="V117" s="22">
        <f t="shared" si="5"/>
        <v>164511.90331623194</v>
      </c>
      <c r="X117" s="23">
        <f>'O&amp;M'!$K$11</f>
        <v>54166.666666666664</v>
      </c>
      <c r="Z117" s="23">
        <f>(ROUND(F117*'Depr and ADFIT'!$C$4/12,0))</f>
        <v>321104</v>
      </c>
      <c r="AB117" s="23">
        <f>F117*'Alloc. Factors and Property Tax'!$E$24*'Alloc. Factors and Property Tax'!$E$25*'Alloc. Factors and Property Tax'!$E$26/12</f>
        <v>2866.2285551405798</v>
      </c>
      <c r="AD117" s="23"/>
      <c r="AF117" s="23">
        <f t="shared" si="8"/>
        <v>542648.79853803921</v>
      </c>
      <c r="AH117" s="29">
        <f>'Alloc. Factors and Property Tax'!$C$18</f>
        <v>0.9604166666666667</v>
      </c>
      <c r="AJ117" s="33">
        <f t="shared" si="6"/>
        <v>521168.95026257518</v>
      </c>
    </row>
    <row r="118" spans="2:38" x14ac:dyDescent="0.2">
      <c r="B118" s="32" t="s">
        <v>12</v>
      </c>
      <c r="D118" s="3">
        <v>2035</v>
      </c>
      <c r="F118" s="263">
        <f>'Depr and ADFIT'!$C$1</f>
        <v>57798518.958269402</v>
      </c>
      <c r="G118" s="252"/>
      <c r="H118" s="26">
        <f>'Depr and ADFIT'!C116</f>
        <v>-35321440</v>
      </c>
      <c r="I118" s="252"/>
      <c r="J118" s="264">
        <f>'Depr and ADFIT'!J116</f>
        <v>1417054</v>
      </c>
      <c r="L118" s="269"/>
      <c r="M118" s="252"/>
      <c r="N118" s="26"/>
      <c r="O118" s="252"/>
      <c r="P118" s="264"/>
      <c r="R118" s="220">
        <f t="shared" si="9"/>
        <v>23894132.958269402</v>
      </c>
      <c r="T118" s="28">
        <f>WACC!$S$16</f>
        <v>8.1600000000000006E-2</v>
      </c>
      <c r="V118" s="22">
        <f t="shared" si="5"/>
        <v>162480.10411623193</v>
      </c>
      <c r="X118" s="23">
        <f>'O&amp;M'!$K$11</f>
        <v>54166.666666666664</v>
      </c>
      <c r="Z118" s="23">
        <f>(ROUND(F118*'Depr and ADFIT'!$C$4/12,0))</f>
        <v>321104</v>
      </c>
      <c r="AB118" s="23">
        <f>F118*'Alloc. Factors and Property Tax'!$E$24*'Alloc. Factors and Property Tax'!$E$25*'Alloc. Factors and Property Tax'!$E$26/12</f>
        <v>2866.2285551405798</v>
      </c>
      <c r="AD118" s="23"/>
      <c r="AF118" s="23">
        <f t="shared" si="8"/>
        <v>540616.9993380392</v>
      </c>
      <c r="AH118" s="29">
        <f>'Alloc. Factors and Property Tax'!$C$18</f>
        <v>0.9604166666666667</v>
      </c>
      <c r="AJ118" s="33">
        <f t="shared" si="6"/>
        <v>519217.57644757518</v>
      </c>
    </row>
    <row r="119" spans="2:38" x14ac:dyDescent="0.2">
      <c r="B119" s="32" t="s">
        <v>13</v>
      </c>
      <c r="D119" s="3">
        <v>2035</v>
      </c>
      <c r="F119" s="263">
        <f>'Depr and ADFIT'!$C$1</f>
        <v>57798518.958269402</v>
      </c>
      <c r="G119" s="252"/>
      <c r="H119" s="26">
        <f>'Depr and ADFIT'!C117</f>
        <v>-35642544</v>
      </c>
      <c r="I119" s="252"/>
      <c r="J119" s="264">
        <f>'Depr and ADFIT'!J117</f>
        <v>1439364</v>
      </c>
      <c r="L119" s="269"/>
      <c r="M119" s="252"/>
      <c r="N119" s="26"/>
      <c r="O119" s="252"/>
      <c r="P119" s="264"/>
      <c r="R119" s="220">
        <f t="shared" si="9"/>
        <v>23595338.958269402</v>
      </c>
      <c r="T119" s="28">
        <f>WACC!$S$16</f>
        <v>8.1600000000000006E-2</v>
      </c>
      <c r="V119" s="22">
        <f t="shared" si="5"/>
        <v>160448.30491623195</v>
      </c>
      <c r="X119" s="23">
        <f>'O&amp;M'!$K$11</f>
        <v>54166.666666666664</v>
      </c>
      <c r="Z119" s="23">
        <f>(ROUND(F119*'Depr and ADFIT'!$C$4/12,0))</f>
        <v>321104</v>
      </c>
      <c r="AB119" s="23">
        <f>F119*'Alloc. Factors and Property Tax'!$E$24*'Alloc. Factors and Property Tax'!$E$25*'Alloc. Factors and Property Tax'!$E$26/12</f>
        <v>2866.2285551405798</v>
      </c>
      <c r="AD119" s="23"/>
      <c r="AF119" s="23">
        <f t="shared" si="8"/>
        <v>538585.20013803919</v>
      </c>
      <c r="AH119" s="29">
        <f>'Alloc. Factors and Property Tax'!$C$18</f>
        <v>0.9604166666666667</v>
      </c>
      <c r="AJ119" s="33">
        <f t="shared" si="6"/>
        <v>517266.20263257518</v>
      </c>
    </row>
    <row r="120" spans="2:38" x14ac:dyDescent="0.2">
      <c r="B120" s="32" t="s">
        <v>14</v>
      </c>
      <c r="D120" s="3">
        <v>2035</v>
      </c>
      <c r="F120" s="263">
        <f>'Depr and ADFIT'!$C$1</f>
        <v>57798518.958269402</v>
      </c>
      <c r="G120" s="252"/>
      <c r="H120" s="26">
        <f>'Depr and ADFIT'!C118</f>
        <v>-35963648</v>
      </c>
      <c r="I120" s="252"/>
      <c r="J120" s="264">
        <f>'Depr and ADFIT'!J118</f>
        <v>1461674</v>
      </c>
      <c r="L120" s="269"/>
      <c r="M120" s="252"/>
      <c r="N120" s="26"/>
      <c r="O120" s="252"/>
      <c r="P120" s="264"/>
      <c r="R120" s="220">
        <f t="shared" si="9"/>
        <v>23296544.958269402</v>
      </c>
      <c r="T120" s="28">
        <f>WACC!$S$16</f>
        <v>8.1600000000000006E-2</v>
      </c>
      <c r="V120" s="22">
        <f t="shared" si="5"/>
        <v>158416.50571623194</v>
      </c>
      <c r="X120" s="23">
        <f>'O&amp;M'!$K$11</f>
        <v>54166.666666666664</v>
      </c>
      <c r="Z120" s="23">
        <f>(ROUND(F120*'Depr and ADFIT'!$C$4/12,0))</f>
        <v>321104</v>
      </c>
      <c r="AB120" s="23">
        <f>F120*'Alloc. Factors and Property Tax'!$E$24*'Alloc. Factors and Property Tax'!$E$25*'Alloc. Factors and Property Tax'!$E$26/12</f>
        <v>2866.2285551405798</v>
      </c>
      <c r="AD120" s="23"/>
      <c r="AF120" s="23">
        <f t="shared" si="8"/>
        <v>536553.40093803918</v>
      </c>
      <c r="AH120" s="29">
        <f>'Alloc. Factors and Property Tax'!$C$18</f>
        <v>0.9604166666666667</v>
      </c>
      <c r="AJ120" s="33">
        <f t="shared" si="6"/>
        <v>515314.82881757512</v>
      </c>
    </row>
    <row r="121" spans="2:38" x14ac:dyDescent="0.2">
      <c r="B121" s="32" t="s">
        <v>15</v>
      </c>
      <c r="D121" s="3">
        <v>2035</v>
      </c>
      <c r="F121" s="263">
        <f>'Depr and ADFIT'!$C$1</f>
        <v>57798518.958269402</v>
      </c>
      <c r="G121" s="252"/>
      <c r="H121" s="26">
        <f>'Depr and ADFIT'!C119</f>
        <v>-36284752</v>
      </c>
      <c r="I121" s="252"/>
      <c r="J121" s="264">
        <f>'Depr and ADFIT'!J119</f>
        <v>1483984</v>
      </c>
      <c r="L121" s="269"/>
      <c r="M121" s="252"/>
      <c r="N121" s="26"/>
      <c r="O121" s="252"/>
      <c r="P121" s="264"/>
      <c r="R121" s="220">
        <f t="shared" si="9"/>
        <v>22997750.958269402</v>
      </c>
      <c r="T121" s="28">
        <f>WACC!$S$16</f>
        <v>8.1600000000000006E-2</v>
      </c>
      <c r="V121" s="22">
        <f t="shared" si="5"/>
        <v>156384.70651623196</v>
      </c>
      <c r="X121" s="23">
        <f>'O&amp;M'!$K$11</f>
        <v>54166.666666666664</v>
      </c>
      <c r="Z121" s="23">
        <f>(ROUND(F121*'Depr and ADFIT'!$C$4/12,0))</f>
        <v>321104</v>
      </c>
      <c r="AB121" s="23">
        <f>F121*'Alloc. Factors and Property Tax'!$E$24*'Alloc. Factors and Property Tax'!$E$25*'Alloc. Factors and Property Tax'!$E$26/12</f>
        <v>2866.2285551405798</v>
      </c>
      <c r="AD121" s="23"/>
      <c r="AF121" s="23">
        <f t="shared" si="8"/>
        <v>534521.60173803917</v>
      </c>
      <c r="AH121" s="29">
        <f>'Alloc. Factors and Property Tax'!$C$18</f>
        <v>0.9604166666666667</v>
      </c>
      <c r="AJ121" s="33">
        <f t="shared" si="6"/>
        <v>513363.45500257512</v>
      </c>
    </row>
    <row r="122" spans="2:38" x14ac:dyDescent="0.2">
      <c r="B122" s="32" t="s">
        <v>16</v>
      </c>
      <c r="D122" s="3">
        <v>2035</v>
      </c>
      <c r="F122" s="263">
        <f>'Depr and ADFIT'!$C$1</f>
        <v>57798518.958269402</v>
      </c>
      <c r="G122" s="252"/>
      <c r="H122" s="26">
        <f>'Depr and ADFIT'!C120</f>
        <v>-36605856</v>
      </c>
      <c r="I122" s="252"/>
      <c r="J122" s="264">
        <f>'Depr and ADFIT'!J120</f>
        <v>1506294</v>
      </c>
      <c r="L122" s="269"/>
      <c r="M122" s="252"/>
      <c r="N122" s="26"/>
      <c r="O122" s="252"/>
      <c r="P122" s="264"/>
      <c r="R122" s="220">
        <f t="shared" si="9"/>
        <v>22698956.958269402</v>
      </c>
      <c r="T122" s="28">
        <f>WACC!$S$16</f>
        <v>8.1600000000000006E-2</v>
      </c>
      <c r="V122" s="22">
        <f t="shared" si="5"/>
        <v>154352.90731623195</v>
      </c>
      <c r="X122" s="23">
        <f>'O&amp;M'!$K$11</f>
        <v>54166.666666666664</v>
      </c>
      <c r="Z122" s="23">
        <f>(ROUND(F122*'Depr and ADFIT'!$C$4/12,0))</f>
        <v>321104</v>
      </c>
      <c r="AB122" s="23">
        <f>F122*'Alloc. Factors and Property Tax'!$E$24*'Alloc. Factors and Property Tax'!$E$25*'Alloc. Factors and Property Tax'!$E$26/12</f>
        <v>2866.2285551405798</v>
      </c>
      <c r="AD122" s="23"/>
      <c r="AF122" s="23">
        <f t="shared" si="8"/>
        <v>532489.80253803916</v>
      </c>
      <c r="AH122" s="29">
        <f>'Alloc. Factors and Property Tax'!$C$18</f>
        <v>0.9604166666666667</v>
      </c>
      <c r="AJ122" s="33">
        <f t="shared" si="6"/>
        <v>511412.08118757512</v>
      </c>
    </row>
    <row r="123" spans="2:38" x14ac:dyDescent="0.2">
      <c r="B123" s="32" t="s">
        <v>17</v>
      </c>
      <c r="D123" s="3">
        <v>2035</v>
      </c>
      <c r="F123" s="263">
        <f>'Depr and ADFIT'!$C$1</f>
        <v>57798518.958269402</v>
      </c>
      <c r="G123" s="252"/>
      <c r="H123" s="26">
        <f>'Depr and ADFIT'!C121</f>
        <v>-36926960</v>
      </c>
      <c r="I123" s="252"/>
      <c r="J123" s="264">
        <f>'Depr and ADFIT'!J121</f>
        <v>1528604</v>
      </c>
      <c r="L123" s="269"/>
      <c r="M123" s="252"/>
      <c r="N123" s="26"/>
      <c r="O123" s="252"/>
      <c r="P123" s="264"/>
      <c r="R123" s="220">
        <f t="shared" si="9"/>
        <v>22400162.958269402</v>
      </c>
      <c r="T123" s="28">
        <f>WACC!$S$16</f>
        <v>8.1600000000000006E-2</v>
      </c>
      <c r="V123" s="22">
        <f t="shared" si="5"/>
        <v>152321.10811623195</v>
      </c>
      <c r="X123" s="23">
        <f>'O&amp;M'!$K$11</f>
        <v>54166.666666666664</v>
      </c>
      <c r="Z123" s="23">
        <f>(ROUND(F123*'Depr and ADFIT'!$C$4/12,0))</f>
        <v>321104</v>
      </c>
      <c r="AB123" s="23">
        <f>F123*'Alloc. Factors and Property Tax'!$E$24*'Alloc. Factors and Property Tax'!$E$25*'Alloc. Factors and Property Tax'!$E$26/12</f>
        <v>2866.2285551405798</v>
      </c>
      <c r="AD123" s="23"/>
      <c r="AF123" s="23">
        <f t="shared" si="8"/>
        <v>530458.00333803915</v>
      </c>
      <c r="AH123" s="29">
        <f>'Alloc. Factors and Property Tax'!$C$18</f>
        <v>0.9604166666666667</v>
      </c>
      <c r="AJ123" s="33">
        <f t="shared" si="6"/>
        <v>509460.70737257513</v>
      </c>
    </row>
    <row r="124" spans="2:38" x14ac:dyDescent="0.2">
      <c r="B124" s="32" t="s">
        <v>18</v>
      </c>
      <c r="D124" s="3">
        <v>2035</v>
      </c>
      <c r="F124" s="263">
        <f>'Depr and ADFIT'!$C$1</f>
        <v>57798518.958269402</v>
      </c>
      <c r="G124" s="252"/>
      <c r="H124" s="26">
        <f>'Depr and ADFIT'!C122</f>
        <v>-37248064</v>
      </c>
      <c r="I124" s="252"/>
      <c r="J124" s="264">
        <f>'Depr and ADFIT'!J122</f>
        <v>1550914</v>
      </c>
      <c r="L124" s="269"/>
      <c r="M124" s="252"/>
      <c r="N124" s="26"/>
      <c r="O124" s="252"/>
      <c r="P124" s="264"/>
      <c r="R124" s="220">
        <f t="shared" si="9"/>
        <v>22101368.958269402</v>
      </c>
      <c r="T124" s="28">
        <f>WACC!$S$16</f>
        <v>8.1600000000000006E-2</v>
      </c>
      <c r="V124" s="22">
        <f t="shared" si="5"/>
        <v>150289.30891623194</v>
      </c>
      <c r="X124" s="23">
        <f>'O&amp;M'!$K$11</f>
        <v>54166.666666666664</v>
      </c>
      <c r="Z124" s="23">
        <f>(ROUND(F124*'Depr and ADFIT'!$C$4/12,0))</f>
        <v>321104</v>
      </c>
      <c r="AB124" s="23">
        <f>F124*'Alloc. Factors and Property Tax'!$E$24*'Alloc. Factors and Property Tax'!$E$25*'Alloc. Factors and Property Tax'!$E$26/12</f>
        <v>2866.2285551405798</v>
      </c>
      <c r="AD124" s="23"/>
      <c r="AF124" s="23">
        <f t="shared" si="8"/>
        <v>528426.20413803915</v>
      </c>
      <c r="AH124" s="29">
        <f>'Alloc. Factors and Property Tax'!$C$18</f>
        <v>0.9604166666666667</v>
      </c>
      <c r="AJ124" s="33">
        <f t="shared" si="6"/>
        <v>507509.33355757513</v>
      </c>
    </row>
    <row r="125" spans="2:38" x14ac:dyDescent="0.2">
      <c r="B125" s="32" t="s">
        <v>19</v>
      </c>
      <c r="D125" s="3">
        <v>2035</v>
      </c>
      <c r="F125" s="263">
        <f>'Depr and ADFIT'!$C$1</f>
        <v>57798518.958269402</v>
      </c>
      <c r="G125" s="252"/>
      <c r="H125" s="26">
        <f>'Depr and ADFIT'!C123</f>
        <v>-37569168</v>
      </c>
      <c r="I125" s="252"/>
      <c r="J125" s="264">
        <f>'Depr and ADFIT'!J123</f>
        <v>1573224</v>
      </c>
      <c r="L125" s="269"/>
      <c r="M125" s="252"/>
      <c r="N125" s="26"/>
      <c r="O125" s="252"/>
      <c r="P125" s="264"/>
      <c r="R125" s="220">
        <f t="shared" si="9"/>
        <v>21802574.958269402</v>
      </c>
      <c r="T125" s="28">
        <f>WACC!$S$16</f>
        <v>8.1600000000000006E-2</v>
      </c>
      <c r="V125" s="22">
        <f t="shared" si="5"/>
        <v>148257.50971623193</v>
      </c>
      <c r="X125" s="23">
        <f>'O&amp;M'!$K$11</f>
        <v>54166.666666666664</v>
      </c>
      <c r="Z125" s="23">
        <f>(ROUND(F125*'Depr and ADFIT'!$C$4/12,0))</f>
        <v>321104</v>
      </c>
      <c r="AB125" s="23">
        <f>F125*'Alloc. Factors and Property Tax'!$E$24*'Alloc. Factors and Property Tax'!$E$25*'Alloc. Factors and Property Tax'!$E$26/12</f>
        <v>2866.2285551405798</v>
      </c>
      <c r="AD125" s="23"/>
      <c r="AF125" s="23">
        <f t="shared" si="8"/>
        <v>526394.40493803914</v>
      </c>
      <c r="AH125" s="29">
        <f>'Alloc. Factors and Property Tax'!$C$18</f>
        <v>0.9604166666666667</v>
      </c>
      <c r="AJ125" s="33">
        <f t="shared" si="6"/>
        <v>505557.95974257513</v>
      </c>
    </row>
    <row r="126" spans="2:38" x14ac:dyDescent="0.2">
      <c r="B126" s="32" t="s">
        <v>8</v>
      </c>
      <c r="D126" s="3">
        <v>2035</v>
      </c>
      <c r="F126" s="263">
        <f>'Depr and ADFIT'!$C$1</f>
        <v>57798518.958269402</v>
      </c>
      <c r="G126" s="252"/>
      <c r="H126" s="26">
        <f>'Depr and ADFIT'!C124</f>
        <v>-37890272</v>
      </c>
      <c r="I126" s="252"/>
      <c r="J126" s="264">
        <f>'Depr and ADFIT'!J124</f>
        <v>1595534</v>
      </c>
      <c r="L126" s="269"/>
      <c r="M126" s="252"/>
      <c r="N126" s="26"/>
      <c r="O126" s="252"/>
      <c r="P126" s="264"/>
      <c r="R126" s="220">
        <f t="shared" si="9"/>
        <v>21503780.958269402</v>
      </c>
      <c r="T126" s="28">
        <f>WACC!$S$16</f>
        <v>8.1600000000000006E-2</v>
      </c>
      <c r="V126" s="22">
        <f t="shared" si="5"/>
        <v>146225.71051623195</v>
      </c>
      <c r="X126" s="23">
        <f>'O&amp;M'!$K$11</f>
        <v>54166.666666666664</v>
      </c>
      <c r="Z126" s="23">
        <f>(ROUND(F126*'Depr and ADFIT'!$C$4/12,0))</f>
        <v>321104</v>
      </c>
      <c r="AB126" s="23">
        <f>F126*'Alloc. Factors and Property Tax'!$E$24*'Alloc. Factors and Property Tax'!$E$25*'Alloc. Factors and Property Tax'!$E$26/12</f>
        <v>2866.2285551405798</v>
      </c>
      <c r="AD126" s="23"/>
      <c r="AF126" s="23">
        <f t="shared" si="8"/>
        <v>524362.60573803913</v>
      </c>
      <c r="AH126" s="29">
        <f>'Alloc. Factors and Property Tax'!$C$18</f>
        <v>0.9604166666666667</v>
      </c>
      <c r="AJ126" s="33">
        <f t="shared" si="6"/>
        <v>503606.58592757507</v>
      </c>
    </row>
    <row r="127" spans="2:38" x14ac:dyDescent="0.2">
      <c r="B127" s="32" t="s">
        <v>9</v>
      </c>
      <c r="D127" s="3">
        <v>2035</v>
      </c>
      <c r="F127" s="263">
        <f>'Depr and ADFIT'!$C$1</f>
        <v>57798518.958269402</v>
      </c>
      <c r="G127" s="252"/>
      <c r="H127" s="26">
        <f>'Depr and ADFIT'!C125</f>
        <v>-38211376</v>
      </c>
      <c r="I127" s="252"/>
      <c r="J127" s="264">
        <f>'Depr and ADFIT'!J125</f>
        <v>1617844</v>
      </c>
      <c r="L127" s="269"/>
      <c r="M127" s="252"/>
      <c r="N127" s="26"/>
      <c r="O127" s="252"/>
      <c r="P127" s="264"/>
      <c r="R127" s="220">
        <f t="shared" si="9"/>
        <v>21204986.958269402</v>
      </c>
      <c r="T127" s="28">
        <f>WACC!$S$16</f>
        <v>8.1600000000000006E-2</v>
      </c>
      <c r="V127" s="22">
        <f t="shared" si="5"/>
        <v>144193.91131623194</v>
      </c>
      <c r="X127" s="23">
        <f>'O&amp;M'!$K$11</f>
        <v>54166.666666666664</v>
      </c>
      <c r="Z127" s="23">
        <f>(ROUND(F127*'Depr and ADFIT'!$C$4/12,0))</f>
        <v>321104</v>
      </c>
      <c r="AB127" s="23">
        <f>F127*'Alloc. Factors and Property Tax'!$E$24*'Alloc. Factors and Property Tax'!$E$25*'Alloc. Factors and Property Tax'!$E$26/12</f>
        <v>2866.2285551405798</v>
      </c>
      <c r="AD127" s="23"/>
      <c r="AF127" s="23">
        <f t="shared" si="8"/>
        <v>522330.80653803912</v>
      </c>
      <c r="AH127" s="29">
        <f>'Alloc. Factors and Property Tax'!$C$18</f>
        <v>0.9604166666666667</v>
      </c>
      <c r="AJ127" s="33">
        <f t="shared" si="6"/>
        <v>501655.21211257507</v>
      </c>
    </row>
    <row r="128" spans="2:38" x14ac:dyDescent="0.2">
      <c r="B128" s="32" t="s">
        <v>10</v>
      </c>
      <c r="D128" s="3">
        <v>2035</v>
      </c>
      <c r="F128" s="263">
        <f>'Depr and ADFIT'!$C$1</f>
        <v>57798518.958269402</v>
      </c>
      <c r="G128" s="252"/>
      <c r="H128" s="26">
        <f>'Depr and ADFIT'!C126</f>
        <v>-38532480</v>
      </c>
      <c r="I128" s="252"/>
      <c r="J128" s="264">
        <f>'Depr and ADFIT'!J126</f>
        <v>1640154</v>
      </c>
      <c r="L128" s="269"/>
      <c r="M128" s="252"/>
      <c r="N128" s="26"/>
      <c r="O128" s="252"/>
      <c r="P128" s="264"/>
      <c r="R128" s="220">
        <f t="shared" si="9"/>
        <v>20906192.958269402</v>
      </c>
      <c r="T128" s="28">
        <f>WACC!$S$16</f>
        <v>8.1600000000000006E-2</v>
      </c>
      <c r="V128" s="22">
        <f t="shared" si="5"/>
        <v>142162.11211623196</v>
      </c>
      <c r="X128" s="23">
        <f>'O&amp;M'!$K$11</f>
        <v>54166.666666666664</v>
      </c>
      <c r="Z128" s="23">
        <f>(ROUND(F128*'Depr and ADFIT'!$C$4/12,0))</f>
        <v>321104</v>
      </c>
      <c r="AB128" s="23">
        <f>F128*'Alloc. Factors and Property Tax'!$E$24*'Alloc. Factors and Property Tax'!$E$25*'Alloc. Factors and Property Tax'!$E$26/12</f>
        <v>2866.2285551405798</v>
      </c>
      <c r="AD128" s="23"/>
      <c r="AF128" s="23">
        <f t="shared" si="8"/>
        <v>520299.00733803917</v>
      </c>
      <c r="AH128" s="29">
        <f>'Alloc. Factors and Property Tax'!$C$18</f>
        <v>0.9604166666666667</v>
      </c>
      <c r="AJ128" s="33">
        <f t="shared" si="6"/>
        <v>499703.83829757513</v>
      </c>
    </row>
    <row r="129" spans="2:36" x14ac:dyDescent="0.2">
      <c r="B129" s="32" t="s">
        <v>11</v>
      </c>
      <c r="D129" s="3">
        <v>2036</v>
      </c>
      <c r="F129" s="263">
        <f>'Depr and ADFIT'!$C$1</f>
        <v>57798518.958269402</v>
      </c>
      <c r="G129" s="252"/>
      <c r="H129" s="26">
        <f>'Depr and ADFIT'!C127</f>
        <v>-38853584</v>
      </c>
      <c r="I129" s="252"/>
      <c r="J129" s="264">
        <f>'Depr and ADFIT'!J127</f>
        <v>1662453</v>
      </c>
      <c r="L129" s="269"/>
      <c r="M129" s="252"/>
      <c r="N129" s="26"/>
      <c r="O129" s="252"/>
      <c r="P129" s="264"/>
      <c r="R129" s="220">
        <f t="shared" si="9"/>
        <v>20607387.958269402</v>
      </c>
      <c r="T129" s="28">
        <f>WACC!$S$16</f>
        <v>8.1600000000000006E-2</v>
      </c>
      <c r="V129" s="22">
        <f t="shared" si="5"/>
        <v>140130.23811623195</v>
      </c>
      <c r="X129" s="23">
        <f>X128</f>
        <v>54166.666666666664</v>
      </c>
      <c r="Z129" s="23">
        <f>(ROUND(F129*'Depr and ADFIT'!$C$4/12,0))</f>
        <v>321104</v>
      </c>
      <c r="AB129" s="23">
        <f>F129*'Alloc. Factors and Property Tax'!$E$24*'Alloc. Factors and Property Tax'!$E$25*'Alloc. Factors and Property Tax'!$E$26/12</f>
        <v>2866.2285551405798</v>
      </c>
      <c r="AD129" s="23"/>
      <c r="AF129" s="23">
        <f t="shared" si="8"/>
        <v>518267.13333803916</v>
      </c>
      <c r="AH129" s="29">
        <f>'Alloc. Factors and Property Tax'!$C$18</f>
        <v>0.9604166666666667</v>
      </c>
      <c r="AJ129" s="33">
        <f t="shared" si="6"/>
        <v>497752.39264340844</v>
      </c>
    </row>
    <row r="130" spans="2:36" x14ac:dyDescent="0.2">
      <c r="B130" s="32" t="s">
        <v>12</v>
      </c>
      <c r="D130" s="3">
        <v>2036</v>
      </c>
      <c r="F130" s="263">
        <f>'Depr and ADFIT'!$C$1</f>
        <v>57798518.958269402</v>
      </c>
      <c r="G130" s="252"/>
      <c r="H130" s="26">
        <f>'Depr and ADFIT'!C128</f>
        <v>-39174688</v>
      </c>
      <c r="I130" s="252"/>
      <c r="J130" s="264">
        <f>'Depr and ADFIT'!J128</f>
        <v>1684753</v>
      </c>
      <c r="L130" s="269"/>
      <c r="M130" s="252"/>
      <c r="N130" s="26"/>
      <c r="O130" s="252"/>
      <c r="P130" s="264"/>
      <c r="R130" s="220">
        <f t="shared" si="9"/>
        <v>20308583.958269402</v>
      </c>
      <c r="T130" s="28">
        <f>WACC!$S$16</f>
        <v>8.1600000000000006E-2</v>
      </c>
      <c r="V130" s="22">
        <f t="shared" si="5"/>
        <v>138098.37091623194</v>
      </c>
      <c r="X130" s="23">
        <f t="shared" ref="X130:X188" si="10">X129</f>
        <v>54166.666666666664</v>
      </c>
      <c r="Z130" s="23">
        <f>(ROUND(F130*'Depr and ADFIT'!$C$4/12,0))</f>
        <v>321104</v>
      </c>
      <c r="AB130" s="23">
        <f>F130*'Alloc. Factors and Property Tax'!$E$24*'Alloc. Factors and Property Tax'!$E$25*'Alloc. Factors and Property Tax'!$E$26/12</f>
        <v>2866.2285551405798</v>
      </c>
      <c r="AD130" s="23"/>
      <c r="AF130" s="23">
        <f t="shared" si="8"/>
        <v>516235.26613803918</v>
      </c>
      <c r="AH130" s="29">
        <f>'Alloc. Factors and Property Tax'!$C$18</f>
        <v>0.9604166666666667</v>
      </c>
      <c r="AJ130" s="33">
        <f t="shared" si="6"/>
        <v>495800.95352007513</v>
      </c>
    </row>
    <row r="131" spans="2:36" x14ac:dyDescent="0.2">
      <c r="B131" s="32" t="s">
        <v>13</v>
      </c>
      <c r="D131" s="3">
        <v>2036</v>
      </c>
      <c r="F131" s="263">
        <f>'Depr and ADFIT'!$C$1</f>
        <v>57798518.958269402</v>
      </c>
      <c r="G131" s="252"/>
      <c r="H131" s="26">
        <f>'Depr and ADFIT'!C129</f>
        <v>-39495792</v>
      </c>
      <c r="I131" s="252"/>
      <c r="J131" s="264">
        <f>'Depr and ADFIT'!J129</f>
        <v>1707053</v>
      </c>
      <c r="L131" s="269"/>
      <c r="M131" s="252"/>
      <c r="N131" s="26"/>
      <c r="O131" s="252"/>
      <c r="P131" s="264"/>
      <c r="R131" s="220">
        <f t="shared" si="9"/>
        <v>20009779.958269402</v>
      </c>
      <c r="T131" s="28">
        <f>WACC!$S$16</f>
        <v>8.1600000000000006E-2</v>
      </c>
      <c r="V131" s="22">
        <f t="shared" si="5"/>
        <v>136066.50371623193</v>
      </c>
      <c r="X131" s="23">
        <f t="shared" si="10"/>
        <v>54166.666666666664</v>
      </c>
      <c r="Z131" s="23">
        <f>(ROUND(F131*'Depr and ADFIT'!$C$4/12,0))</f>
        <v>321104</v>
      </c>
      <c r="AB131" s="23">
        <f>F131*'Alloc. Factors and Property Tax'!$E$24*'Alloc. Factors and Property Tax'!$E$25*'Alloc. Factors and Property Tax'!$E$26/12</f>
        <v>2866.2285551405798</v>
      </c>
      <c r="AD131" s="23"/>
      <c r="AF131" s="23">
        <f t="shared" si="8"/>
        <v>514203.39893803914</v>
      </c>
      <c r="AH131" s="29">
        <f>'Alloc. Factors and Property Tax'!$C$18</f>
        <v>0.9604166666666667</v>
      </c>
      <c r="AJ131" s="33">
        <f t="shared" si="6"/>
        <v>493849.51439674175</v>
      </c>
    </row>
    <row r="132" spans="2:36" x14ac:dyDescent="0.2">
      <c r="B132" s="32" t="s">
        <v>14</v>
      </c>
      <c r="D132" s="3">
        <v>2036</v>
      </c>
      <c r="F132" s="263">
        <f>'Depr and ADFIT'!$C$1</f>
        <v>57798518.958269402</v>
      </c>
      <c r="G132" s="252"/>
      <c r="H132" s="26">
        <f>'Depr and ADFIT'!C130</f>
        <v>-39816896</v>
      </c>
      <c r="I132" s="252"/>
      <c r="J132" s="264">
        <f>'Depr and ADFIT'!J130</f>
        <v>1729353</v>
      </c>
      <c r="L132" s="269"/>
      <c r="M132" s="252"/>
      <c r="N132" s="26"/>
      <c r="O132" s="252"/>
      <c r="P132" s="264"/>
      <c r="R132" s="220">
        <f t="shared" si="9"/>
        <v>19710975.958269402</v>
      </c>
      <c r="T132" s="28">
        <f>WACC!$S$16</f>
        <v>8.1600000000000006E-2</v>
      </c>
      <c r="V132" s="22">
        <f t="shared" si="5"/>
        <v>134034.63651623196</v>
      </c>
      <c r="X132" s="23">
        <f t="shared" si="10"/>
        <v>54166.666666666664</v>
      </c>
      <c r="Z132" s="23">
        <f>(ROUND(F132*'Depr and ADFIT'!$C$4/12,0))</f>
        <v>321104</v>
      </c>
      <c r="AB132" s="23">
        <f>F132*'Alloc. Factors and Property Tax'!$E$24*'Alloc. Factors and Property Tax'!$E$25*'Alloc. Factors and Property Tax'!$E$26/12</f>
        <v>2866.2285551405798</v>
      </c>
      <c r="AD132" s="23"/>
      <c r="AF132" s="23">
        <f t="shared" si="8"/>
        <v>512171.53173803916</v>
      </c>
      <c r="AH132" s="29">
        <f>'Alloc. Factors and Property Tax'!$C$18</f>
        <v>0.9604166666666667</v>
      </c>
      <c r="AJ132" s="33">
        <f t="shared" si="6"/>
        <v>491898.07527340844</v>
      </c>
    </row>
    <row r="133" spans="2:36" x14ac:dyDescent="0.2">
      <c r="B133" s="32" t="s">
        <v>15</v>
      </c>
      <c r="D133" s="3">
        <v>2036</v>
      </c>
      <c r="F133" s="263">
        <f>'Depr and ADFIT'!$C$1</f>
        <v>57798518.958269402</v>
      </c>
      <c r="G133" s="252"/>
      <c r="H133" s="26">
        <f>'Depr and ADFIT'!C131</f>
        <v>-40138000</v>
      </c>
      <c r="I133" s="252"/>
      <c r="J133" s="264">
        <f>'Depr and ADFIT'!J131</f>
        <v>1751653</v>
      </c>
      <c r="L133" s="269"/>
      <c r="M133" s="252"/>
      <c r="N133" s="26"/>
      <c r="O133" s="252"/>
      <c r="P133" s="264"/>
      <c r="R133" s="220">
        <f t="shared" si="9"/>
        <v>19412171.958269402</v>
      </c>
      <c r="T133" s="28">
        <f>WACC!$S$16</f>
        <v>8.1600000000000006E-2</v>
      </c>
      <c r="V133" s="22">
        <f t="shared" si="5"/>
        <v>132002.76931623195</v>
      </c>
      <c r="X133" s="23">
        <f t="shared" si="10"/>
        <v>54166.666666666664</v>
      </c>
      <c r="Z133" s="23">
        <f>(ROUND(F133*'Depr and ADFIT'!$C$4/12,0))</f>
        <v>321104</v>
      </c>
      <c r="AB133" s="23">
        <f>F133*'Alloc. Factors and Property Tax'!$E$24*'Alloc. Factors and Property Tax'!$E$25*'Alloc. Factors and Property Tax'!$E$26/12</f>
        <v>2866.2285551405798</v>
      </c>
      <c r="AD133" s="23"/>
      <c r="AF133" s="23">
        <f t="shared" si="8"/>
        <v>510139.66453803913</v>
      </c>
      <c r="AH133" s="29">
        <f>'Alloc. Factors and Property Tax'!$C$18</f>
        <v>0.9604166666666667</v>
      </c>
      <c r="AJ133" s="33">
        <f t="shared" si="6"/>
        <v>489946.63615007512</v>
      </c>
    </row>
    <row r="134" spans="2:36" x14ac:dyDescent="0.2">
      <c r="B134" s="32" t="s">
        <v>16</v>
      </c>
      <c r="D134" s="3">
        <v>2036</v>
      </c>
      <c r="F134" s="263">
        <f>'Depr and ADFIT'!$C$1</f>
        <v>57798518.958269402</v>
      </c>
      <c r="G134" s="252"/>
      <c r="H134" s="26">
        <f>'Depr and ADFIT'!C132</f>
        <v>-40459104</v>
      </c>
      <c r="I134" s="252"/>
      <c r="J134" s="264">
        <f>'Depr and ADFIT'!J132</f>
        <v>1773953</v>
      </c>
      <c r="L134" s="269"/>
      <c r="M134" s="252"/>
      <c r="N134" s="26"/>
      <c r="O134" s="252"/>
      <c r="P134" s="264"/>
      <c r="R134" s="220">
        <f t="shared" si="9"/>
        <v>19113367.958269402</v>
      </c>
      <c r="T134" s="28">
        <f>WACC!$S$16</f>
        <v>8.1600000000000006E-2</v>
      </c>
      <c r="V134" s="22">
        <f t="shared" si="5"/>
        <v>129970.90211623196</v>
      </c>
      <c r="X134" s="23">
        <f t="shared" si="10"/>
        <v>54166.666666666664</v>
      </c>
      <c r="Z134" s="23">
        <f>(ROUND(F134*'Depr and ADFIT'!$C$4/12,0))</f>
        <v>321104</v>
      </c>
      <c r="AB134" s="23">
        <f>F134*'Alloc. Factors and Property Tax'!$E$24*'Alloc. Factors and Property Tax'!$E$25*'Alloc. Factors and Property Tax'!$E$26/12</f>
        <v>2866.2285551405798</v>
      </c>
      <c r="AD134" s="23"/>
      <c r="AF134" s="23">
        <f t="shared" si="8"/>
        <v>508107.79733803915</v>
      </c>
      <c r="AH134" s="29">
        <f>'Alloc. Factors and Property Tax'!$C$18</f>
        <v>0.9604166666666667</v>
      </c>
      <c r="AJ134" s="33">
        <f t="shared" si="6"/>
        <v>487995.19702674181</v>
      </c>
    </row>
    <row r="135" spans="2:36" x14ac:dyDescent="0.2">
      <c r="B135" s="32" t="s">
        <v>17</v>
      </c>
      <c r="D135" s="3">
        <v>2036</v>
      </c>
      <c r="F135" s="263">
        <f>'Depr and ADFIT'!$C$1</f>
        <v>57798518.958269402</v>
      </c>
      <c r="G135" s="252"/>
      <c r="H135" s="26">
        <f>'Depr and ADFIT'!C133</f>
        <v>-40780208</v>
      </c>
      <c r="I135" s="252"/>
      <c r="J135" s="264">
        <f>'Depr and ADFIT'!J133</f>
        <v>1796253</v>
      </c>
      <c r="L135" s="269"/>
      <c r="M135" s="252"/>
      <c r="N135" s="26"/>
      <c r="O135" s="252"/>
      <c r="P135" s="264"/>
      <c r="R135" s="220">
        <f t="shared" si="9"/>
        <v>18814563.958269402</v>
      </c>
      <c r="T135" s="28">
        <f>WACC!$S$16</f>
        <v>8.1600000000000006E-2</v>
      </c>
      <c r="V135" s="22">
        <f t="shared" ref="V135:V188" si="11">R135*T135/12</f>
        <v>127939.03491623195</v>
      </c>
      <c r="X135" s="23">
        <f t="shared" si="10"/>
        <v>54166.666666666664</v>
      </c>
      <c r="Z135" s="23">
        <f>(ROUND(F135*'Depr and ADFIT'!$C$4/12,0))</f>
        <v>321104</v>
      </c>
      <c r="AB135" s="23">
        <f>F135*'Alloc. Factors and Property Tax'!$E$24*'Alloc. Factors and Property Tax'!$E$25*'Alloc. Factors and Property Tax'!$E$26/12</f>
        <v>2866.2285551405798</v>
      </c>
      <c r="AD135" s="23"/>
      <c r="AF135" s="23">
        <f t="shared" si="8"/>
        <v>506075.93013803917</v>
      </c>
      <c r="AH135" s="29">
        <f>'Alloc. Factors and Property Tax'!$C$18</f>
        <v>0.9604166666666667</v>
      </c>
      <c r="AJ135" s="33">
        <f t="shared" ref="AJ135:AJ188" si="12">AF135*AH135</f>
        <v>486043.75790340849</v>
      </c>
    </row>
    <row r="136" spans="2:36" x14ac:dyDescent="0.2">
      <c r="B136" s="32" t="s">
        <v>18</v>
      </c>
      <c r="D136" s="3">
        <v>2036</v>
      </c>
      <c r="F136" s="263">
        <f>'Depr and ADFIT'!$C$1</f>
        <v>57798518.958269402</v>
      </c>
      <c r="G136" s="252"/>
      <c r="H136" s="26">
        <f>'Depr and ADFIT'!C134</f>
        <v>-41101312</v>
      </c>
      <c r="I136" s="252"/>
      <c r="J136" s="264">
        <f>'Depr and ADFIT'!J134</f>
        <v>1818553</v>
      </c>
      <c r="L136" s="269"/>
      <c r="M136" s="252"/>
      <c r="N136" s="26"/>
      <c r="O136" s="252"/>
      <c r="P136" s="264"/>
      <c r="R136" s="220">
        <f t="shared" si="9"/>
        <v>18515759.958269402</v>
      </c>
      <c r="T136" s="28">
        <f>WACC!$S$16</f>
        <v>8.1600000000000006E-2</v>
      </c>
      <c r="V136" s="22">
        <f t="shared" si="11"/>
        <v>125907.16771623195</v>
      </c>
      <c r="X136" s="23">
        <f t="shared" si="10"/>
        <v>54166.666666666664</v>
      </c>
      <c r="Z136" s="23">
        <f>(ROUND(F136*'Depr and ADFIT'!$C$4/12,0))</f>
        <v>321104</v>
      </c>
      <c r="AB136" s="23">
        <f>F136*'Alloc. Factors and Property Tax'!$E$24*'Alloc. Factors and Property Tax'!$E$25*'Alloc. Factors and Property Tax'!$E$26/12</f>
        <v>2866.2285551405798</v>
      </c>
      <c r="AD136" s="23"/>
      <c r="AF136" s="23">
        <f t="shared" si="8"/>
        <v>504044.06293803919</v>
      </c>
      <c r="AH136" s="29">
        <f>'Alloc. Factors and Property Tax'!$C$18</f>
        <v>0.9604166666666667</v>
      </c>
      <c r="AJ136" s="33">
        <f t="shared" si="12"/>
        <v>484092.31878007518</v>
      </c>
    </row>
    <row r="137" spans="2:36" x14ac:dyDescent="0.2">
      <c r="B137" s="32" t="s">
        <v>19</v>
      </c>
      <c r="D137" s="3">
        <v>2036</v>
      </c>
      <c r="F137" s="263">
        <f>'Depr and ADFIT'!$C$1</f>
        <v>57798518.958269402</v>
      </c>
      <c r="G137" s="252"/>
      <c r="H137" s="26">
        <f>'Depr and ADFIT'!C135</f>
        <v>-41422416</v>
      </c>
      <c r="I137" s="252"/>
      <c r="J137" s="264">
        <f>'Depr and ADFIT'!J135</f>
        <v>1840852</v>
      </c>
      <c r="L137" s="269"/>
      <c r="M137" s="252"/>
      <c r="N137" s="26"/>
      <c r="O137" s="252"/>
      <c r="P137" s="264"/>
      <c r="R137" s="220">
        <f t="shared" ref="R137:R168" si="13">SUM(F137:Q137)</f>
        <v>18216954.958269402</v>
      </c>
      <c r="T137" s="28">
        <f>WACC!$S$16</f>
        <v>8.1600000000000006E-2</v>
      </c>
      <c r="V137" s="22">
        <f t="shared" si="11"/>
        <v>123875.29371623194</v>
      </c>
      <c r="X137" s="23">
        <f t="shared" si="10"/>
        <v>54166.666666666664</v>
      </c>
      <c r="Z137" s="23">
        <f>(ROUND(F137*'Depr and ADFIT'!$C$4/12,0))</f>
        <v>321104</v>
      </c>
      <c r="AB137" s="23">
        <f>F137*'Alloc. Factors and Property Tax'!$E$24*'Alloc. Factors and Property Tax'!$E$25*'Alloc. Factors and Property Tax'!$E$26/12</f>
        <v>2866.2285551405798</v>
      </c>
      <c r="AD137" s="23"/>
      <c r="AF137" s="23">
        <f t="shared" si="8"/>
        <v>502012.18893803912</v>
      </c>
      <c r="AH137" s="29">
        <f>'Alloc. Factors and Property Tax'!$C$18</f>
        <v>0.9604166666666667</v>
      </c>
      <c r="AJ137" s="33">
        <f t="shared" si="12"/>
        <v>482140.87312590843</v>
      </c>
    </row>
    <row r="138" spans="2:36" x14ac:dyDescent="0.2">
      <c r="B138" s="32" t="s">
        <v>8</v>
      </c>
      <c r="D138" s="3">
        <v>2036</v>
      </c>
      <c r="F138" s="263">
        <f>'Depr and ADFIT'!$C$1</f>
        <v>57798518.958269402</v>
      </c>
      <c r="G138" s="252"/>
      <c r="H138" s="26">
        <f>'Depr and ADFIT'!C136</f>
        <v>-41743520</v>
      </c>
      <c r="I138" s="252"/>
      <c r="J138" s="264">
        <f>'Depr and ADFIT'!J136</f>
        <v>1863152</v>
      </c>
      <c r="L138" s="269"/>
      <c r="M138" s="252"/>
      <c r="N138" s="26"/>
      <c r="O138" s="252"/>
      <c r="P138" s="264"/>
      <c r="R138" s="220">
        <f t="shared" si="13"/>
        <v>17918150.958269402</v>
      </c>
      <c r="T138" s="28">
        <f>WACC!$S$16</f>
        <v>8.1600000000000006E-2</v>
      </c>
      <c r="V138" s="22">
        <f t="shared" si="11"/>
        <v>121843.42651623195</v>
      </c>
      <c r="X138" s="23">
        <f t="shared" si="10"/>
        <v>54166.666666666664</v>
      </c>
      <c r="Z138" s="23">
        <f>(ROUND(F138*'Depr and ADFIT'!$C$4/12,0))</f>
        <v>321104</v>
      </c>
      <c r="AB138" s="23">
        <f>F138*'Alloc. Factors and Property Tax'!$E$24*'Alloc. Factors and Property Tax'!$E$25*'Alloc. Factors and Property Tax'!$E$26/12</f>
        <v>2866.2285551405798</v>
      </c>
      <c r="AD138" s="23"/>
      <c r="AF138" s="23">
        <f t="shared" ref="AF138:AF188" si="14">SUM(V138:AD138)</f>
        <v>499980.32173803914</v>
      </c>
      <c r="AH138" s="29">
        <f>'Alloc. Factors and Property Tax'!$C$18</f>
        <v>0.9604166666666667</v>
      </c>
      <c r="AJ138" s="33">
        <f t="shared" si="12"/>
        <v>480189.43400257512</v>
      </c>
    </row>
    <row r="139" spans="2:36" x14ac:dyDescent="0.2">
      <c r="B139" s="32" t="s">
        <v>9</v>
      </c>
      <c r="D139" s="3">
        <v>2036</v>
      </c>
      <c r="F139" s="263">
        <f>'Depr and ADFIT'!$C$1</f>
        <v>57798518.958269402</v>
      </c>
      <c r="G139" s="252"/>
      <c r="H139" s="26">
        <f>'Depr and ADFIT'!C137</f>
        <v>-42064624</v>
      </c>
      <c r="I139" s="252"/>
      <c r="J139" s="264">
        <f>'Depr and ADFIT'!J137</f>
        <v>1885452</v>
      </c>
      <c r="L139" s="269"/>
      <c r="M139" s="252"/>
      <c r="N139" s="26"/>
      <c r="O139" s="252"/>
      <c r="P139" s="264"/>
      <c r="R139" s="220">
        <f t="shared" si="13"/>
        <v>17619346.958269402</v>
      </c>
      <c r="T139" s="28">
        <f>WACC!$S$16</f>
        <v>8.1600000000000006E-2</v>
      </c>
      <c r="V139" s="22">
        <f t="shared" si="11"/>
        <v>119811.55931623194</v>
      </c>
      <c r="X139" s="23">
        <f t="shared" si="10"/>
        <v>54166.666666666664</v>
      </c>
      <c r="Z139" s="23">
        <f>(ROUND(F139*'Depr and ADFIT'!$C$4/12,0))</f>
        <v>321104</v>
      </c>
      <c r="AB139" s="23">
        <f>F139*'Alloc. Factors and Property Tax'!$E$24*'Alloc. Factors and Property Tax'!$E$25*'Alloc. Factors and Property Tax'!$E$26/12</f>
        <v>2866.2285551405798</v>
      </c>
      <c r="AD139" s="23"/>
      <c r="AF139" s="23">
        <f t="shared" si="14"/>
        <v>497948.45453803916</v>
      </c>
      <c r="AH139" s="29">
        <f>'Alloc. Factors and Property Tax'!$C$18</f>
        <v>0.9604166666666667</v>
      </c>
      <c r="AJ139" s="33">
        <f t="shared" si="12"/>
        <v>478237.9948792418</v>
      </c>
    </row>
    <row r="140" spans="2:36" x14ac:dyDescent="0.2">
      <c r="B140" s="32" t="s">
        <v>10</v>
      </c>
      <c r="D140" s="3">
        <v>2036</v>
      </c>
      <c r="F140" s="263">
        <f>'Depr and ADFIT'!$C$1</f>
        <v>57798518.958269402</v>
      </c>
      <c r="G140" s="252"/>
      <c r="H140" s="26">
        <f>'Depr and ADFIT'!C138</f>
        <v>-42385728</v>
      </c>
      <c r="I140" s="252"/>
      <c r="J140" s="264">
        <f>'Depr and ADFIT'!J138</f>
        <v>1907752</v>
      </c>
      <c r="L140" s="269"/>
      <c r="M140" s="252"/>
      <c r="N140" s="26"/>
      <c r="O140" s="252"/>
      <c r="P140" s="264"/>
      <c r="R140" s="220">
        <f t="shared" si="13"/>
        <v>17320542.958269402</v>
      </c>
      <c r="T140" s="28">
        <f>WACC!$S$16</f>
        <v>8.1600000000000006E-2</v>
      </c>
      <c r="V140" s="22">
        <f t="shared" si="11"/>
        <v>117779.69211623195</v>
      </c>
      <c r="X140" s="23">
        <f t="shared" si="10"/>
        <v>54166.666666666664</v>
      </c>
      <c r="Z140" s="23">
        <f>(ROUND(F140*'Depr and ADFIT'!$C$4/12,0))</f>
        <v>321104</v>
      </c>
      <c r="AB140" s="23">
        <f>F140*'Alloc. Factors and Property Tax'!$E$24*'Alloc. Factors and Property Tax'!$E$25*'Alloc. Factors and Property Tax'!$E$26/12</f>
        <v>2866.2285551405798</v>
      </c>
      <c r="AD140" s="23"/>
      <c r="AF140" s="23">
        <f t="shared" si="14"/>
        <v>495916.58733803919</v>
      </c>
      <c r="AH140" s="29">
        <f>'Alloc. Factors and Property Tax'!$C$18</f>
        <v>0.9604166666666667</v>
      </c>
      <c r="AJ140" s="33">
        <f t="shared" si="12"/>
        <v>476286.55575590848</v>
      </c>
    </row>
    <row r="141" spans="2:36" x14ac:dyDescent="0.2">
      <c r="B141" s="32" t="s">
        <v>11</v>
      </c>
      <c r="D141" s="3">
        <v>2037</v>
      </c>
      <c r="F141" s="263">
        <f>'Depr and ADFIT'!$C$1</f>
        <v>57798518.958269402</v>
      </c>
      <c r="G141" s="252"/>
      <c r="H141" s="26">
        <f>'Depr and ADFIT'!C139</f>
        <v>-42706832</v>
      </c>
      <c r="I141" s="252"/>
      <c r="J141" s="264">
        <f>'Depr and ADFIT'!J139</f>
        <v>1930062</v>
      </c>
      <c r="L141" s="269"/>
      <c r="M141" s="252"/>
      <c r="N141" s="26"/>
      <c r="O141" s="252"/>
      <c r="P141" s="264"/>
      <c r="R141" s="220">
        <f t="shared" si="13"/>
        <v>17021748.958269402</v>
      </c>
      <c r="T141" s="28">
        <f>WACC!$S$16</f>
        <v>8.1600000000000006E-2</v>
      </c>
      <c r="V141" s="22">
        <f t="shared" si="11"/>
        <v>115747.89291623194</v>
      </c>
      <c r="X141" s="23">
        <f t="shared" si="10"/>
        <v>54166.666666666664</v>
      </c>
      <c r="Z141" s="23">
        <f>(ROUND(F141*'Depr and ADFIT'!$C$4/12,0))</f>
        <v>321104</v>
      </c>
      <c r="AB141" s="23">
        <f>F141*'Alloc. Factors and Property Tax'!$E$24*'Alloc. Factors and Property Tax'!$E$25*'Alloc. Factors and Property Tax'!$E$26/12</f>
        <v>2866.2285551405798</v>
      </c>
      <c r="AD141" s="23"/>
      <c r="AF141" s="23">
        <f t="shared" si="14"/>
        <v>493884.78813803918</v>
      </c>
      <c r="AH141" s="29">
        <f>'Alloc. Factors and Property Tax'!$C$18</f>
        <v>0.9604166666666667</v>
      </c>
      <c r="AJ141" s="33">
        <f t="shared" si="12"/>
        <v>474335.18194090849</v>
      </c>
    </row>
    <row r="142" spans="2:36" x14ac:dyDescent="0.2">
      <c r="B142" s="32" t="s">
        <v>12</v>
      </c>
      <c r="D142" s="3">
        <v>2037</v>
      </c>
      <c r="F142" s="263">
        <f>'Depr and ADFIT'!$C$1</f>
        <v>57798518.958269402</v>
      </c>
      <c r="G142" s="252"/>
      <c r="H142" s="26">
        <f>'Depr and ADFIT'!C140</f>
        <v>-43027936</v>
      </c>
      <c r="I142" s="252"/>
      <c r="J142" s="264">
        <f>'Depr and ADFIT'!J140</f>
        <v>1952372</v>
      </c>
      <c r="L142" s="269"/>
      <c r="M142" s="252"/>
      <c r="N142" s="26"/>
      <c r="O142" s="252"/>
      <c r="P142" s="264"/>
      <c r="R142" s="220">
        <f t="shared" si="13"/>
        <v>16722954.958269402</v>
      </c>
      <c r="T142" s="28">
        <f>WACC!$S$16</f>
        <v>8.1600000000000006E-2</v>
      </c>
      <c r="V142" s="22">
        <f t="shared" si="11"/>
        <v>113716.09371623195</v>
      </c>
      <c r="X142" s="23">
        <f t="shared" si="10"/>
        <v>54166.666666666664</v>
      </c>
      <c r="Z142" s="23">
        <f>(ROUND(F142*'Depr and ADFIT'!$C$4/12,0))</f>
        <v>321104</v>
      </c>
      <c r="AB142" s="23">
        <f>F142*'Alloc. Factors and Property Tax'!$E$24*'Alloc. Factors and Property Tax'!$E$25*'Alloc. Factors and Property Tax'!$E$26/12</f>
        <v>2866.2285551405798</v>
      </c>
      <c r="AD142" s="23"/>
      <c r="AF142" s="23">
        <f t="shared" si="14"/>
        <v>491852.98893803917</v>
      </c>
      <c r="AH142" s="29">
        <f>'Alloc. Factors and Property Tax'!$C$18</f>
        <v>0.9604166666666667</v>
      </c>
      <c r="AJ142" s="33">
        <f t="shared" si="12"/>
        <v>472383.80812590849</v>
      </c>
    </row>
    <row r="143" spans="2:36" x14ac:dyDescent="0.2">
      <c r="B143" s="32" t="s">
        <v>13</v>
      </c>
      <c r="D143" s="3">
        <v>2037</v>
      </c>
      <c r="F143" s="263">
        <f>'Depr and ADFIT'!$C$1</f>
        <v>57798518.958269402</v>
      </c>
      <c r="G143" s="252"/>
      <c r="H143" s="26">
        <f>'Depr and ADFIT'!C141</f>
        <v>-43349040</v>
      </c>
      <c r="I143" s="252"/>
      <c r="J143" s="264">
        <f>'Depr and ADFIT'!J141</f>
        <v>1974682</v>
      </c>
      <c r="L143" s="269"/>
      <c r="M143" s="252"/>
      <c r="N143" s="26"/>
      <c r="O143" s="252"/>
      <c r="P143" s="264"/>
      <c r="R143" s="220">
        <f t="shared" si="13"/>
        <v>16424160.958269402</v>
      </c>
      <c r="T143" s="28">
        <f>WACC!$S$16</f>
        <v>8.1600000000000006E-2</v>
      </c>
      <c r="V143" s="22">
        <f t="shared" si="11"/>
        <v>111684.29451623194</v>
      </c>
      <c r="X143" s="23">
        <f t="shared" si="10"/>
        <v>54166.666666666664</v>
      </c>
      <c r="Z143" s="23">
        <f>(ROUND(F143*'Depr and ADFIT'!$C$4/12,0))</f>
        <v>321104</v>
      </c>
      <c r="AB143" s="23">
        <f>F143*'Alloc. Factors and Property Tax'!$E$24*'Alloc. Factors and Property Tax'!$E$25*'Alloc. Factors and Property Tax'!$E$26/12</f>
        <v>2866.2285551405798</v>
      </c>
      <c r="AD143" s="23"/>
      <c r="AF143" s="23">
        <f t="shared" si="14"/>
        <v>489821.18973803916</v>
      </c>
      <c r="AH143" s="29">
        <f>'Alloc. Factors and Property Tax'!$C$18</f>
        <v>0.9604166666666667</v>
      </c>
      <c r="AJ143" s="33">
        <f t="shared" si="12"/>
        <v>470432.43431090843</v>
      </c>
    </row>
    <row r="144" spans="2:36" x14ac:dyDescent="0.2">
      <c r="B144" s="32" t="s">
        <v>14</v>
      </c>
      <c r="D144" s="3">
        <v>2037</v>
      </c>
      <c r="F144" s="263">
        <f>'Depr and ADFIT'!$C$1</f>
        <v>57798518.958269402</v>
      </c>
      <c r="G144" s="252"/>
      <c r="H144" s="26">
        <f>'Depr and ADFIT'!C142</f>
        <v>-43670144</v>
      </c>
      <c r="I144" s="252"/>
      <c r="J144" s="264">
        <f>'Depr and ADFIT'!J142</f>
        <v>1996992</v>
      </c>
      <c r="L144" s="269"/>
      <c r="M144" s="252"/>
      <c r="N144" s="26"/>
      <c r="O144" s="252"/>
      <c r="P144" s="264"/>
      <c r="R144" s="220">
        <f t="shared" si="13"/>
        <v>16125366.958269402</v>
      </c>
      <c r="T144" s="28">
        <f>WACC!$S$16</f>
        <v>8.1600000000000006E-2</v>
      </c>
      <c r="V144" s="22">
        <f t="shared" si="11"/>
        <v>109652.49531623196</v>
      </c>
      <c r="X144" s="23">
        <f t="shared" si="10"/>
        <v>54166.666666666664</v>
      </c>
      <c r="Z144" s="23">
        <f>(ROUND(F144*'Depr and ADFIT'!$C$4/12,0))</f>
        <v>321104</v>
      </c>
      <c r="AB144" s="23">
        <f>F144*'Alloc. Factors and Property Tax'!$E$24*'Alloc. Factors and Property Tax'!$E$25*'Alloc. Factors and Property Tax'!$E$26/12</f>
        <v>2866.2285551405798</v>
      </c>
      <c r="AD144" s="23"/>
      <c r="AF144" s="23">
        <f t="shared" si="14"/>
        <v>487789.39053803915</v>
      </c>
      <c r="AH144" s="29">
        <f>'Alloc. Factors and Property Tax'!$C$18</f>
        <v>0.9604166666666667</v>
      </c>
      <c r="AJ144" s="33">
        <f t="shared" si="12"/>
        <v>468481.06049590843</v>
      </c>
    </row>
    <row r="145" spans="2:36" x14ac:dyDescent="0.2">
      <c r="B145" s="32" t="s">
        <v>15</v>
      </c>
      <c r="D145" s="3">
        <v>2037</v>
      </c>
      <c r="F145" s="263">
        <f>'Depr and ADFIT'!$C$1</f>
        <v>57798518.958269402</v>
      </c>
      <c r="G145" s="252"/>
      <c r="H145" s="26">
        <f>'Depr and ADFIT'!C143</f>
        <v>-43991248</v>
      </c>
      <c r="I145" s="252"/>
      <c r="J145" s="264">
        <f>'Depr and ADFIT'!J143</f>
        <v>2019302</v>
      </c>
      <c r="L145" s="269"/>
      <c r="M145" s="252"/>
      <c r="N145" s="26"/>
      <c r="O145" s="252"/>
      <c r="P145" s="264"/>
      <c r="R145" s="220">
        <f t="shared" si="13"/>
        <v>15826572.958269402</v>
      </c>
      <c r="T145" s="28">
        <f>WACC!$S$16</f>
        <v>8.1600000000000006E-2</v>
      </c>
      <c r="V145" s="22">
        <f t="shared" si="11"/>
        <v>107620.69611623195</v>
      </c>
      <c r="X145" s="23">
        <f t="shared" si="10"/>
        <v>54166.666666666664</v>
      </c>
      <c r="Z145" s="23">
        <f>(ROUND(F145*'Depr and ADFIT'!$C$4/12,0))</f>
        <v>321104</v>
      </c>
      <c r="AB145" s="23">
        <f>F145*'Alloc. Factors and Property Tax'!$E$24*'Alloc. Factors and Property Tax'!$E$25*'Alloc. Factors and Property Tax'!$E$26/12</f>
        <v>2866.2285551405798</v>
      </c>
      <c r="AD145" s="23"/>
      <c r="AF145" s="23">
        <f t="shared" si="14"/>
        <v>485757.59133803914</v>
      </c>
      <c r="AH145" s="29">
        <f>'Alloc. Factors and Property Tax'!$C$18</f>
        <v>0.9604166666666667</v>
      </c>
      <c r="AJ145" s="33">
        <f t="shared" si="12"/>
        <v>466529.68668090843</v>
      </c>
    </row>
    <row r="146" spans="2:36" x14ac:dyDescent="0.2">
      <c r="B146" s="32" t="s">
        <v>16</v>
      </c>
      <c r="D146" s="3">
        <v>2037</v>
      </c>
      <c r="F146" s="263">
        <f>'Depr and ADFIT'!$C$1</f>
        <v>57798518.958269402</v>
      </c>
      <c r="G146" s="252"/>
      <c r="H146" s="26">
        <f>'Depr and ADFIT'!C144</f>
        <v>-44312352</v>
      </c>
      <c r="I146" s="252"/>
      <c r="J146" s="264">
        <f>'Depr and ADFIT'!J144</f>
        <v>2041612</v>
      </c>
      <c r="L146" s="269"/>
      <c r="M146" s="252"/>
      <c r="N146" s="26"/>
      <c r="O146" s="252"/>
      <c r="P146" s="264"/>
      <c r="R146" s="220">
        <f t="shared" si="13"/>
        <v>15527778.958269402</v>
      </c>
      <c r="T146" s="28">
        <f>WACC!$S$16</f>
        <v>8.1600000000000006E-2</v>
      </c>
      <c r="V146" s="22">
        <f t="shared" si="11"/>
        <v>105588.89691623194</v>
      </c>
      <c r="X146" s="23">
        <f t="shared" si="10"/>
        <v>54166.666666666664</v>
      </c>
      <c r="Z146" s="23">
        <f>(ROUND(F146*'Depr and ADFIT'!$C$4/12,0))</f>
        <v>321104</v>
      </c>
      <c r="AB146" s="23">
        <f>F146*'Alloc. Factors and Property Tax'!$E$24*'Alloc. Factors and Property Tax'!$E$25*'Alloc. Factors and Property Tax'!$E$26/12</f>
        <v>2866.2285551405798</v>
      </c>
      <c r="AD146" s="23"/>
      <c r="AF146" s="23">
        <f t="shared" si="14"/>
        <v>483725.79213803913</v>
      </c>
      <c r="AH146" s="29">
        <f>'Alloc. Factors and Property Tax'!$C$18</f>
        <v>0.9604166666666667</v>
      </c>
      <c r="AJ146" s="33">
        <f t="shared" si="12"/>
        <v>464578.31286590843</v>
      </c>
    </row>
    <row r="147" spans="2:36" x14ac:dyDescent="0.2">
      <c r="B147" s="32" t="s">
        <v>17</v>
      </c>
      <c r="D147" s="3">
        <v>2037</v>
      </c>
      <c r="F147" s="263">
        <f>'Depr and ADFIT'!$C$1</f>
        <v>57798518.958269402</v>
      </c>
      <c r="G147" s="252"/>
      <c r="H147" s="26">
        <f>'Depr and ADFIT'!C145</f>
        <v>-44633456</v>
      </c>
      <c r="I147" s="252"/>
      <c r="J147" s="264">
        <f>'Depr and ADFIT'!J145</f>
        <v>2063922</v>
      </c>
      <c r="L147" s="269"/>
      <c r="M147" s="252"/>
      <c r="N147" s="26"/>
      <c r="O147" s="252"/>
      <c r="P147" s="264"/>
      <c r="R147" s="220">
        <f t="shared" si="13"/>
        <v>15228984.958269402</v>
      </c>
      <c r="T147" s="28">
        <f>WACC!$S$16</f>
        <v>8.1600000000000006E-2</v>
      </c>
      <c r="V147" s="22">
        <f t="shared" si="11"/>
        <v>103557.09771623195</v>
      </c>
      <c r="X147" s="23">
        <f t="shared" si="10"/>
        <v>54166.666666666664</v>
      </c>
      <c r="Z147" s="23">
        <f>(ROUND(F147*'Depr and ADFIT'!$C$4/12,0))</f>
        <v>321104</v>
      </c>
      <c r="AB147" s="23">
        <f>F147*'Alloc. Factors and Property Tax'!$E$24*'Alloc. Factors and Property Tax'!$E$25*'Alloc. Factors and Property Tax'!$E$26/12</f>
        <v>2866.2285551405798</v>
      </c>
      <c r="AD147" s="23"/>
      <c r="AF147" s="23">
        <f t="shared" si="14"/>
        <v>481693.99293803913</v>
      </c>
      <c r="AH147" s="29">
        <f>'Alloc. Factors and Property Tax'!$C$18</f>
        <v>0.9604166666666667</v>
      </c>
      <c r="AJ147" s="33">
        <f t="shared" si="12"/>
        <v>462626.93905090843</v>
      </c>
    </row>
    <row r="148" spans="2:36" x14ac:dyDescent="0.2">
      <c r="B148" s="32" t="s">
        <v>18</v>
      </c>
      <c r="D148" s="3">
        <v>2037</v>
      </c>
      <c r="F148" s="263">
        <f>'Depr and ADFIT'!$C$1</f>
        <v>57798518.958269402</v>
      </c>
      <c r="G148" s="252"/>
      <c r="H148" s="26">
        <f>'Depr and ADFIT'!C146</f>
        <v>-44954560</v>
      </c>
      <c r="I148" s="252"/>
      <c r="J148" s="264">
        <f>'Depr and ADFIT'!J146</f>
        <v>2086232</v>
      </c>
      <c r="L148" s="269"/>
      <c r="M148" s="252"/>
      <c r="N148" s="26"/>
      <c r="O148" s="252"/>
      <c r="P148" s="264"/>
      <c r="R148" s="220">
        <f t="shared" si="13"/>
        <v>14930190.958269402</v>
      </c>
      <c r="T148" s="28">
        <f>WACC!$S$16</f>
        <v>8.1600000000000006E-2</v>
      </c>
      <c r="V148" s="22">
        <f t="shared" si="11"/>
        <v>101525.29851623194</v>
      </c>
      <c r="X148" s="23">
        <f t="shared" si="10"/>
        <v>54166.666666666664</v>
      </c>
      <c r="Z148" s="23">
        <f>(ROUND(F148*'Depr and ADFIT'!$C$4/12,0))</f>
        <v>321104</v>
      </c>
      <c r="AB148" s="23">
        <f>F148*'Alloc. Factors and Property Tax'!$E$24*'Alloc. Factors and Property Tax'!$E$25*'Alloc. Factors and Property Tax'!$E$26/12</f>
        <v>2866.2285551405798</v>
      </c>
      <c r="AD148" s="23"/>
      <c r="AF148" s="23">
        <f t="shared" si="14"/>
        <v>479662.19373803912</v>
      </c>
      <c r="AH148" s="29">
        <f>'Alloc. Factors and Property Tax'!$C$18</f>
        <v>0.9604166666666667</v>
      </c>
      <c r="AJ148" s="33">
        <f t="shared" si="12"/>
        <v>460675.56523590843</v>
      </c>
    </row>
    <row r="149" spans="2:36" x14ac:dyDescent="0.2">
      <c r="B149" s="32" t="s">
        <v>19</v>
      </c>
      <c r="D149" s="3">
        <v>2037</v>
      </c>
      <c r="F149" s="263">
        <f>'Depr and ADFIT'!$C$1</f>
        <v>57798518.958269402</v>
      </c>
      <c r="G149" s="252"/>
      <c r="H149" s="26">
        <f>'Depr and ADFIT'!C147</f>
        <v>-45275664</v>
      </c>
      <c r="I149" s="252"/>
      <c r="J149" s="264">
        <f>'Depr and ADFIT'!J147</f>
        <v>2108542</v>
      </c>
      <c r="L149" s="269"/>
      <c r="M149" s="252"/>
      <c r="N149" s="26"/>
      <c r="O149" s="252"/>
      <c r="P149" s="264"/>
      <c r="R149" s="220">
        <f t="shared" si="13"/>
        <v>14631396.958269402</v>
      </c>
      <c r="T149" s="28">
        <f>WACC!$S$16</f>
        <v>8.1600000000000006E-2</v>
      </c>
      <c r="V149" s="22">
        <f t="shared" si="11"/>
        <v>99493.499316231944</v>
      </c>
      <c r="X149" s="23">
        <f t="shared" si="10"/>
        <v>54166.666666666664</v>
      </c>
      <c r="Z149" s="23">
        <f>(ROUND(F149*'Depr and ADFIT'!$C$4/12,0))</f>
        <v>321104</v>
      </c>
      <c r="AB149" s="23">
        <f>F149*'Alloc. Factors and Property Tax'!$E$24*'Alloc. Factors and Property Tax'!$E$25*'Alloc. Factors and Property Tax'!$E$26/12</f>
        <v>2866.2285551405798</v>
      </c>
      <c r="AD149" s="23"/>
      <c r="AF149" s="23">
        <f t="shared" si="14"/>
        <v>477630.39453803917</v>
      </c>
      <c r="AH149" s="29">
        <f>'Alloc. Factors and Property Tax'!$C$18</f>
        <v>0.9604166666666667</v>
      </c>
      <c r="AJ149" s="33">
        <f t="shared" si="12"/>
        <v>458724.19142090844</v>
      </c>
    </row>
    <row r="150" spans="2:36" x14ac:dyDescent="0.2">
      <c r="B150" s="32" t="s">
        <v>8</v>
      </c>
      <c r="D150" s="3">
        <v>2037</v>
      </c>
      <c r="F150" s="263">
        <f>'Depr and ADFIT'!$C$1</f>
        <v>57798518.958269402</v>
      </c>
      <c r="G150" s="252"/>
      <c r="H150" s="26">
        <f>'Depr and ADFIT'!C148</f>
        <v>-45596768</v>
      </c>
      <c r="I150" s="252"/>
      <c r="J150" s="264">
        <f>'Depr and ADFIT'!J148</f>
        <v>2130852</v>
      </c>
      <c r="L150" s="269"/>
      <c r="M150" s="252"/>
      <c r="N150" s="26"/>
      <c r="O150" s="252"/>
      <c r="P150" s="264"/>
      <c r="R150" s="220">
        <f t="shared" si="13"/>
        <v>14332602.958269402</v>
      </c>
      <c r="T150" s="28">
        <f>WACC!$S$16</f>
        <v>8.1600000000000006E-2</v>
      </c>
      <c r="V150" s="22">
        <f t="shared" si="11"/>
        <v>97461.700116231936</v>
      </c>
      <c r="X150" s="23">
        <f t="shared" si="10"/>
        <v>54166.666666666664</v>
      </c>
      <c r="Z150" s="23">
        <f>(ROUND(F150*'Depr and ADFIT'!$C$4/12,0))</f>
        <v>321104</v>
      </c>
      <c r="AB150" s="23">
        <f>F150*'Alloc. Factors and Property Tax'!$E$24*'Alloc. Factors and Property Tax'!$E$25*'Alloc. Factors and Property Tax'!$E$26/12</f>
        <v>2866.2285551405798</v>
      </c>
      <c r="AD150" s="23"/>
      <c r="AF150" s="23">
        <f t="shared" si="14"/>
        <v>475598.59533803916</v>
      </c>
      <c r="AH150" s="29">
        <f>'Alloc. Factors and Property Tax'!$C$18</f>
        <v>0.9604166666666667</v>
      </c>
      <c r="AJ150" s="33">
        <f t="shared" si="12"/>
        <v>456772.81760590844</v>
      </c>
    </row>
    <row r="151" spans="2:36" x14ac:dyDescent="0.2">
      <c r="B151" s="32" t="s">
        <v>9</v>
      </c>
      <c r="D151" s="3">
        <v>2037</v>
      </c>
      <c r="F151" s="263">
        <f>'Depr and ADFIT'!$C$1</f>
        <v>57798518.958269402</v>
      </c>
      <c r="G151" s="252"/>
      <c r="H151" s="26">
        <f>'Depr and ADFIT'!C149</f>
        <v>-45917872</v>
      </c>
      <c r="I151" s="252"/>
      <c r="J151" s="264">
        <f>'Depr and ADFIT'!J149</f>
        <v>2153162</v>
      </c>
      <c r="L151" s="269"/>
      <c r="M151" s="252"/>
      <c r="N151" s="26"/>
      <c r="O151" s="252"/>
      <c r="P151" s="264"/>
      <c r="R151" s="220">
        <f t="shared" si="13"/>
        <v>14033808.958269402</v>
      </c>
      <c r="T151" s="28">
        <f>WACC!$S$16</f>
        <v>8.1600000000000006E-2</v>
      </c>
      <c r="V151" s="22">
        <f t="shared" si="11"/>
        <v>95429.900916231956</v>
      </c>
      <c r="X151" s="23">
        <f t="shared" si="10"/>
        <v>54166.666666666664</v>
      </c>
      <c r="Z151" s="23">
        <f>(ROUND(F151*'Depr and ADFIT'!$C$4/12,0))</f>
        <v>321104</v>
      </c>
      <c r="AB151" s="23">
        <f>F151*'Alloc. Factors and Property Tax'!$E$24*'Alloc. Factors and Property Tax'!$E$25*'Alloc. Factors and Property Tax'!$E$26/12</f>
        <v>2866.2285551405798</v>
      </c>
      <c r="AD151" s="23"/>
      <c r="AF151" s="23">
        <f t="shared" si="14"/>
        <v>473566.79613803921</v>
      </c>
      <c r="AH151" s="29">
        <f>'Alloc. Factors and Property Tax'!$C$18</f>
        <v>0.9604166666666667</v>
      </c>
      <c r="AJ151" s="33">
        <f t="shared" si="12"/>
        <v>454821.4437909085</v>
      </c>
    </row>
    <row r="152" spans="2:36" x14ac:dyDescent="0.2">
      <c r="B152" s="32" t="s">
        <v>10</v>
      </c>
      <c r="D152" s="3">
        <v>2037</v>
      </c>
      <c r="F152" s="263">
        <f>'Depr and ADFIT'!$C$1</f>
        <v>57798518.958269402</v>
      </c>
      <c r="G152" s="252"/>
      <c r="H152" s="26">
        <f>'Depr and ADFIT'!C150</f>
        <v>-46238976</v>
      </c>
      <c r="I152" s="252"/>
      <c r="J152" s="264">
        <f>'Depr and ADFIT'!J150</f>
        <v>2175472</v>
      </c>
      <c r="L152" s="269"/>
      <c r="M152" s="252"/>
      <c r="N152" s="26"/>
      <c r="O152" s="252"/>
      <c r="P152" s="264"/>
      <c r="R152" s="220">
        <f t="shared" si="13"/>
        <v>13735014.958269402</v>
      </c>
      <c r="T152" s="28">
        <f>WACC!$S$16</f>
        <v>8.1600000000000006E-2</v>
      </c>
      <c r="V152" s="22">
        <f t="shared" si="11"/>
        <v>93398.101716231948</v>
      </c>
      <c r="X152" s="23">
        <f t="shared" si="10"/>
        <v>54166.666666666664</v>
      </c>
      <c r="Z152" s="23">
        <f>(ROUND(F152*'Depr and ADFIT'!$C$4/12,0))</f>
        <v>321104</v>
      </c>
      <c r="AB152" s="23">
        <f>F152*'Alloc. Factors and Property Tax'!$E$24*'Alloc. Factors and Property Tax'!$E$25*'Alloc. Factors and Property Tax'!$E$26/12</f>
        <v>2866.2285551405798</v>
      </c>
      <c r="AD152" s="23"/>
      <c r="AF152" s="23">
        <f t="shared" si="14"/>
        <v>471534.9969380392</v>
      </c>
      <c r="AH152" s="29">
        <f>'Alloc. Factors and Property Tax'!$C$18</f>
        <v>0.9604166666666667</v>
      </c>
      <c r="AJ152" s="33">
        <f t="shared" si="12"/>
        <v>452870.0699759085</v>
      </c>
    </row>
    <row r="153" spans="2:36" x14ac:dyDescent="0.2">
      <c r="B153" s="32" t="s">
        <v>11</v>
      </c>
      <c r="D153" s="3">
        <v>2038</v>
      </c>
      <c r="F153" s="263">
        <f>'Depr and ADFIT'!$C$1</f>
        <v>57798518.958269402</v>
      </c>
      <c r="G153" s="252"/>
      <c r="H153" s="26">
        <f>'Depr and ADFIT'!C151</f>
        <v>-46560080</v>
      </c>
      <c r="I153" s="252"/>
      <c r="J153" s="264">
        <f>'Depr and ADFIT'!J151</f>
        <v>2197772</v>
      </c>
      <c r="L153" s="269"/>
      <c r="M153" s="252"/>
      <c r="N153" s="26"/>
      <c r="O153" s="252"/>
      <c r="P153" s="264"/>
      <c r="R153" s="220">
        <f t="shared" si="13"/>
        <v>13436210.958269402</v>
      </c>
      <c r="T153" s="28">
        <f>WACC!$S$16</f>
        <v>8.1600000000000006E-2</v>
      </c>
      <c r="V153" s="22">
        <f t="shared" si="11"/>
        <v>91366.23451623194</v>
      </c>
      <c r="X153" s="23">
        <f t="shared" si="10"/>
        <v>54166.666666666664</v>
      </c>
      <c r="Z153" s="23">
        <f>(ROUND(F153*'Depr and ADFIT'!$C$4/12,0))</f>
        <v>321104</v>
      </c>
      <c r="AB153" s="23">
        <f>F153*'Alloc. Factors and Property Tax'!$E$24*'Alloc. Factors and Property Tax'!$E$25*'Alloc. Factors and Property Tax'!$E$26/12</f>
        <v>2866.2285551405798</v>
      </c>
      <c r="AD153" s="23"/>
      <c r="AF153" s="23">
        <f t="shared" si="14"/>
        <v>469503.12973803916</v>
      </c>
      <c r="AH153" s="29">
        <f>'Alloc. Factors and Property Tax'!$C$18</f>
        <v>0.9604166666666667</v>
      </c>
      <c r="AJ153" s="33">
        <f t="shared" si="12"/>
        <v>450918.63085257512</v>
      </c>
    </row>
    <row r="154" spans="2:36" x14ac:dyDescent="0.2">
      <c r="B154" s="32" t="s">
        <v>12</v>
      </c>
      <c r="D154" s="3">
        <v>2038</v>
      </c>
      <c r="F154" s="263">
        <f>'Depr and ADFIT'!$C$1</f>
        <v>57798518.958269402</v>
      </c>
      <c r="G154" s="252"/>
      <c r="H154" s="26">
        <f>'Depr and ADFIT'!C152</f>
        <v>-46881184</v>
      </c>
      <c r="I154" s="252"/>
      <c r="J154" s="264">
        <f>'Depr and ADFIT'!J152</f>
        <v>2220072</v>
      </c>
      <c r="L154" s="269"/>
      <c r="M154" s="252"/>
      <c r="N154" s="26"/>
      <c r="O154" s="252"/>
      <c r="P154" s="264"/>
      <c r="R154" s="220">
        <f t="shared" si="13"/>
        <v>13137406.958269402</v>
      </c>
      <c r="T154" s="28">
        <f>WACC!$S$16</f>
        <v>8.1600000000000006E-2</v>
      </c>
      <c r="V154" s="22">
        <f t="shared" si="11"/>
        <v>89334.367316231946</v>
      </c>
      <c r="X154" s="23">
        <f t="shared" si="10"/>
        <v>54166.666666666664</v>
      </c>
      <c r="Z154" s="23">
        <f>(ROUND(F154*'Depr and ADFIT'!$C$4/12,0))</f>
        <v>321104</v>
      </c>
      <c r="AB154" s="23">
        <f>F154*'Alloc. Factors and Property Tax'!$E$24*'Alloc. Factors and Property Tax'!$E$25*'Alloc. Factors and Property Tax'!$E$26/12</f>
        <v>2866.2285551405798</v>
      </c>
      <c r="AD154" s="23"/>
      <c r="AF154" s="23">
        <f t="shared" si="14"/>
        <v>467471.26253803913</v>
      </c>
      <c r="AH154" s="29">
        <f>'Alloc. Factors and Property Tax'!$C$18</f>
        <v>0.9604166666666667</v>
      </c>
      <c r="AJ154" s="33">
        <f t="shared" si="12"/>
        <v>448967.19172924175</v>
      </c>
    </row>
    <row r="155" spans="2:36" x14ac:dyDescent="0.2">
      <c r="B155" s="32" t="s">
        <v>13</v>
      </c>
      <c r="D155" s="3">
        <v>2038</v>
      </c>
      <c r="F155" s="263">
        <f>'Depr and ADFIT'!$C$1</f>
        <v>57798518.958269402</v>
      </c>
      <c r="G155" s="252"/>
      <c r="H155" s="26">
        <f>'Depr and ADFIT'!C153</f>
        <v>-47202288</v>
      </c>
      <c r="I155" s="252"/>
      <c r="J155" s="264">
        <f>'Depr and ADFIT'!J153</f>
        <v>2242371</v>
      </c>
      <c r="L155" s="269"/>
      <c r="M155" s="252"/>
      <c r="N155" s="26"/>
      <c r="O155" s="252"/>
      <c r="P155" s="264"/>
      <c r="R155" s="220">
        <f t="shared" si="13"/>
        <v>12838601.958269402</v>
      </c>
      <c r="T155" s="28">
        <f>WACC!$S$16</f>
        <v>8.1600000000000006E-2</v>
      </c>
      <c r="V155" s="22">
        <f t="shared" si="11"/>
        <v>87302.49331623195</v>
      </c>
      <c r="X155" s="23">
        <f t="shared" si="10"/>
        <v>54166.666666666664</v>
      </c>
      <c r="Z155" s="23">
        <f>(ROUND(F155*'Depr and ADFIT'!$C$4/12,0))</f>
        <v>321104</v>
      </c>
      <c r="AB155" s="23">
        <f>F155*'Alloc. Factors and Property Tax'!$E$24*'Alloc. Factors and Property Tax'!$E$25*'Alloc. Factors and Property Tax'!$E$26/12</f>
        <v>2866.2285551405798</v>
      </c>
      <c r="AD155" s="23"/>
      <c r="AF155" s="23">
        <f t="shared" si="14"/>
        <v>465439.38853803917</v>
      </c>
      <c r="AH155" s="29">
        <f>'Alloc. Factors and Property Tax'!$C$18</f>
        <v>0.9604166666666667</v>
      </c>
      <c r="AJ155" s="33">
        <f t="shared" si="12"/>
        <v>447015.74607507512</v>
      </c>
    </row>
    <row r="156" spans="2:36" x14ac:dyDescent="0.2">
      <c r="B156" s="32" t="s">
        <v>14</v>
      </c>
      <c r="D156" s="3">
        <v>2038</v>
      </c>
      <c r="F156" s="263">
        <f>'Depr and ADFIT'!$C$1</f>
        <v>57798518.958269402</v>
      </c>
      <c r="G156" s="252"/>
      <c r="H156" s="26">
        <f>'Depr and ADFIT'!C154</f>
        <v>-47523392</v>
      </c>
      <c r="I156" s="252"/>
      <c r="J156" s="264">
        <f>'Depr and ADFIT'!J154</f>
        <v>2264671</v>
      </c>
      <c r="L156" s="269"/>
      <c r="M156" s="252"/>
      <c r="N156" s="26"/>
      <c r="O156" s="252"/>
      <c r="P156" s="264"/>
      <c r="R156" s="220">
        <f t="shared" si="13"/>
        <v>12539797.958269402</v>
      </c>
      <c r="T156" s="28">
        <f>WACC!$S$16</f>
        <v>8.1600000000000006E-2</v>
      </c>
      <c r="V156" s="22">
        <f t="shared" si="11"/>
        <v>85270.626116231942</v>
      </c>
      <c r="X156" s="23">
        <f t="shared" si="10"/>
        <v>54166.666666666664</v>
      </c>
      <c r="Z156" s="23">
        <f>(ROUND(F156*'Depr and ADFIT'!$C$4/12,0))</f>
        <v>321104</v>
      </c>
      <c r="AB156" s="23">
        <f>F156*'Alloc. Factors and Property Tax'!$E$24*'Alloc. Factors and Property Tax'!$E$25*'Alloc. Factors and Property Tax'!$E$26/12</f>
        <v>2866.2285551405798</v>
      </c>
      <c r="AD156" s="23"/>
      <c r="AF156" s="23">
        <f t="shared" si="14"/>
        <v>463407.52133803919</v>
      </c>
      <c r="AH156" s="29">
        <f>'Alloc. Factors and Property Tax'!$C$18</f>
        <v>0.9604166666666667</v>
      </c>
      <c r="AJ156" s="33">
        <f t="shared" si="12"/>
        <v>445064.3069517418</v>
      </c>
    </row>
    <row r="157" spans="2:36" x14ac:dyDescent="0.2">
      <c r="B157" s="32" t="s">
        <v>15</v>
      </c>
      <c r="D157" s="3">
        <v>2038</v>
      </c>
      <c r="F157" s="263">
        <f>'Depr and ADFIT'!$C$1</f>
        <v>57798518.958269402</v>
      </c>
      <c r="G157" s="252"/>
      <c r="H157" s="26">
        <f>'Depr and ADFIT'!C155</f>
        <v>-47844496</v>
      </c>
      <c r="I157" s="252"/>
      <c r="J157" s="264">
        <f>'Depr and ADFIT'!J155</f>
        <v>2286971</v>
      </c>
      <c r="L157" s="269"/>
      <c r="M157" s="252"/>
      <c r="N157" s="26"/>
      <c r="O157" s="252"/>
      <c r="P157" s="264"/>
      <c r="R157" s="220">
        <f t="shared" si="13"/>
        <v>12240993.958269402</v>
      </c>
      <c r="T157" s="28">
        <f>WACC!$S$16</f>
        <v>8.1600000000000006E-2</v>
      </c>
      <c r="V157" s="22">
        <f t="shared" si="11"/>
        <v>83238.758916231935</v>
      </c>
      <c r="X157" s="23">
        <f t="shared" si="10"/>
        <v>54166.666666666664</v>
      </c>
      <c r="Z157" s="23">
        <f>(ROUND(F157*'Depr and ADFIT'!$C$4/12,0))</f>
        <v>321104</v>
      </c>
      <c r="AB157" s="23">
        <f>F157*'Alloc. Factors and Property Tax'!$E$24*'Alloc. Factors and Property Tax'!$E$25*'Alloc. Factors and Property Tax'!$E$26/12</f>
        <v>2866.2285551405798</v>
      </c>
      <c r="AD157" s="23"/>
      <c r="AF157" s="23">
        <f t="shared" si="14"/>
        <v>461375.65413803916</v>
      </c>
      <c r="AH157" s="29">
        <f>'Alloc. Factors and Property Tax'!$C$18</f>
        <v>0.9604166666666667</v>
      </c>
      <c r="AJ157" s="33">
        <f t="shared" si="12"/>
        <v>443112.86782840843</v>
      </c>
    </row>
    <row r="158" spans="2:36" x14ac:dyDescent="0.2">
      <c r="B158" s="32" t="s">
        <v>16</v>
      </c>
      <c r="D158" s="3">
        <v>2038</v>
      </c>
      <c r="F158" s="263">
        <f>'Depr and ADFIT'!$C$1</f>
        <v>57798518.958269402</v>
      </c>
      <c r="G158" s="252"/>
      <c r="H158" s="26">
        <f>'Depr and ADFIT'!C156</f>
        <v>-48165600</v>
      </c>
      <c r="I158" s="252"/>
      <c r="J158" s="264">
        <f>'Depr and ADFIT'!J156</f>
        <v>2309271</v>
      </c>
      <c r="L158" s="269"/>
      <c r="M158" s="252"/>
      <c r="N158" s="26"/>
      <c r="O158" s="252"/>
      <c r="P158" s="264"/>
      <c r="R158" s="220">
        <f t="shared" si="13"/>
        <v>11942189.958269402</v>
      </c>
      <c r="T158" s="28">
        <f>WACC!$S$16</f>
        <v>8.1600000000000006E-2</v>
      </c>
      <c r="V158" s="22">
        <f t="shared" si="11"/>
        <v>81206.891716231941</v>
      </c>
      <c r="X158" s="23">
        <f t="shared" si="10"/>
        <v>54166.666666666664</v>
      </c>
      <c r="Z158" s="23">
        <f>(ROUND(F158*'Depr and ADFIT'!$C$4/12,0))</f>
        <v>321104</v>
      </c>
      <c r="AB158" s="23">
        <f>F158*'Alloc. Factors and Property Tax'!$E$24*'Alloc. Factors and Property Tax'!$E$25*'Alloc. Factors and Property Tax'!$E$26/12</f>
        <v>2866.2285551405798</v>
      </c>
      <c r="AD158" s="23"/>
      <c r="AF158" s="23">
        <f t="shared" si="14"/>
        <v>459343.78693803912</v>
      </c>
      <c r="AH158" s="29">
        <f>'Alloc. Factors and Property Tax'!$C$18</f>
        <v>0.9604166666666667</v>
      </c>
      <c r="AJ158" s="33">
        <f t="shared" si="12"/>
        <v>441161.42870507506</v>
      </c>
    </row>
    <row r="159" spans="2:36" x14ac:dyDescent="0.2">
      <c r="B159" s="32" t="s">
        <v>17</v>
      </c>
      <c r="D159" s="3">
        <v>2038</v>
      </c>
      <c r="F159" s="263">
        <f>'Depr and ADFIT'!$C$1</f>
        <v>57798518.958269402</v>
      </c>
      <c r="G159" s="252"/>
      <c r="H159" s="26">
        <f>'Depr and ADFIT'!C157</f>
        <v>-48486704</v>
      </c>
      <c r="I159" s="252"/>
      <c r="J159" s="264">
        <f>'Depr and ADFIT'!J157</f>
        <v>2331571</v>
      </c>
      <c r="L159" s="269"/>
      <c r="M159" s="252"/>
      <c r="N159" s="26"/>
      <c r="O159" s="252"/>
      <c r="P159" s="264"/>
      <c r="R159" s="220">
        <f t="shared" si="13"/>
        <v>11643385.958269402</v>
      </c>
      <c r="T159" s="28">
        <f>WACC!$S$16</f>
        <v>8.1600000000000006E-2</v>
      </c>
      <c r="V159" s="22">
        <f t="shared" si="11"/>
        <v>79175.024516231948</v>
      </c>
      <c r="X159" s="23">
        <f t="shared" si="10"/>
        <v>54166.666666666664</v>
      </c>
      <c r="Z159" s="23">
        <f>(ROUND(F159*'Depr and ADFIT'!$C$4/12,0))</f>
        <v>321104</v>
      </c>
      <c r="AB159" s="23">
        <f>F159*'Alloc. Factors and Property Tax'!$E$24*'Alloc. Factors and Property Tax'!$E$25*'Alloc. Factors and Property Tax'!$E$26/12</f>
        <v>2866.2285551405798</v>
      </c>
      <c r="AD159" s="23"/>
      <c r="AF159" s="23">
        <f t="shared" si="14"/>
        <v>457311.91973803914</v>
      </c>
      <c r="AH159" s="29">
        <f>'Alloc. Factors and Property Tax'!$C$18</f>
        <v>0.9604166666666667</v>
      </c>
      <c r="AJ159" s="33">
        <f t="shared" si="12"/>
        <v>439209.9895817418</v>
      </c>
    </row>
    <row r="160" spans="2:36" x14ac:dyDescent="0.2">
      <c r="B160" s="32" t="s">
        <v>18</v>
      </c>
      <c r="D160" s="3">
        <v>2038</v>
      </c>
      <c r="F160" s="263">
        <f>'Depr and ADFIT'!$C$1</f>
        <v>57798518.958269402</v>
      </c>
      <c r="G160" s="252"/>
      <c r="H160" s="26">
        <f>'Depr and ADFIT'!C158</f>
        <v>-48807808</v>
      </c>
      <c r="I160" s="252"/>
      <c r="J160" s="264">
        <f>'Depr and ADFIT'!J158</f>
        <v>2353871</v>
      </c>
      <c r="L160" s="269"/>
      <c r="M160" s="252"/>
      <c r="N160" s="26"/>
      <c r="O160" s="252"/>
      <c r="P160" s="264"/>
      <c r="R160" s="220">
        <f t="shared" si="13"/>
        <v>11344581.958269402</v>
      </c>
      <c r="T160" s="28">
        <f>WACC!$S$16</f>
        <v>8.1600000000000006E-2</v>
      </c>
      <c r="V160" s="22">
        <f t="shared" si="11"/>
        <v>77143.15731623194</v>
      </c>
      <c r="X160" s="23">
        <f t="shared" si="10"/>
        <v>54166.666666666664</v>
      </c>
      <c r="Z160" s="23">
        <f>(ROUND(F160*'Depr and ADFIT'!$C$4/12,0))</f>
        <v>321104</v>
      </c>
      <c r="AB160" s="23">
        <f>F160*'Alloc. Factors and Property Tax'!$E$24*'Alloc. Factors and Property Tax'!$E$25*'Alloc. Factors and Property Tax'!$E$26/12</f>
        <v>2866.2285551405798</v>
      </c>
      <c r="AD160" s="23"/>
      <c r="AF160" s="23">
        <f t="shared" si="14"/>
        <v>455280.05253803916</v>
      </c>
      <c r="AH160" s="29">
        <f>'Alloc. Factors and Property Tax'!$C$18</f>
        <v>0.9604166666666667</v>
      </c>
      <c r="AJ160" s="33">
        <f t="shared" si="12"/>
        <v>437258.55045840848</v>
      </c>
    </row>
    <row r="161" spans="2:36" x14ac:dyDescent="0.2">
      <c r="B161" s="32" t="s">
        <v>19</v>
      </c>
      <c r="D161" s="3">
        <v>2038</v>
      </c>
      <c r="F161" s="263">
        <f>'Depr and ADFIT'!$C$1</f>
        <v>57798518.958269402</v>
      </c>
      <c r="G161" s="252"/>
      <c r="H161" s="26">
        <f>'Depr and ADFIT'!C159</f>
        <v>-49128912</v>
      </c>
      <c r="I161" s="252"/>
      <c r="J161" s="264">
        <f>'Depr and ADFIT'!J159</f>
        <v>2376171</v>
      </c>
      <c r="L161" s="269"/>
      <c r="M161" s="252"/>
      <c r="N161" s="26"/>
      <c r="O161" s="252"/>
      <c r="P161" s="264"/>
      <c r="R161" s="220">
        <f t="shared" si="13"/>
        <v>11045777.958269402</v>
      </c>
      <c r="T161" s="28">
        <f>WACC!$S$16</f>
        <v>8.1600000000000006E-2</v>
      </c>
      <c r="V161" s="22">
        <f t="shared" si="11"/>
        <v>75111.290116231932</v>
      </c>
      <c r="X161" s="23">
        <f t="shared" si="10"/>
        <v>54166.666666666664</v>
      </c>
      <c r="Z161" s="23">
        <f>(ROUND(F161*'Depr and ADFIT'!$C$4/12,0))</f>
        <v>321104</v>
      </c>
      <c r="AB161" s="23">
        <f>F161*'Alloc. Factors and Property Tax'!$E$24*'Alloc. Factors and Property Tax'!$E$25*'Alloc. Factors and Property Tax'!$E$26/12</f>
        <v>2866.2285551405798</v>
      </c>
      <c r="AD161" s="23"/>
      <c r="AF161" s="23">
        <f t="shared" si="14"/>
        <v>453248.18533803918</v>
      </c>
      <c r="AH161" s="29">
        <f>'Alloc. Factors and Property Tax'!$C$18</f>
        <v>0.9604166666666667</v>
      </c>
      <c r="AJ161" s="33">
        <f t="shared" si="12"/>
        <v>435307.11133507517</v>
      </c>
    </row>
    <row r="162" spans="2:36" x14ac:dyDescent="0.2">
      <c r="B162" s="32" t="s">
        <v>8</v>
      </c>
      <c r="D162" s="3">
        <v>2038</v>
      </c>
      <c r="F162" s="263">
        <f>'Depr and ADFIT'!$C$1</f>
        <v>57798518.958269402</v>
      </c>
      <c r="G162" s="252"/>
      <c r="H162" s="26">
        <f>'Depr and ADFIT'!C160</f>
        <v>-49450016</v>
      </c>
      <c r="I162" s="252"/>
      <c r="J162" s="264">
        <f>'Depr and ADFIT'!J160</f>
        <v>2398470</v>
      </c>
      <c r="L162" s="269"/>
      <c r="M162" s="252"/>
      <c r="N162" s="26"/>
      <c r="O162" s="252"/>
      <c r="P162" s="264"/>
      <c r="R162" s="220">
        <f t="shared" si="13"/>
        <v>10746972.958269402</v>
      </c>
      <c r="T162" s="28">
        <f>WACC!$S$16</f>
        <v>8.1600000000000006E-2</v>
      </c>
      <c r="V162" s="22">
        <f t="shared" si="11"/>
        <v>73079.416116231951</v>
      </c>
      <c r="X162" s="23">
        <f t="shared" si="10"/>
        <v>54166.666666666664</v>
      </c>
      <c r="Z162" s="23">
        <f>(ROUND(F162*'Depr and ADFIT'!$C$4/12,0))</f>
        <v>321104</v>
      </c>
      <c r="AB162" s="23">
        <f>F162*'Alloc. Factors and Property Tax'!$E$24*'Alloc. Factors and Property Tax'!$E$25*'Alloc. Factors and Property Tax'!$E$26/12</f>
        <v>2866.2285551405798</v>
      </c>
      <c r="AD162" s="23"/>
      <c r="AF162" s="23">
        <f t="shared" si="14"/>
        <v>451216.31133803917</v>
      </c>
      <c r="AH162" s="29">
        <f>'Alloc. Factors and Property Tax'!$C$18</f>
        <v>0.9604166666666667</v>
      </c>
      <c r="AJ162" s="33">
        <f t="shared" si="12"/>
        <v>433355.66568090848</v>
      </c>
    </row>
    <row r="163" spans="2:36" x14ac:dyDescent="0.2">
      <c r="B163" s="32" t="s">
        <v>9</v>
      </c>
      <c r="D163" s="3">
        <v>2038</v>
      </c>
      <c r="F163" s="263">
        <f>'Depr and ADFIT'!$C$1</f>
        <v>57798518.958269402</v>
      </c>
      <c r="G163" s="252"/>
      <c r="H163" s="26">
        <f>'Depr and ADFIT'!C161</f>
        <v>-49771120</v>
      </c>
      <c r="I163" s="252"/>
      <c r="J163" s="264">
        <f>'Depr and ADFIT'!J161</f>
        <v>2420770</v>
      </c>
      <c r="L163" s="269"/>
      <c r="M163" s="252"/>
      <c r="N163" s="26"/>
      <c r="O163" s="252"/>
      <c r="P163" s="264"/>
      <c r="R163" s="220">
        <f t="shared" si="13"/>
        <v>10448168.958269402</v>
      </c>
      <c r="T163" s="28">
        <f>WACC!$S$16</f>
        <v>8.1600000000000006E-2</v>
      </c>
      <c r="V163" s="22">
        <f t="shared" si="11"/>
        <v>71047.548916231943</v>
      </c>
      <c r="X163" s="23">
        <f t="shared" si="10"/>
        <v>54166.666666666664</v>
      </c>
      <c r="Z163" s="23">
        <f>(ROUND(F163*'Depr and ADFIT'!$C$4/12,0))</f>
        <v>321104</v>
      </c>
      <c r="AB163" s="23">
        <f>F163*'Alloc. Factors and Property Tax'!$E$24*'Alloc. Factors and Property Tax'!$E$25*'Alloc. Factors and Property Tax'!$E$26/12</f>
        <v>2866.2285551405798</v>
      </c>
      <c r="AD163" s="23"/>
      <c r="AF163" s="23">
        <f t="shared" si="14"/>
        <v>449184.44413803914</v>
      </c>
      <c r="AH163" s="29">
        <f>'Alloc. Factors and Property Tax'!$C$18</f>
        <v>0.9604166666666667</v>
      </c>
      <c r="AJ163" s="33">
        <f t="shared" si="12"/>
        <v>431404.22655757511</v>
      </c>
    </row>
    <row r="164" spans="2:36" x14ac:dyDescent="0.2">
      <c r="B164" s="32" t="s">
        <v>10</v>
      </c>
      <c r="D164" s="3">
        <v>2038</v>
      </c>
      <c r="F164" s="263">
        <f>'Depr and ADFIT'!$C$1</f>
        <v>57798518.958269402</v>
      </c>
      <c r="G164" s="252"/>
      <c r="H164" s="26">
        <f>'Depr and ADFIT'!C162</f>
        <v>-50092224</v>
      </c>
      <c r="I164" s="252"/>
      <c r="J164" s="264">
        <f>'Depr and ADFIT'!J162</f>
        <v>2443070</v>
      </c>
      <c r="L164" s="269"/>
      <c r="M164" s="252"/>
      <c r="N164" s="26"/>
      <c r="O164" s="252"/>
      <c r="P164" s="264"/>
      <c r="R164" s="220">
        <f t="shared" si="13"/>
        <v>10149364.958269402</v>
      </c>
      <c r="T164" s="28">
        <f>WACC!$S$16</f>
        <v>8.1600000000000006E-2</v>
      </c>
      <c r="V164" s="22">
        <f t="shared" si="11"/>
        <v>69015.681716231935</v>
      </c>
      <c r="X164" s="23">
        <f t="shared" si="10"/>
        <v>54166.666666666664</v>
      </c>
      <c r="Z164" s="23">
        <f>(ROUND(F164*'Depr and ADFIT'!$C$4/12,0))</f>
        <v>321104</v>
      </c>
      <c r="AB164" s="23">
        <f>F164*'Alloc. Factors and Property Tax'!$E$24*'Alloc. Factors and Property Tax'!$E$25*'Alloc. Factors and Property Tax'!$E$26/12</f>
        <v>2866.2285551405798</v>
      </c>
      <c r="AD164" s="23"/>
      <c r="AF164" s="23">
        <f t="shared" si="14"/>
        <v>447152.57693803916</v>
      </c>
      <c r="AH164" s="29">
        <f>'Alloc. Factors and Property Tax'!$C$18</f>
        <v>0.9604166666666667</v>
      </c>
      <c r="AJ164" s="33">
        <f t="shared" si="12"/>
        <v>429452.78743424179</v>
      </c>
    </row>
    <row r="165" spans="2:36" x14ac:dyDescent="0.2">
      <c r="B165" s="32" t="s">
        <v>11</v>
      </c>
      <c r="D165" s="3">
        <v>2039</v>
      </c>
      <c r="F165" s="263">
        <f>'Depr and ADFIT'!$C$1</f>
        <v>57798518.958269402</v>
      </c>
      <c r="G165" s="252"/>
      <c r="H165" s="26">
        <f>'Depr and ADFIT'!C163</f>
        <v>-50413328</v>
      </c>
      <c r="I165" s="252"/>
      <c r="J165" s="264">
        <f>'Depr and ADFIT'!J163</f>
        <v>2465380</v>
      </c>
      <c r="L165" s="269"/>
      <c r="M165" s="252"/>
      <c r="N165" s="26"/>
      <c r="O165" s="252"/>
      <c r="P165" s="264"/>
      <c r="R165" s="220">
        <f t="shared" si="13"/>
        <v>9850570.9582694024</v>
      </c>
      <c r="T165" s="28">
        <f>WACC!$S$16</f>
        <v>8.1600000000000006E-2</v>
      </c>
      <c r="V165" s="22">
        <f t="shared" si="11"/>
        <v>66983.882516231941</v>
      </c>
      <c r="X165" s="23">
        <f t="shared" si="10"/>
        <v>54166.666666666664</v>
      </c>
      <c r="Z165" s="23">
        <f>(ROUND(F165*'Depr and ADFIT'!$C$4/12,0))</f>
        <v>321104</v>
      </c>
      <c r="AB165" s="23">
        <f>F165*'Alloc. Factors and Property Tax'!$E$24*'Alloc. Factors and Property Tax'!$E$25*'Alloc. Factors and Property Tax'!$E$26/12</f>
        <v>2866.2285551405798</v>
      </c>
      <c r="AD165" s="23"/>
      <c r="AF165" s="23">
        <f t="shared" si="14"/>
        <v>445120.77773803915</v>
      </c>
      <c r="AH165" s="29">
        <f>'Alloc. Factors and Property Tax'!$C$18</f>
        <v>0.9604166666666667</v>
      </c>
      <c r="AJ165" s="33">
        <f t="shared" si="12"/>
        <v>427501.41361924179</v>
      </c>
    </row>
    <row r="166" spans="2:36" x14ac:dyDescent="0.2">
      <c r="B166" s="32" t="s">
        <v>12</v>
      </c>
      <c r="D166" s="3">
        <v>2039</v>
      </c>
      <c r="F166" s="263">
        <f>'Depr and ADFIT'!$C$1</f>
        <v>57798518.958269402</v>
      </c>
      <c r="G166" s="252"/>
      <c r="H166" s="26">
        <f>'Depr and ADFIT'!C164</f>
        <v>-50734432</v>
      </c>
      <c r="I166" s="252"/>
      <c r="J166" s="264">
        <f>'Depr and ADFIT'!J164</f>
        <v>2487690</v>
      </c>
      <c r="L166" s="269"/>
      <c r="M166" s="252"/>
      <c r="N166" s="26"/>
      <c r="O166" s="252"/>
      <c r="P166" s="264"/>
      <c r="R166" s="220">
        <f t="shared" si="13"/>
        <v>9551776.9582694024</v>
      </c>
      <c r="T166" s="28">
        <f>WACC!$S$16</f>
        <v>8.1600000000000006E-2</v>
      </c>
      <c r="V166" s="22">
        <f t="shared" si="11"/>
        <v>64952.08331623194</v>
      </c>
      <c r="X166" s="23">
        <f t="shared" si="10"/>
        <v>54166.666666666664</v>
      </c>
      <c r="Z166" s="23">
        <f>(ROUND(F166*'Depr and ADFIT'!$C$4/12,0))</f>
        <v>321104</v>
      </c>
      <c r="AB166" s="23">
        <f>F166*'Alloc. Factors and Property Tax'!$E$24*'Alloc. Factors and Property Tax'!$E$25*'Alloc. Factors and Property Tax'!$E$26/12</f>
        <v>2866.2285551405798</v>
      </c>
      <c r="AD166" s="23"/>
      <c r="AF166" s="23">
        <f t="shared" si="14"/>
        <v>443088.97853803914</v>
      </c>
      <c r="AH166" s="29">
        <f>'Alloc. Factors and Property Tax'!$C$18</f>
        <v>0.9604166666666667</v>
      </c>
      <c r="AJ166" s="33">
        <f t="shared" si="12"/>
        <v>425550.03980424179</v>
      </c>
    </row>
    <row r="167" spans="2:36" x14ac:dyDescent="0.2">
      <c r="B167" s="32" t="s">
        <v>13</v>
      </c>
      <c r="D167" s="3">
        <v>2039</v>
      </c>
      <c r="F167" s="263">
        <f>'Depr and ADFIT'!$C$1</f>
        <v>57798518.958269402</v>
      </c>
      <c r="G167" s="252"/>
      <c r="H167" s="26">
        <f>'Depr and ADFIT'!C165</f>
        <v>-51055536</v>
      </c>
      <c r="I167" s="252"/>
      <c r="J167" s="264">
        <f>'Depr and ADFIT'!J165</f>
        <v>2510000</v>
      </c>
      <c r="L167" s="269"/>
      <c r="M167" s="252"/>
      <c r="N167" s="26"/>
      <c r="O167" s="252"/>
      <c r="P167" s="264"/>
      <c r="R167" s="220">
        <f t="shared" si="13"/>
        <v>9252982.9582694024</v>
      </c>
      <c r="T167" s="28">
        <f>WACC!$S$16</f>
        <v>8.1600000000000006E-2</v>
      </c>
      <c r="V167" s="22">
        <f t="shared" si="11"/>
        <v>62920.284116231946</v>
      </c>
      <c r="X167" s="23">
        <f t="shared" si="10"/>
        <v>54166.666666666664</v>
      </c>
      <c r="Z167" s="23">
        <f>(ROUND(F167*'Depr and ADFIT'!$C$4/12,0))</f>
        <v>321104</v>
      </c>
      <c r="AB167" s="23">
        <f>F167*'Alloc. Factors and Property Tax'!$E$24*'Alloc. Factors and Property Tax'!$E$25*'Alloc. Factors and Property Tax'!$E$26/12</f>
        <v>2866.2285551405798</v>
      </c>
      <c r="AD167" s="23"/>
      <c r="AF167" s="23">
        <f t="shared" si="14"/>
        <v>441057.17933803913</v>
      </c>
      <c r="AH167" s="29">
        <f>'Alloc. Factors and Property Tax'!$C$18</f>
        <v>0.9604166666666667</v>
      </c>
      <c r="AJ167" s="33">
        <f t="shared" si="12"/>
        <v>423598.66598924174</v>
      </c>
    </row>
    <row r="168" spans="2:36" x14ac:dyDescent="0.2">
      <c r="B168" s="32" t="s">
        <v>14</v>
      </c>
      <c r="D168" s="3">
        <v>2039</v>
      </c>
      <c r="F168" s="263">
        <f>'Depr and ADFIT'!$C$1</f>
        <v>57798518.958269402</v>
      </c>
      <c r="G168" s="252"/>
      <c r="H168" s="26">
        <f>'Depr and ADFIT'!C166</f>
        <v>-51376640</v>
      </c>
      <c r="I168" s="252"/>
      <c r="J168" s="264">
        <f>'Depr and ADFIT'!J166</f>
        <v>2532310</v>
      </c>
      <c r="L168" s="269"/>
      <c r="M168" s="252"/>
      <c r="N168" s="26"/>
      <c r="O168" s="252"/>
      <c r="P168" s="264"/>
      <c r="R168" s="220">
        <f t="shared" si="13"/>
        <v>8954188.9582694024</v>
      </c>
      <c r="T168" s="28">
        <f>WACC!$S$16</f>
        <v>8.1600000000000006E-2</v>
      </c>
      <c r="V168" s="22">
        <f t="shared" si="11"/>
        <v>60888.484916231944</v>
      </c>
      <c r="X168" s="23">
        <f t="shared" si="10"/>
        <v>54166.666666666664</v>
      </c>
      <c r="Z168" s="23">
        <f>(ROUND(F168*'Depr and ADFIT'!$C$4/12,0))</f>
        <v>321104</v>
      </c>
      <c r="AB168" s="23">
        <f>F168*'Alloc. Factors and Property Tax'!$E$24*'Alloc. Factors and Property Tax'!$E$25*'Alloc. Factors and Property Tax'!$E$26/12</f>
        <v>2866.2285551405798</v>
      </c>
      <c r="AD168" s="23"/>
      <c r="AF168" s="23">
        <f t="shared" si="14"/>
        <v>439025.38013803912</v>
      </c>
      <c r="AH168" s="29">
        <f>'Alloc. Factors and Property Tax'!$C$18</f>
        <v>0.9604166666666667</v>
      </c>
      <c r="AJ168" s="33">
        <f t="shared" si="12"/>
        <v>421647.29217424174</v>
      </c>
    </row>
    <row r="169" spans="2:36" x14ac:dyDescent="0.2">
      <c r="B169" s="32" t="s">
        <v>15</v>
      </c>
      <c r="D169" s="3">
        <v>2039</v>
      </c>
      <c r="F169" s="263">
        <f>'Depr and ADFIT'!$C$1</f>
        <v>57798518.958269402</v>
      </c>
      <c r="G169" s="252"/>
      <c r="H169" s="26">
        <f>'Depr and ADFIT'!C167</f>
        <v>-51697744</v>
      </c>
      <c r="I169" s="252"/>
      <c r="J169" s="264">
        <f>'Depr and ADFIT'!J167</f>
        <v>2554620</v>
      </c>
      <c r="L169" s="269"/>
      <c r="M169" s="252"/>
      <c r="N169" s="26"/>
      <c r="O169" s="252"/>
      <c r="P169" s="264"/>
      <c r="R169" s="220">
        <f t="shared" ref="R169:R188" si="15">SUM(F169:Q169)</f>
        <v>8655394.9582694024</v>
      </c>
      <c r="T169" s="28">
        <f>WACC!$S$16</f>
        <v>8.1600000000000006E-2</v>
      </c>
      <c r="V169" s="22">
        <f t="shared" si="11"/>
        <v>58856.685716231936</v>
      </c>
      <c r="X169" s="23">
        <f t="shared" si="10"/>
        <v>54166.666666666664</v>
      </c>
      <c r="Z169" s="23">
        <f>(ROUND(F169*'Depr and ADFIT'!$C$4/12,0))</f>
        <v>321104</v>
      </c>
      <c r="AB169" s="23">
        <f>F169*'Alloc. Factors and Property Tax'!$E$24*'Alloc. Factors and Property Tax'!$E$25*'Alloc. Factors and Property Tax'!$E$26/12</f>
        <v>2866.2285551405798</v>
      </c>
      <c r="AD169" s="23"/>
      <c r="AF169" s="23">
        <f t="shared" si="14"/>
        <v>436993.58093803911</v>
      </c>
      <c r="AH169" s="29">
        <f>'Alloc. Factors and Property Tax'!$C$18</f>
        <v>0.9604166666666667</v>
      </c>
      <c r="AJ169" s="33">
        <f t="shared" si="12"/>
        <v>419695.91835924174</v>
      </c>
    </row>
    <row r="170" spans="2:36" x14ac:dyDescent="0.2">
      <c r="B170" s="32" t="s">
        <v>16</v>
      </c>
      <c r="D170" s="3">
        <v>2039</v>
      </c>
      <c r="F170" s="263">
        <f>'Depr and ADFIT'!$C$1</f>
        <v>57798518.958269402</v>
      </c>
      <c r="G170" s="252"/>
      <c r="H170" s="26">
        <f>'Depr and ADFIT'!C168</f>
        <v>-52018848</v>
      </c>
      <c r="I170" s="252"/>
      <c r="J170" s="264">
        <f>'Depr and ADFIT'!J168</f>
        <v>2576930</v>
      </c>
      <c r="L170" s="269"/>
      <c r="M170" s="252"/>
      <c r="N170" s="26"/>
      <c r="O170" s="252"/>
      <c r="P170" s="264"/>
      <c r="R170" s="220">
        <f t="shared" si="15"/>
        <v>8356600.9582694024</v>
      </c>
      <c r="T170" s="28">
        <f>WACC!$S$16</f>
        <v>8.1600000000000006E-2</v>
      </c>
      <c r="V170" s="22">
        <f t="shared" si="11"/>
        <v>56824.886516231934</v>
      </c>
      <c r="X170" s="23">
        <f t="shared" si="10"/>
        <v>54166.666666666664</v>
      </c>
      <c r="Z170" s="23">
        <f>(ROUND(F170*'Depr and ADFIT'!$C$4/12,0))</f>
        <v>321104</v>
      </c>
      <c r="AB170" s="23">
        <f>F170*'Alloc. Factors and Property Tax'!$E$24*'Alloc. Factors and Property Tax'!$E$25*'Alloc. Factors and Property Tax'!$E$26/12</f>
        <v>2866.2285551405798</v>
      </c>
      <c r="AD170" s="23"/>
      <c r="AF170" s="23">
        <f t="shared" si="14"/>
        <v>434961.78173803916</v>
      </c>
      <c r="AH170" s="29">
        <f>'Alloc. Factors and Property Tax'!$C$18</f>
        <v>0.9604166666666667</v>
      </c>
      <c r="AJ170" s="33">
        <f t="shared" si="12"/>
        <v>417744.5445442418</v>
      </c>
    </row>
    <row r="171" spans="2:36" x14ac:dyDescent="0.2">
      <c r="B171" s="32" t="s">
        <v>17</v>
      </c>
      <c r="D171" s="3">
        <v>2039</v>
      </c>
      <c r="F171" s="263">
        <f>'Depr and ADFIT'!$C$1</f>
        <v>57798518.958269402</v>
      </c>
      <c r="G171" s="252"/>
      <c r="H171" s="26">
        <f>'Depr and ADFIT'!C169</f>
        <v>-52339952</v>
      </c>
      <c r="I171" s="252"/>
      <c r="J171" s="264">
        <f>'Depr and ADFIT'!J169</f>
        <v>2599240</v>
      </c>
      <c r="L171" s="269"/>
      <c r="M171" s="252"/>
      <c r="N171" s="26"/>
      <c r="O171" s="252"/>
      <c r="P171" s="264"/>
      <c r="R171" s="220">
        <f t="shared" si="15"/>
        <v>8057806.9582694024</v>
      </c>
      <c r="T171" s="28">
        <f>WACC!$S$16</f>
        <v>8.1600000000000006E-2</v>
      </c>
      <c r="V171" s="22">
        <f t="shared" si="11"/>
        <v>54793.08731623194</v>
      </c>
      <c r="X171" s="23">
        <f t="shared" si="10"/>
        <v>54166.666666666664</v>
      </c>
      <c r="Z171" s="23">
        <f>(ROUND(F171*'Depr and ADFIT'!$C$4/12,0))</f>
        <v>321104</v>
      </c>
      <c r="AB171" s="23">
        <f>F171*'Alloc. Factors and Property Tax'!$E$24*'Alloc. Factors and Property Tax'!$E$25*'Alloc. Factors and Property Tax'!$E$26/12</f>
        <v>2866.2285551405798</v>
      </c>
      <c r="AD171" s="23"/>
      <c r="AF171" s="23">
        <f t="shared" si="14"/>
        <v>432929.98253803916</v>
      </c>
      <c r="AH171" s="29">
        <f>'Alloc. Factors and Property Tax'!$C$18</f>
        <v>0.9604166666666667</v>
      </c>
      <c r="AJ171" s="33">
        <f t="shared" si="12"/>
        <v>415793.1707292418</v>
      </c>
    </row>
    <row r="172" spans="2:36" x14ac:dyDescent="0.2">
      <c r="B172" s="32" t="s">
        <v>18</v>
      </c>
      <c r="D172" s="3">
        <v>2039</v>
      </c>
      <c r="F172" s="263">
        <f>'Depr and ADFIT'!$C$1</f>
        <v>57798518.958269402</v>
      </c>
      <c r="G172" s="252"/>
      <c r="H172" s="26">
        <f>'Depr and ADFIT'!C170</f>
        <v>-52661056</v>
      </c>
      <c r="I172" s="252"/>
      <c r="J172" s="264">
        <f>'Depr and ADFIT'!J170</f>
        <v>2621550</v>
      </c>
      <c r="L172" s="269"/>
      <c r="M172" s="252"/>
      <c r="N172" s="26"/>
      <c r="O172" s="252"/>
      <c r="P172" s="264"/>
      <c r="R172" s="220">
        <f t="shared" si="15"/>
        <v>7759012.9582694024</v>
      </c>
      <c r="T172" s="28">
        <f>WACC!$S$16</f>
        <v>8.1600000000000006E-2</v>
      </c>
      <c r="V172" s="22">
        <f t="shared" si="11"/>
        <v>52761.288116231939</v>
      </c>
      <c r="X172" s="23">
        <f t="shared" si="10"/>
        <v>54166.666666666664</v>
      </c>
      <c r="Z172" s="23">
        <f>(ROUND(F172*'Depr and ADFIT'!$C$4/12,0))</f>
        <v>321104</v>
      </c>
      <c r="AB172" s="23">
        <f>F172*'Alloc. Factors and Property Tax'!$E$24*'Alloc. Factors and Property Tax'!$E$25*'Alloc. Factors and Property Tax'!$E$26/12</f>
        <v>2866.2285551405798</v>
      </c>
      <c r="AD172" s="23"/>
      <c r="AF172" s="23">
        <f t="shared" si="14"/>
        <v>430898.18333803915</v>
      </c>
      <c r="AH172" s="29">
        <f>'Alloc. Factors and Property Tax'!$C$18</f>
        <v>0.9604166666666667</v>
      </c>
      <c r="AJ172" s="33">
        <f t="shared" si="12"/>
        <v>413841.7969142418</v>
      </c>
    </row>
    <row r="173" spans="2:36" x14ac:dyDescent="0.2">
      <c r="B173" s="32" t="s">
        <v>19</v>
      </c>
      <c r="D173" s="3">
        <v>2039</v>
      </c>
      <c r="F173" s="263">
        <f>'Depr and ADFIT'!$C$1</f>
        <v>57798518.958269402</v>
      </c>
      <c r="G173" s="252"/>
      <c r="H173" s="26">
        <f>'Depr and ADFIT'!C171</f>
        <v>-52982160</v>
      </c>
      <c r="I173" s="252"/>
      <c r="J173" s="264">
        <f>'Depr and ADFIT'!J171</f>
        <v>2643860</v>
      </c>
      <c r="L173" s="269"/>
      <c r="M173" s="252"/>
      <c r="N173" s="26"/>
      <c r="O173" s="252"/>
      <c r="P173" s="264"/>
      <c r="R173" s="220">
        <f t="shared" si="15"/>
        <v>7460218.9582694024</v>
      </c>
      <c r="T173" s="28">
        <f>WACC!$S$16</f>
        <v>8.1600000000000006E-2</v>
      </c>
      <c r="V173" s="22">
        <f t="shared" si="11"/>
        <v>50729.488916231938</v>
      </c>
      <c r="X173" s="23">
        <f t="shared" si="10"/>
        <v>54166.666666666664</v>
      </c>
      <c r="Z173" s="23">
        <f>(ROUND(F173*'Depr and ADFIT'!$C$4/12,0))</f>
        <v>321104</v>
      </c>
      <c r="AB173" s="23">
        <f>F173*'Alloc. Factors and Property Tax'!$E$24*'Alloc. Factors and Property Tax'!$E$25*'Alloc. Factors and Property Tax'!$E$26/12</f>
        <v>2866.2285551405798</v>
      </c>
      <c r="AD173" s="23"/>
      <c r="AF173" s="23">
        <f t="shared" si="14"/>
        <v>428866.38413803914</v>
      </c>
      <c r="AH173" s="29">
        <f>'Alloc. Factors and Property Tax'!$C$18</f>
        <v>0.9604166666666667</v>
      </c>
      <c r="AJ173" s="33">
        <f t="shared" si="12"/>
        <v>411890.42309924174</v>
      </c>
    </row>
    <row r="174" spans="2:36" x14ac:dyDescent="0.2">
      <c r="B174" s="32" t="s">
        <v>8</v>
      </c>
      <c r="D174" s="3">
        <v>2039</v>
      </c>
      <c r="F174" s="263">
        <f>'Depr and ADFIT'!$C$1</f>
        <v>57798518.958269402</v>
      </c>
      <c r="G174" s="252"/>
      <c r="H174" s="26">
        <f>'Depr and ADFIT'!C172</f>
        <v>-53303264</v>
      </c>
      <c r="I174" s="252"/>
      <c r="J174" s="264">
        <f>'Depr and ADFIT'!J172</f>
        <v>2666170</v>
      </c>
      <c r="L174" s="269"/>
      <c r="M174" s="252"/>
      <c r="N174" s="26"/>
      <c r="O174" s="252"/>
      <c r="P174" s="264"/>
      <c r="R174" s="220">
        <f t="shared" si="15"/>
        <v>7161424.9582694024</v>
      </c>
      <c r="T174" s="28">
        <f>WACC!$S$16</f>
        <v>8.1600000000000006E-2</v>
      </c>
      <c r="V174" s="22">
        <f t="shared" si="11"/>
        <v>48697.689716231944</v>
      </c>
      <c r="X174" s="23">
        <f t="shared" si="10"/>
        <v>54166.666666666664</v>
      </c>
      <c r="Z174" s="23">
        <f>(ROUND(F174*'Depr and ADFIT'!$C$4/12,0))</f>
        <v>321104</v>
      </c>
      <c r="AB174" s="23">
        <f>F174*'Alloc. Factors and Property Tax'!$E$24*'Alloc. Factors and Property Tax'!$E$25*'Alloc. Factors and Property Tax'!$E$26/12</f>
        <v>2866.2285551405798</v>
      </c>
      <c r="AD174" s="23"/>
      <c r="AF174" s="23">
        <f t="shared" si="14"/>
        <v>426834.58493803919</v>
      </c>
      <c r="AH174" s="29">
        <f>'Alloc. Factors and Property Tax'!$C$18</f>
        <v>0.9604166666666667</v>
      </c>
      <c r="AJ174" s="33">
        <f t="shared" si="12"/>
        <v>409939.0492842418</v>
      </c>
    </row>
    <row r="175" spans="2:36" x14ac:dyDescent="0.2">
      <c r="B175" s="32" t="s">
        <v>9</v>
      </c>
      <c r="D175" s="3">
        <v>2039</v>
      </c>
      <c r="F175" s="263">
        <f>'Depr and ADFIT'!$C$1</f>
        <v>57798518.958269402</v>
      </c>
      <c r="G175" s="252"/>
      <c r="H175" s="26">
        <f>'Depr and ADFIT'!C173</f>
        <v>-53624368</v>
      </c>
      <c r="I175" s="252"/>
      <c r="J175" s="264">
        <f>'Depr and ADFIT'!J173</f>
        <v>2688480</v>
      </c>
      <c r="L175" s="269"/>
      <c r="M175" s="252"/>
      <c r="N175" s="26"/>
      <c r="O175" s="252"/>
      <c r="P175" s="264"/>
      <c r="R175" s="220">
        <f t="shared" si="15"/>
        <v>6862630.9582694024</v>
      </c>
      <c r="T175" s="28">
        <f>WACC!$S$16</f>
        <v>8.1600000000000006E-2</v>
      </c>
      <c r="V175" s="22">
        <f t="shared" si="11"/>
        <v>46665.890516231942</v>
      </c>
      <c r="X175" s="23">
        <f t="shared" si="10"/>
        <v>54166.666666666664</v>
      </c>
      <c r="Z175" s="23">
        <f>(ROUND(F175*'Depr and ADFIT'!$C$4/12,0))</f>
        <v>321104</v>
      </c>
      <c r="AB175" s="23">
        <f>F175*'Alloc. Factors and Property Tax'!$E$24*'Alloc. Factors and Property Tax'!$E$25*'Alloc. Factors and Property Tax'!$E$26/12</f>
        <v>2866.2285551405798</v>
      </c>
      <c r="AD175" s="23"/>
      <c r="AF175" s="23">
        <f t="shared" si="14"/>
        <v>424802.78573803918</v>
      </c>
      <c r="AH175" s="29">
        <f>'Alloc. Factors and Property Tax'!$C$18</f>
        <v>0.9604166666666667</v>
      </c>
      <c r="AJ175" s="33">
        <f t="shared" si="12"/>
        <v>407987.6754692418</v>
      </c>
    </row>
    <row r="176" spans="2:36" x14ac:dyDescent="0.2">
      <c r="B176" s="32" t="s">
        <v>10</v>
      </c>
      <c r="D176" s="3">
        <v>2039</v>
      </c>
      <c r="F176" s="263">
        <f>'Depr and ADFIT'!$C$1</f>
        <v>57798518.958269402</v>
      </c>
      <c r="G176" s="252"/>
      <c r="H176" s="26">
        <f>'Depr and ADFIT'!C174</f>
        <v>-53945472</v>
      </c>
      <c r="I176" s="252"/>
      <c r="J176" s="264">
        <f>'Depr and ADFIT'!J174</f>
        <v>2710790</v>
      </c>
      <c r="L176" s="269"/>
      <c r="M176" s="252"/>
      <c r="N176" s="26"/>
      <c r="O176" s="252"/>
      <c r="P176" s="264"/>
      <c r="R176" s="220">
        <f t="shared" si="15"/>
        <v>6563836.9582694024</v>
      </c>
      <c r="T176" s="28">
        <f>WACC!$S$16</f>
        <v>8.1600000000000006E-2</v>
      </c>
      <c r="V176" s="22">
        <f t="shared" si="11"/>
        <v>44634.091316231941</v>
      </c>
      <c r="X176" s="23">
        <f t="shared" si="10"/>
        <v>54166.666666666664</v>
      </c>
      <c r="Z176" s="23">
        <f>(ROUND(F176*'Depr and ADFIT'!$C$4/12,0))</f>
        <v>321104</v>
      </c>
      <c r="AB176" s="23">
        <f>F176*'Alloc. Factors and Property Tax'!$E$24*'Alloc. Factors and Property Tax'!$E$25*'Alloc. Factors and Property Tax'!$E$26/12</f>
        <v>2866.2285551405798</v>
      </c>
      <c r="AD176" s="23"/>
      <c r="AF176" s="23">
        <f t="shared" si="14"/>
        <v>422770.98653803917</v>
      </c>
      <c r="AH176" s="29">
        <f>'Alloc. Factors and Property Tax'!$C$18</f>
        <v>0.9604166666666667</v>
      </c>
      <c r="AJ176" s="33">
        <f t="shared" si="12"/>
        <v>406036.3016542418</v>
      </c>
    </row>
    <row r="177" spans="2:36" x14ac:dyDescent="0.2">
      <c r="B177" s="32" t="s">
        <v>11</v>
      </c>
      <c r="D177" s="3">
        <v>2040</v>
      </c>
      <c r="F177" s="263">
        <f>'Depr and ADFIT'!$C$1</f>
        <v>57798518.958269402</v>
      </c>
      <c r="G177" s="252"/>
      <c r="H177" s="26">
        <f>'Depr and ADFIT'!C175</f>
        <v>-54266576</v>
      </c>
      <c r="I177" s="252"/>
      <c r="J177" s="264">
        <f>'Depr and ADFIT'!J175</f>
        <v>2733090</v>
      </c>
      <c r="L177" s="269"/>
      <c r="M177" s="252"/>
      <c r="N177" s="26"/>
      <c r="O177" s="252"/>
      <c r="P177" s="264"/>
      <c r="R177" s="220">
        <f t="shared" si="15"/>
        <v>6265032.9582694024</v>
      </c>
      <c r="T177" s="28">
        <f>WACC!$S$16</f>
        <v>8.1600000000000006E-2</v>
      </c>
      <c r="V177" s="22">
        <f t="shared" si="11"/>
        <v>42602.224116231941</v>
      </c>
      <c r="X177" s="23">
        <f t="shared" si="10"/>
        <v>54166.666666666664</v>
      </c>
      <c r="Z177" s="23">
        <f>(ROUND(F177*'Depr and ADFIT'!$C$4/12,0))</f>
        <v>321104</v>
      </c>
      <c r="AB177" s="23">
        <f>F177*'Alloc. Factors and Property Tax'!$E$24*'Alloc. Factors and Property Tax'!$E$25*'Alloc. Factors and Property Tax'!$E$26/12</f>
        <v>2866.2285551405798</v>
      </c>
      <c r="AD177" s="23"/>
      <c r="AF177" s="23">
        <f t="shared" si="14"/>
        <v>420739.11933803919</v>
      </c>
      <c r="AH177" s="29">
        <f>'Alloc. Factors and Property Tax'!$C$18</f>
        <v>0.9604166666666667</v>
      </c>
      <c r="AJ177" s="33">
        <f t="shared" si="12"/>
        <v>404084.86253090849</v>
      </c>
    </row>
    <row r="178" spans="2:36" x14ac:dyDescent="0.2">
      <c r="B178" s="32" t="s">
        <v>12</v>
      </c>
      <c r="D178" s="3">
        <v>2040</v>
      </c>
      <c r="F178" s="263">
        <f>'Depr and ADFIT'!$C$1</f>
        <v>57798518.958269402</v>
      </c>
      <c r="G178" s="252"/>
      <c r="H178" s="26">
        <f>'Depr and ADFIT'!C176</f>
        <v>-54587680</v>
      </c>
      <c r="I178" s="252"/>
      <c r="J178" s="264">
        <f>'Depr and ADFIT'!J176</f>
        <v>2755390</v>
      </c>
      <c r="L178" s="269"/>
      <c r="M178" s="252"/>
      <c r="N178" s="26"/>
      <c r="O178" s="252"/>
      <c r="P178" s="264"/>
      <c r="R178" s="220">
        <f t="shared" si="15"/>
        <v>5966228.9582694024</v>
      </c>
      <c r="T178" s="28">
        <f>WACC!$S$16</f>
        <v>8.1600000000000006E-2</v>
      </c>
      <c r="V178" s="22">
        <f t="shared" si="11"/>
        <v>40570.35691623194</v>
      </c>
      <c r="X178" s="23">
        <f t="shared" si="10"/>
        <v>54166.666666666664</v>
      </c>
      <c r="Z178" s="23">
        <f>(ROUND(F178*'Depr and ADFIT'!$C$4/12,0))</f>
        <v>321104</v>
      </c>
      <c r="AB178" s="23">
        <f>F178*'Alloc. Factors and Property Tax'!$E$24*'Alloc. Factors and Property Tax'!$E$25*'Alloc. Factors and Property Tax'!$E$26/12</f>
        <v>2866.2285551405798</v>
      </c>
      <c r="AD178" s="23"/>
      <c r="AF178" s="23">
        <f t="shared" si="14"/>
        <v>418707.25213803916</v>
      </c>
      <c r="AH178" s="29">
        <f>'Alloc. Factors and Property Tax'!$C$18</f>
        <v>0.9604166666666667</v>
      </c>
      <c r="AJ178" s="33">
        <f t="shared" si="12"/>
        <v>402133.42340757512</v>
      </c>
    </row>
    <row r="179" spans="2:36" x14ac:dyDescent="0.2">
      <c r="B179" s="32" t="s">
        <v>13</v>
      </c>
      <c r="D179" s="3">
        <v>2040</v>
      </c>
      <c r="F179" s="263">
        <f>'Depr and ADFIT'!$C$1</f>
        <v>57798518.958269402</v>
      </c>
      <c r="G179" s="252"/>
      <c r="H179" s="26">
        <f>'Depr and ADFIT'!C177</f>
        <v>-54908784</v>
      </c>
      <c r="I179" s="252"/>
      <c r="J179" s="264">
        <f>'Depr and ADFIT'!J177</f>
        <v>2777690</v>
      </c>
      <c r="L179" s="269"/>
      <c r="M179" s="252"/>
      <c r="N179" s="26"/>
      <c r="O179" s="252"/>
      <c r="P179" s="264"/>
      <c r="R179" s="220">
        <f t="shared" si="15"/>
        <v>5667424.9582694024</v>
      </c>
      <c r="T179" s="28">
        <f>WACC!$S$16</f>
        <v>8.1600000000000006E-2</v>
      </c>
      <c r="V179" s="22">
        <f t="shared" si="11"/>
        <v>38538.489716231939</v>
      </c>
      <c r="X179" s="23">
        <f t="shared" si="10"/>
        <v>54166.666666666664</v>
      </c>
      <c r="Z179" s="23">
        <f>(ROUND(F179*'Depr and ADFIT'!$C$4/12,0))</f>
        <v>321104</v>
      </c>
      <c r="AB179" s="23">
        <f>F179*'Alloc. Factors and Property Tax'!$E$24*'Alloc. Factors and Property Tax'!$E$25*'Alloc. Factors and Property Tax'!$E$26/12</f>
        <v>2866.2285551405798</v>
      </c>
      <c r="AD179" s="23"/>
      <c r="AF179" s="23">
        <f t="shared" si="14"/>
        <v>416675.38493803912</v>
      </c>
      <c r="AH179" s="29">
        <f>'Alloc. Factors and Property Tax'!$C$18</f>
        <v>0.9604166666666667</v>
      </c>
      <c r="AJ179" s="33">
        <f t="shared" si="12"/>
        <v>400181.98428424174</v>
      </c>
    </row>
    <row r="180" spans="2:36" x14ac:dyDescent="0.2">
      <c r="B180" s="32" t="s">
        <v>14</v>
      </c>
      <c r="D180" s="3">
        <v>2040</v>
      </c>
      <c r="F180" s="263">
        <f>'Depr and ADFIT'!$C$1</f>
        <v>57798518.958269402</v>
      </c>
      <c r="G180" s="252"/>
      <c r="H180" s="26">
        <f>'Depr and ADFIT'!C178</f>
        <v>-55229888</v>
      </c>
      <c r="I180" s="252"/>
      <c r="J180" s="264">
        <f>'Depr and ADFIT'!J178</f>
        <v>2799989</v>
      </c>
      <c r="L180" s="269"/>
      <c r="M180" s="252"/>
      <c r="N180" s="26"/>
      <c r="O180" s="252"/>
      <c r="P180" s="264"/>
      <c r="R180" s="220">
        <f t="shared" si="15"/>
        <v>5368619.9582694024</v>
      </c>
      <c r="T180" s="28">
        <f>WACC!$S$16</f>
        <v>8.1600000000000006E-2</v>
      </c>
      <c r="V180" s="22">
        <f t="shared" si="11"/>
        <v>36506.615716231936</v>
      </c>
      <c r="X180" s="23">
        <f t="shared" si="10"/>
        <v>54166.666666666664</v>
      </c>
      <c r="Z180" s="23">
        <f>(ROUND(F180*'Depr and ADFIT'!$C$4/12,0))</f>
        <v>321104</v>
      </c>
      <c r="AB180" s="23">
        <f>F180*'Alloc. Factors and Property Tax'!$E$24*'Alloc. Factors and Property Tax'!$E$25*'Alloc. Factors and Property Tax'!$E$26/12</f>
        <v>2866.2285551405798</v>
      </c>
      <c r="AD180" s="23"/>
      <c r="AF180" s="23">
        <f t="shared" si="14"/>
        <v>414643.51093803917</v>
      </c>
      <c r="AH180" s="29">
        <f>'Alloc. Factors and Property Tax'!$C$18</f>
        <v>0.9604166666666667</v>
      </c>
      <c r="AJ180" s="33">
        <f t="shared" si="12"/>
        <v>398230.53863007511</v>
      </c>
    </row>
    <row r="181" spans="2:36" x14ac:dyDescent="0.2">
      <c r="B181" s="32" t="s">
        <v>15</v>
      </c>
      <c r="D181" s="3">
        <v>2040</v>
      </c>
      <c r="F181" s="263">
        <f>'Depr and ADFIT'!$C$1</f>
        <v>57798518.958269402</v>
      </c>
      <c r="G181" s="252"/>
      <c r="H181" s="26">
        <f>'Depr and ADFIT'!C179</f>
        <v>-55550992</v>
      </c>
      <c r="I181" s="252"/>
      <c r="J181" s="264">
        <f>'Depr and ADFIT'!J179</f>
        <v>2822289</v>
      </c>
      <c r="L181" s="269"/>
      <c r="M181" s="252"/>
      <c r="N181" s="26"/>
      <c r="O181" s="252"/>
      <c r="P181" s="264"/>
      <c r="R181" s="220">
        <f t="shared" si="15"/>
        <v>5069815.9582694024</v>
      </c>
      <c r="T181" s="28">
        <f>WACC!$S$16</f>
        <v>8.1600000000000006E-2</v>
      </c>
      <c r="V181" s="22">
        <f t="shared" si="11"/>
        <v>34474.748516231943</v>
      </c>
      <c r="X181" s="23">
        <f t="shared" si="10"/>
        <v>54166.666666666664</v>
      </c>
      <c r="Z181" s="23">
        <f>(ROUND(F181*'Depr and ADFIT'!$C$4/12,0))</f>
        <v>321104</v>
      </c>
      <c r="AB181" s="23">
        <f>F181*'Alloc. Factors and Property Tax'!$E$24*'Alloc. Factors and Property Tax'!$E$25*'Alloc. Factors and Property Tax'!$E$26/12</f>
        <v>2866.2285551405798</v>
      </c>
      <c r="AD181" s="23"/>
      <c r="AF181" s="23">
        <f t="shared" si="14"/>
        <v>412611.64373803919</v>
      </c>
      <c r="AH181" s="29">
        <f>'Alloc. Factors and Property Tax'!$C$18</f>
        <v>0.9604166666666667</v>
      </c>
      <c r="AJ181" s="33">
        <f t="shared" si="12"/>
        <v>396279.0995067418</v>
      </c>
    </row>
    <row r="182" spans="2:36" x14ac:dyDescent="0.2">
      <c r="B182" s="32" t="s">
        <v>16</v>
      </c>
      <c r="D182" s="3">
        <v>2040</v>
      </c>
      <c r="F182" s="263">
        <f>'Depr and ADFIT'!$C$1</f>
        <v>57798518.958269402</v>
      </c>
      <c r="G182" s="252"/>
      <c r="H182" s="26">
        <f>'Depr and ADFIT'!C180</f>
        <v>-55872096</v>
      </c>
      <c r="I182" s="252"/>
      <c r="J182" s="264">
        <f>'Depr and ADFIT'!J180</f>
        <v>2844589</v>
      </c>
      <c r="L182" s="269"/>
      <c r="M182" s="252"/>
      <c r="N182" s="26"/>
      <c r="O182" s="252"/>
      <c r="P182" s="264"/>
      <c r="R182" s="220">
        <f t="shared" si="15"/>
        <v>4771011.9582694024</v>
      </c>
      <c r="T182" s="28">
        <f>WACC!$S$16</f>
        <v>8.1600000000000006E-2</v>
      </c>
      <c r="V182" s="22">
        <f t="shared" si="11"/>
        <v>32442.881316231938</v>
      </c>
      <c r="X182" s="23">
        <f t="shared" si="10"/>
        <v>54166.666666666664</v>
      </c>
      <c r="Z182" s="23">
        <f>(ROUND(F182*'Depr and ADFIT'!$C$4/12,0))</f>
        <v>321104</v>
      </c>
      <c r="AB182" s="23">
        <f>F182*'Alloc. Factors and Property Tax'!$E$24*'Alloc. Factors and Property Tax'!$E$25*'Alloc. Factors and Property Tax'!$E$26/12</f>
        <v>2866.2285551405798</v>
      </c>
      <c r="AD182" s="23"/>
      <c r="AF182" s="23">
        <f t="shared" si="14"/>
        <v>410579.77653803915</v>
      </c>
      <c r="AH182" s="29">
        <f>'Alloc. Factors and Property Tax'!$C$18</f>
        <v>0.9604166666666667</v>
      </c>
      <c r="AJ182" s="33">
        <f t="shared" si="12"/>
        <v>394327.66038340842</v>
      </c>
    </row>
    <row r="183" spans="2:36" x14ac:dyDescent="0.2">
      <c r="B183" s="32" t="s">
        <v>17</v>
      </c>
      <c r="D183" s="3">
        <v>2040</v>
      </c>
      <c r="F183" s="263">
        <f>'Depr and ADFIT'!$C$1</f>
        <v>57798518.958269402</v>
      </c>
      <c r="G183" s="252"/>
      <c r="H183" s="26">
        <f>'Depr and ADFIT'!C181</f>
        <v>-56193200</v>
      </c>
      <c r="I183" s="252"/>
      <c r="J183" s="264">
        <f>'Depr and ADFIT'!J181</f>
        <v>2866889</v>
      </c>
      <c r="L183" s="269"/>
      <c r="M183" s="252"/>
      <c r="N183" s="26"/>
      <c r="O183" s="252"/>
      <c r="P183" s="264"/>
      <c r="R183" s="220">
        <f t="shared" si="15"/>
        <v>4472207.9582694024</v>
      </c>
      <c r="T183" s="28">
        <f>WACC!$S$16</f>
        <v>8.1600000000000006E-2</v>
      </c>
      <c r="V183" s="22">
        <f t="shared" si="11"/>
        <v>30411.014116231938</v>
      </c>
      <c r="X183" s="23">
        <f t="shared" si="10"/>
        <v>54166.666666666664</v>
      </c>
      <c r="Z183" s="23">
        <f>(ROUND(F183*'Depr and ADFIT'!$C$4/12,0))</f>
        <v>321104</v>
      </c>
      <c r="AB183" s="23">
        <f>F183*'Alloc. Factors and Property Tax'!$E$24*'Alloc. Factors and Property Tax'!$E$25*'Alloc. Factors and Property Tax'!$E$26/12</f>
        <v>2866.2285551405798</v>
      </c>
      <c r="AD183" s="23"/>
      <c r="AF183" s="23">
        <f t="shared" si="14"/>
        <v>408547.90933803917</v>
      </c>
      <c r="AH183" s="29">
        <f>'Alloc. Factors and Property Tax'!$C$18</f>
        <v>0.9604166666666667</v>
      </c>
      <c r="AJ183" s="33">
        <f t="shared" si="12"/>
        <v>392376.22126007511</v>
      </c>
    </row>
    <row r="184" spans="2:36" x14ac:dyDescent="0.2">
      <c r="B184" s="32" t="s">
        <v>18</v>
      </c>
      <c r="D184" s="3">
        <v>2040</v>
      </c>
      <c r="F184" s="263">
        <f>'Depr and ADFIT'!$C$1</f>
        <v>57798518.958269402</v>
      </c>
      <c r="G184" s="252"/>
      <c r="H184" s="26">
        <f>'Depr and ADFIT'!C182</f>
        <v>-56514304</v>
      </c>
      <c r="I184" s="252"/>
      <c r="J184" s="264">
        <f>'Depr and ADFIT'!J182</f>
        <v>2889189</v>
      </c>
      <c r="L184" s="269"/>
      <c r="M184" s="252"/>
      <c r="N184" s="26"/>
      <c r="O184" s="252"/>
      <c r="P184" s="264"/>
      <c r="R184" s="220">
        <f t="shared" si="15"/>
        <v>4173403.9582694024</v>
      </c>
      <c r="T184" s="28">
        <f>WACC!$S$16</f>
        <v>8.1600000000000006E-2</v>
      </c>
      <c r="V184" s="22">
        <f t="shared" si="11"/>
        <v>28379.146916231937</v>
      </c>
      <c r="X184" s="23">
        <f t="shared" si="10"/>
        <v>54166.666666666664</v>
      </c>
      <c r="Z184" s="23">
        <f>(ROUND(F184*'Depr and ADFIT'!$C$4/12,0))</f>
        <v>321104</v>
      </c>
      <c r="AB184" s="23">
        <f>F184*'Alloc. Factors and Property Tax'!$E$24*'Alloc. Factors and Property Tax'!$E$25*'Alloc. Factors and Property Tax'!$E$26/12</f>
        <v>2866.2285551405798</v>
      </c>
      <c r="AD184" s="23"/>
      <c r="AF184" s="23">
        <f t="shared" si="14"/>
        <v>406516.04213803913</v>
      </c>
      <c r="AH184" s="29">
        <f>'Alloc. Factors and Property Tax'!$C$18</f>
        <v>0.9604166666666667</v>
      </c>
      <c r="AJ184" s="33">
        <f t="shared" si="12"/>
        <v>390424.78213674179</v>
      </c>
    </row>
    <row r="185" spans="2:36" x14ac:dyDescent="0.2">
      <c r="B185" s="32" t="s">
        <v>19</v>
      </c>
      <c r="D185" s="3">
        <v>2040</v>
      </c>
      <c r="F185" s="263">
        <f>'Depr and ADFIT'!$C$1</f>
        <v>57798518.958269402</v>
      </c>
      <c r="G185" s="252"/>
      <c r="H185" s="26">
        <f>'Depr and ADFIT'!C183</f>
        <v>-56835408</v>
      </c>
      <c r="I185" s="252"/>
      <c r="J185" s="264">
        <f>'Depr and ADFIT'!J183</f>
        <v>2911489</v>
      </c>
      <c r="L185" s="269"/>
      <c r="M185" s="252"/>
      <c r="N185" s="26"/>
      <c r="O185" s="252"/>
      <c r="P185" s="264"/>
      <c r="R185" s="220">
        <f t="shared" si="15"/>
        <v>3874599.9582694024</v>
      </c>
      <c r="T185" s="28">
        <f>WACC!$S$16</f>
        <v>8.1600000000000006E-2</v>
      </c>
      <c r="V185" s="22">
        <f t="shared" si="11"/>
        <v>26347.279716231937</v>
      </c>
      <c r="X185" s="23">
        <f t="shared" si="10"/>
        <v>54166.666666666664</v>
      </c>
      <c r="Z185" s="23">
        <f>(ROUND(F185*'Depr and ADFIT'!$C$4/12,0))</f>
        <v>321104</v>
      </c>
      <c r="AB185" s="23">
        <f>F185*'Alloc. Factors and Property Tax'!$E$24*'Alloc. Factors and Property Tax'!$E$25*'Alloc. Factors and Property Tax'!$E$26/12</f>
        <v>2866.2285551405798</v>
      </c>
      <c r="AD185" s="23"/>
      <c r="AF185" s="23">
        <f t="shared" si="14"/>
        <v>404484.17493803916</v>
      </c>
      <c r="AH185" s="29">
        <f>'Alloc. Factors and Property Tax'!$C$18</f>
        <v>0.9604166666666667</v>
      </c>
      <c r="AJ185" s="33">
        <f t="shared" si="12"/>
        <v>388473.34301340848</v>
      </c>
    </row>
    <row r="186" spans="2:36" x14ac:dyDescent="0.2">
      <c r="B186" s="32" t="s">
        <v>8</v>
      </c>
      <c r="D186" s="3">
        <v>2040</v>
      </c>
      <c r="F186" s="263">
        <f>'Depr and ADFIT'!$C$1</f>
        <v>57798518.958269402</v>
      </c>
      <c r="G186" s="252"/>
      <c r="H186" s="26">
        <f>'Depr and ADFIT'!C184</f>
        <v>-57156512</v>
      </c>
      <c r="I186" s="252"/>
      <c r="J186" s="264">
        <f>'Depr and ADFIT'!J184</f>
        <v>2933789</v>
      </c>
      <c r="L186" s="269"/>
      <c r="M186" s="252"/>
      <c r="N186" s="26"/>
      <c r="O186" s="252"/>
      <c r="P186" s="264"/>
      <c r="R186" s="220">
        <f t="shared" si="15"/>
        <v>3575795.9582694024</v>
      </c>
      <c r="T186" s="28">
        <f>WACC!$S$16</f>
        <v>8.1600000000000006E-2</v>
      </c>
      <c r="V186" s="22">
        <f t="shared" si="11"/>
        <v>24315.41251623194</v>
      </c>
      <c r="X186" s="23">
        <f t="shared" si="10"/>
        <v>54166.666666666664</v>
      </c>
      <c r="Z186" s="23">
        <f>(ROUND(F186*'Depr and ADFIT'!$C$4/12,0))</f>
        <v>321104</v>
      </c>
      <c r="AB186" s="23">
        <f>F186*'Alloc. Factors and Property Tax'!$E$24*'Alloc. Factors and Property Tax'!$E$25*'Alloc. Factors and Property Tax'!$E$26/12</f>
        <v>2866.2285551405798</v>
      </c>
      <c r="AD186" s="23"/>
      <c r="AF186" s="23">
        <f t="shared" si="14"/>
        <v>402452.30773803918</v>
      </c>
      <c r="AH186" s="29">
        <f>'Alloc. Factors and Property Tax'!$C$18</f>
        <v>0.9604166666666667</v>
      </c>
      <c r="AJ186" s="33">
        <f t="shared" si="12"/>
        <v>386521.90389007516</v>
      </c>
    </row>
    <row r="187" spans="2:36" x14ac:dyDescent="0.2">
      <c r="B187" s="32" t="s">
        <v>9</v>
      </c>
      <c r="D187" s="3">
        <v>2040</v>
      </c>
      <c r="F187" s="263">
        <f>'Depr and ADFIT'!$C$1</f>
        <v>57798518.958269402</v>
      </c>
      <c r="G187" s="252"/>
      <c r="H187" s="26">
        <f>'Depr and ADFIT'!C185</f>
        <v>-57477616</v>
      </c>
      <c r="I187" s="252"/>
      <c r="J187" s="264">
        <f>'Depr and ADFIT'!J185</f>
        <v>2956088</v>
      </c>
      <c r="L187" s="269"/>
      <c r="M187" s="252"/>
      <c r="N187" s="26"/>
      <c r="O187" s="252"/>
      <c r="P187" s="264"/>
      <c r="R187" s="220">
        <f t="shared" si="15"/>
        <v>3276990.9582694024</v>
      </c>
      <c r="T187" s="28">
        <f>WACC!$S$16</f>
        <v>8.1600000000000006E-2</v>
      </c>
      <c r="V187" s="22">
        <f t="shared" si="11"/>
        <v>22283.53851623194</v>
      </c>
      <c r="X187" s="23">
        <f t="shared" si="10"/>
        <v>54166.666666666664</v>
      </c>
      <c r="Z187" s="23">
        <f>(ROUND(F187*'Depr and ADFIT'!$C$4/12,0))</f>
        <v>321104</v>
      </c>
      <c r="AB187" s="23">
        <f>F187*'Alloc. Factors and Property Tax'!$E$24*'Alloc. Factors and Property Tax'!$E$25*'Alloc. Factors and Property Tax'!$E$26/12</f>
        <v>2866.2285551405798</v>
      </c>
      <c r="AD187" s="23"/>
      <c r="AF187" s="23">
        <f t="shared" si="14"/>
        <v>400420.43373803917</v>
      </c>
      <c r="AH187" s="29">
        <f>'Alloc. Factors and Property Tax'!$C$18</f>
        <v>0.9604166666666667</v>
      </c>
      <c r="AJ187" s="33">
        <f t="shared" si="12"/>
        <v>384570.45823590847</v>
      </c>
    </row>
    <row r="188" spans="2:36" x14ac:dyDescent="0.2">
      <c r="B188" s="32" t="s">
        <v>10</v>
      </c>
      <c r="D188" s="3">
        <v>2040</v>
      </c>
      <c r="F188" s="265">
        <f>'Depr and ADFIT'!$C$1</f>
        <v>57798518.958269402</v>
      </c>
      <c r="G188" s="266"/>
      <c r="H188" s="198">
        <f>'Depr and ADFIT'!C186</f>
        <v>-57798720</v>
      </c>
      <c r="I188" s="266"/>
      <c r="J188" s="267">
        <f>'Depr and ADFIT'!J186</f>
        <v>2978388</v>
      </c>
      <c r="L188" s="270"/>
      <c r="M188" s="266"/>
      <c r="N188" s="198"/>
      <c r="O188" s="266"/>
      <c r="P188" s="267"/>
      <c r="R188" s="220">
        <f t="shared" si="15"/>
        <v>2978186.9582694024</v>
      </c>
      <c r="T188" s="28">
        <f>WACC!$S$16</f>
        <v>8.1600000000000006E-2</v>
      </c>
      <c r="V188" s="22">
        <f t="shared" si="11"/>
        <v>20251.671316231939</v>
      </c>
      <c r="X188" s="23">
        <f t="shared" si="10"/>
        <v>54166.666666666664</v>
      </c>
      <c r="Z188" s="23">
        <f>(ROUND(F188*'Depr and ADFIT'!$C$4/12,0))</f>
        <v>321104</v>
      </c>
      <c r="AB188" s="23">
        <f>F188*'Alloc. Factors and Property Tax'!$E$24*'Alloc. Factors and Property Tax'!$E$25*'Alloc. Factors and Property Tax'!$E$26/12</f>
        <v>2866.2285551405798</v>
      </c>
      <c r="AD188" s="23"/>
      <c r="AF188" s="23">
        <f t="shared" si="14"/>
        <v>398388.56653803913</v>
      </c>
      <c r="AH188" s="29">
        <f>'Alloc. Factors and Property Tax'!$C$18</f>
        <v>0.9604166666666667</v>
      </c>
      <c r="AJ188" s="33">
        <f t="shared" si="12"/>
        <v>382619.0191125751</v>
      </c>
    </row>
    <row r="189" spans="2:36" x14ac:dyDescent="0.2">
      <c r="AJ189" s="53"/>
    </row>
  </sheetData>
  <mergeCells count="20">
    <mergeCell ref="V5:V6"/>
    <mergeCell ref="X5:X6"/>
    <mergeCell ref="AB5:AB6"/>
    <mergeCell ref="L5:L6"/>
    <mergeCell ref="P5:P6"/>
    <mergeCell ref="N5:N6"/>
    <mergeCell ref="F4:J4"/>
    <mergeCell ref="L4:P4"/>
    <mergeCell ref="B1:AJ2"/>
    <mergeCell ref="AD4:AD6"/>
    <mergeCell ref="AF4:AF6"/>
    <mergeCell ref="AJ4:AJ6"/>
    <mergeCell ref="AH4:AH6"/>
    <mergeCell ref="Z5:Z6"/>
    <mergeCell ref="B5:B6"/>
    <mergeCell ref="F5:F6"/>
    <mergeCell ref="H5:H6"/>
    <mergeCell ref="J5:J6"/>
    <mergeCell ref="R5:R6"/>
    <mergeCell ref="T5:T6"/>
  </mergeCells>
  <phoneticPr fontId="12" type="noConversion"/>
  <pageMargins left="0.7" right="0.7" top="0.75" bottom="0.7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131C-0EA3-4281-A5F1-DE2D2991C4E9}">
  <sheetPr>
    <pageSetUpPr fitToPage="1"/>
  </sheetPr>
  <dimension ref="B1:AH82"/>
  <sheetViews>
    <sheetView zoomScaleNormal="100" workbookViewId="0">
      <selection activeCell="R83" sqref="R83"/>
    </sheetView>
  </sheetViews>
  <sheetFormatPr defaultColWidth="8.85546875" defaultRowHeight="12.75" x14ac:dyDescent="0.2"/>
  <cols>
    <col min="1" max="1" width="1.7109375" style="3" customWidth="1"/>
    <col min="2" max="2" width="10.140625" style="3" customWidth="1"/>
    <col min="3" max="3" width="2.5703125" style="3" customWidth="1"/>
    <col min="4" max="4" width="8.140625" style="3" customWidth="1"/>
    <col min="5" max="5" width="2.5703125" style="3" customWidth="1"/>
    <col min="6" max="6" width="17.7109375" style="3" customWidth="1"/>
    <col min="7" max="7" width="2.5703125" style="3" customWidth="1"/>
    <col min="8" max="8" width="14" style="3" customWidth="1"/>
    <col min="9" max="9" width="2.5703125" style="3" customWidth="1"/>
    <col min="10" max="10" width="12.42578125" style="3" customWidth="1"/>
    <col min="11" max="11" width="2.5703125" style="3" customWidth="1"/>
    <col min="12" max="12" width="12.42578125" style="3" customWidth="1"/>
    <col min="13" max="13" width="2.5703125" style="3" customWidth="1"/>
    <col min="14" max="14" width="14.5703125" style="3" customWidth="1"/>
    <col min="15" max="15" width="2.5703125" style="3" customWidth="1"/>
    <col min="16" max="16" width="14.5703125" style="3" customWidth="1"/>
    <col min="17" max="17" width="2.5703125" style="3" customWidth="1"/>
    <col min="18" max="18" width="10.7109375" style="3" customWidth="1"/>
    <col min="19" max="19" width="2.5703125" style="3" customWidth="1"/>
    <col min="20" max="20" width="12.140625" style="3" customWidth="1"/>
    <col min="21" max="21" width="2.5703125" style="3" customWidth="1"/>
    <col min="22" max="22" width="12.140625" style="3" customWidth="1"/>
    <col min="23" max="23" width="2.5703125" style="3" customWidth="1"/>
    <col min="24" max="24" width="12.140625" style="3" customWidth="1"/>
    <col min="25" max="25" width="2.5703125" style="3" customWidth="1"/>
    <col min="26" max="26" width="14.5703125" style="3" customWidth="1"/>
    <col min="27" max="27" width="2.5703125" style="3" customWidth="1"/>
    <col min="28" max="28" width="12.28515625" style="3" customWidth="1"/>
    <col min="29" max="29" width="2.140625" style="3" customWidth="1"/>
    <col min="30" max="30" width="13.85546875" style="3" bestFit="1" customWidth="1"/>
    <col min="31" max="31" width="15.42578125" style="3" bestFit="1" customWidth="1"/>
    <col min="32" max="32" width="12" style="3" bestFit="1" customWidth="1"/>
    <col min="33" max="16384" width="8.85546875" style="3"/>
  </cols>
  <sheetData>
    <row r="1" spans="2:31" ht="14.25" x14ac:dyDescent="0.2">
      <c r="B1" s="318" t="s">
        <v>201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217"/>
    </row>
    <row r="2" spans="2:31" ht="15" thickBot="1" x14ac:dyDescent="0.25"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217"/>
    </row>
    <row r="3" spans="2:31" x14ac:dyDescent="0.2">
      <c r="B3" s="1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2:31" ht="12.75" customHeight="1" x14ac:dyDescent="0.2">
      <c r="B4" s="3" t="s">
        <v>0</v>
      </c>
      <c r="P4" s="10"/>
      <c r="T4" s="223">
        <v>5.7099999999999998E-2</v>
      </c>
      <c r="V4" s="10"/>
      <c r="X4" s="10"/>
      <c r="Z4" s="320" t="s">
        <v>51</v>
      </c>
      <c r="AB4" s="325">
        <v>0.5</v>
      </c>
    </row>
    <row r="5" spans="2:31" ht="24" customHeight="1" x14ac:dyDescent="0.2">
      <c r="B5" s="321" t="s">
        <v>22</v>
      </c>
      <c r="C5" s="4"/>
      <c r="E5" s="4"/>
      <c r="F5" s="321" t="s">
        <v>195</v>
      </c>
      <c r="G5" s="4"/>
      <c r="H5" s="321" t="s">
        <v>1</v>
      </c>
      <c r="J5" s="321" t="s">
        <v>2</v>
      </c>
      <c r="L5" s="321" t="s">
        <v>193</v>
      </c>
      <c r="N5" s="321" t="s">
        <v>3</v>
      </c>
      <c r="P5" s="321" t="s">
        <v>194</v>
      </c>
      <c r="R5" s="321" t="s">
        <v>4</v>
      </c>
      <c r="T5" s="321" t="s">
        <v>23</v>
      </c>
      <c r="U5" s="216"/>
      <c r="V5" s="321" t="s">
        <v>197</v>
      </c>
      <c r="W5" s="216"/>
      <c r="X5" s="321" t="s">
        <v>196</v>
      </c>
      <c r="Y5" s="216"/>
      <c r="Z5" s="320"/>
      <c r="AB5" s="320"/>
      <c r="AE5" s="213"/>
    </row>
    <row r="6" spans="2:31" s="7" customFormat="1" ht="14.25" customHeight="1" x14ac:dyDescent="0.2">
      <c r="B6" s="321"/>
      <c r="C6" s="6"/>
      <c r="D6" s="6" t="s">
        <v>7</v>
      </c>
      <c r="E6" s="6"/>
      <c r="F6" s="321"/>
      <c r="G6" s="6"/>
      <c r="H6" s="321"/>
      <c r="J6" s="321"/>
      <c r="L6" s="321"/>
      <c r="N6" s="321"/>
      <c r="P6" s="321"/>
      <c r="R6" s="321"/>
      <c r="T6" s="321"/>
      <c r="U6" s="216"/>
      <c r="V6" s="321"/>
      <c r="W6" s="216"/>
      <c r="X6" s="321"/>
      <c r="Y6" s="216"/>
      <c r="Z6" s="320"/>
      <c r="AB6" s="320"/>
      <c r="AD6" s="3"/>
      <c r="AE6" s="215"/>
    </row>
    <row r="7" spans="2:31" s="8" customFormat="1" ht="16.5" customHeight="1" x14ac:dyDescent="0.2">
      <c r="B7" s="211">
        <v>-1</v>
      </c>
      <c r="C7" s="211" t="s">
        <v>0</v>
      </c>
      <c r="D7" s="211">
        <f>B7-1</f>
        <v>-2</v>
      </c>
      <c r="E7" s="211" t="s">
        <v>0</v>
      </c>
      <c r="F7" s="211">
        <f>D7-1</f>
        <v>-3</v>
      </c>
      <c r="G7" s="211" t="s">
        <v>0</v>
      </c>
      <c r="H7" s="211">
        <f>F7-1</f>
        <v>-4</v>
      </c>
      <c r="I7" s="211" t="s">
        <v>0</v>
      </c>
      <c r="J7" s="211">
        <f>H7-1</f>
        <v>-5</v>
      </c>
      <c r="K7" s="211" t="s">
        <v>0</v>
      </c>
      <c r="L7" s="211">
        <f>J7-1</f>
        <v>-6</v>
      </c>
      <c r="M7" s="211" t="s">
        <v>0</v>
      </c>
      <c r="N7" s="211">
        <f>L7-1</f>
        <v>-7</v>
      </c>
      <c r="O7" s="211" t="s">
        <v>0</v>
      </c>
      <c r="P7" s="211">
        <f>N7-1</f>
        <v>-8</v>
      </c>
      <c r="Q7" s="211" t="s">
        <v>0</v>
      </c>
      <c r="R7" s="211">
        <f>P7-1</f>
        <v>-9</v>
      </c>
      <c r="S7" s="211" t="s">
        <v>0</v>
      </c>
      <c r="T7" s="211">
        <f>R7-1</f>
        <v>-10</v>
      </c>
      <c r="U7" s="211" t="s">
        <v>0</v>
      </c>
      <c r="V7" s="211">
        <f>T7-1</f>
        <v>-11</v>
      </c>
      <c r="W7" s="211" t="s">
        <v>0</v>
      </c>
      <c r="X7" s="211">
        <f>V7-1</f>
        <v>-12</v>
      </c>
      <c r="Y7" s="211" t="s">
        <v>0</v>
      </c>
      <c r="Z7" s="212">
        <f>X7-1</f>
        <v>-13</v>
      </c>
      <c r="AA7" s="211" t="s">
        <v>0</v>
      </c>
      <c r="AB7" s="212">
        <f>Z7-1</f>
        <v>-14</v>
      </c>
      <c r="AD7" s="3"/>
    </row>
    <row r="8" spans="2:31" x14ac:dyDescent="0.2">
      <c r="B8" s="32" t="s">
        <v>10</v>
      </c>
      <c r="C8" s="24"/>
      <c r="D8" s="21">
        <v>2019</v>
      </c>
      <c r="E8" s="24"/>
      <c r="F8" s="220">
        <v>0</v>
      </c>
      <c r="G8" s="24"/>
      <c r="H8" s="219">
        <v>0</v>
      </c>
      <c r="I8" s="21"/>
      <c r="J8" s="219">
        <v>0</v>
      </c>
      <c r="K8" s="21"/>
      <c r="L8" s="222">
        <v>170495.58999999997</v>
      </c>
      <c r="M8" s="21"/>
      <c r="N8" s="220">
        <f>SUM(F8:L8)</f>
        <v>170495.58999999997</v>
      </c>
      <c r="O8" s="21"/>
      <c r="P8" s="28">
        <v>5.8602364517541137E-3</v>
      </c>
      <c r="Q8" s="21"/>
      <c r="R8" s="22">
        <v>0</v>
      </c>
      <c r="S8" s="21"/>
      <c r="T8" s="214">
        <f t="shared" ref="T8:T39" si="0">F7*($T$4/12)</f>
        <v>-1.4274999999999999E-2</v>
      </c>
      <c r="U8" s="23"/>
      <c r="V8" s="23">
        <v>0</v>
      </c>
      <c r="W8" s="23"/>
      <c r="X8" s="23">
        <v>0</v>
      </c>
      <c r="Y8" s="23"/>
      <c r="Z8" s="23">
        <f t="shared" ref="Z8:Z39" si="1">SUM(R8:X8)</f>
        <v>-1.4274999999999999E-2</v>
      </c>
      <c r="AA8" s="21"/>
      <c r="AB8" s="33">
        <f>Z8/2</f>
        <v>-7.1374999999999997E-3</v>
      </c>
      <c r="AC8" s="21"/>
    </row>
    <row r="9" spans="2:31" x14ac:dyDescent="0.2">
      <c r="B9" s="32" t="s">
        <v>11</v>
      </c>
      <c r="C9" s="24"/>
      <c r="D9" s="21">
        <v>2020</v>
      </c>
      <c r="E9" s="24"/>
      <c r="F9" s="220">
        <v>0</v>
      </c>
      <c r="G9" s="24"/>
      <c r="H9" s="219">
        <v>0</v>
      </c>
      <c r="I9" s="21"/>
      <c r="J9" s="219">
        <v>0</v>
      </c>
      <c r="K9" s="21"/>
      <c r="L9" s="222">
        <v>494682.23000000004</v>
      </c>
      <c r="M9" s="21"/>
      <c r="N9" s="220">
        <f>SUM(F9:L9)</f>
        <v>494682.23000000004</v>
      </c>
      <c r="O9" s="21"/>
      <c r="P9" s="28">
        <v>5.8602364517541137E-3</v>
      </c>
      <c r="Q9" s="21"/>
      <c r="R9" s="22">
        <f>N8*P9</f>
        <v>999.14447138132391</v>
      </c>
      <c r="S9" s="21"/>
      <c r="T9" s="214">
        <f t="shared" si="0"/>
        <v>0</v>
      </c>
      <c r="U9" s="23"/>
      <c r="V9" s="23">
        <v>0</v>
      </c>
      <c r="W9" s="23"/>
      <c r="X9" s="23">
        <v>0</v>
      </c>
      <c r="Y9" s="23"/>
      <c r="Z9" s="23">
        <f t="shared" si="1"/>
        <v>999.14447138132391</v>
      </c>
      <c r="AA9" s="21"/>
      <c r="AB9" s="33">
        <f t="shared" ref="AB9:AB72" si="2">Z9/2</f>
        <v>499.57223569066196</v>
      </c>
      <c r="AC9" s="21"/>
    </row>
    <row r="10" spans="2:31" x14ac:dyDescent="0.2">
      <c r="B10" s="32" t="s">
        <v>12</v>
      </c>
      <c r="C10" s="24"/>
      <c r="D10" s="21">
        <v>2020</v>
      </c>
      <c r="E10" s="24"/>
      <c r="F10" s="220">
        <v>0</v>
      </c>
      <c r="G10" s="24"/>
      <c r="H10" s="219">
        <v>0</v>
      </c>
      <c r="I10" s="21"/>
      <c r="J10" s="219">
        <v>0</v>
      </c>
      <c r="K10" s="21"/>
      <c r="L10" s="222">
        <v>621475.8600000001</v>
      </c>
      <c r="M10" s="21"/>
      <c r="N10" s="220">
        <f t="shared" ref="N10:N73" si="3">SUM(F10:L10)</f>
        <v>621475.8600000001</v>
      </c>
      <c r="O10" s="21"/>
      <c r="P10" s="28">
        <v>5.8602364517541137E-3</v>
      </c>
      <c r="Q10" s="21"/>
      <c r="R10" s="22">
        <f t="shared" ref="R10:R73" si="4">N9*P10</f>
        <v>2898.9548362810128</v>
      </c>
      <c r="S10" s="21"/>
      <c r="T10" s="214">
        <f t="shared" si="0"/>
        <v>0</v>
      </c>
      <c r="U10" s="23"/>
      <c r="V10" s="23">
        <v>0</v>
      </c>
      <c r="W10" s="23"/>
      <c r="X10" s="23">
        <v>0</v>
      </c>
      <c r="Y10" s="23"/>
      <c r="Z10" s="23">
        <f t="shared" si="1"/>
        <v>2898.9548362810128</v>
      </c>
      <c r="AA10" s="21"/>
      <c r="AB10" s="33">
        <f t="shared" si="2"/>
        <v>1449.4774181405064</v>
      </c>
      <c r="AC10" s="21"/>
    </row>
    <row r="11" spans="2:31" x14ac:dyDescent="0.2">
      <c r="B11" s="32" t="s">
        <v>13</v>
      </c>
      <c r="C11" s="24"/>
      <c r="D11" s="21">
        <v>2020</v>
      </c>
      <c r="E11" s="24"/>
      <c r="F11" s="220">
        <v>0</v>
      </c>
      <c r="G11" s="24"/>
      <c r="H11" s="219">
        <v>0</v>
      </c>
      <c r="I11" s="21"/>
      <c r="J11" s="219">
        <v>0</v>
      </c>
      <c r="K11" s="21"/>
      <c r="L11" s="222">
        <v>824780.43</v>
      </c>
      <c r="M11" s="21"/>
      <c r="N11" s="220">
        <f t="shared" si="3"/>
        <v>824780.43</v>
      </c>
      <c r="O11" s="21"/>
      <c r="P11" s="28">
        <v>5.8602364517541137E-3</v>
      </c>
      <c r="Q11" s="21"/>
      <c r="R11" s="22">
        <f t="shared" si="4"/>
        <v>3641.9954886572368</v>
      </c>
      <c r="S11" s="21"/>
      <c r="T11" s="214">
        <f t="shared" si="0"/>
        <v>0</v>
      </c>
      <c r="U11" s="23"/>
      <c r="V11" s="23">
        <v>0</v>
      </c>
      <c r="W11" s="23"/>
      <c r="X11" s="23">
        <v>0</v>
      </c>
      <c r="Y11" s="23"/>
      <c r="Z11" s="23">
        <f t="shared" si="1"/>
        <v>3641.9954886572368</v>
      </c>
      <c r="AA11" s="21"/>
      <c r="AB11" s="33">
        <f t="shared" si="2"/>
        <v>1820.9977443286184</v>
      </c>
      <c r="AC11" s="21"/>
    </row>
    <row r="12" spans="2:31" x14ac:dyDescent="0.2">
      <c r="B12" s="32" t="s">
        <v>14</v>
      </c>
      <c r="C12" s="24"/>
      <c r="D12" s="21">
        <v>2020</v>
      </c>
      <c r="E12" s="24"/>
      <c r="F12" s="220">
        <v>0</v>
      </c>
      <c r="G12" s="24"/>
      <c r="H12" s="219">
        <v>0</v>
      </c>
      <c r="I12" s="21"/>
      <c r="J12" s="219">
        <v>0</v>
      </c>
      <c r="K12" s="21"/>
      <c r="L12" s="222">
        <v>1023744.24</v>
      </c>
      <c r="M12" s="21"/>
      <c r="N12" s="220">
        <f t="shared" si="3"/>
        <v>1023744.24</v>
      </c>
      <c r="O12" s="21"/>
      <c r="P12" s="28">
        <v>5.8602364517541137E-3</v>
      </c>
      <c r="Q12" s="21"/>
      <c r="R12" s="22">
        <f t="shared" si="4"/>
        <v>4833.4083405794327</v>
      </c>
      <c r="S12" s="21"/>
      <c r="T12" s="214">
        <f t="shared" si="0"/>
        <v>0</v>
      </c>
      <c r="U12" s="23"/>
      <c r="V12" s="23">
        <v>0</v>
      </c>
      <c r="W12" s="23"/>
      <c r="X12" s="23">
        <v>0</v>
      </c>
      <c r="Y12" s="23"/>
      <c r="Z12" s="23">
        <f t="shared" si="1"/>
        <v>4833.4083405794327</v>
      </c>
      <c r="AA12" s="21"/>
      <c r="AB12" s="33">
        <f t="shared" si="2"/>
        <v>2416.7041702897163</v>
      </c>
      <c r="AC12" s="21"/>
    </row>
    <row r="13" spans="2:31" x14ac:dyDescent="0.2">
      <c r="B13" s="32" t="s">
        <v>15</v>
      </c>
      <c r="C13" s="24"/>
      <c r="D13" s="21">
        <v>2020</v>
      </c>
      <c r="E13" s="24"/>
      <c r="F13" s="220">
        <v>0</v>
      </c>
      <c r="G13" s="24"/>
      <c r="H13" s="219">
        <v>0</v>
      </c>
      <c r="I13" s="21"/>
      <c r="J13" s="219">
        <v>0</v>
      </c>
      <c r="K13" s="21"/>
      <c r="L13" s="222">
        <v>1112039.18</v>
      </c>
      <c r="M13" s="21"/>
      <c r="N13" s="220">
        <f t="shared" si="3"/>
        <v>1112039.18</v>
      </c>
      <c r="O13" s="21"/>
      <c r="P13" s="28">
        <v>5.8602364517541137E-3</v>
      </c>
      <c r="Q13" s="21"/>
      <c r="R13" s="22">
        <f t="shared" si="4"/>
        <v>5999.3833125213114</v>
      </c>
      <c r="S13" s="21"/>
      <c r="T13" s="214">
        <f t="shared" si="0"/>
        <v>0</v>
      </c>
      <c r="U13" s="23"/>
      <c r="V13" s="23">
        <v>0</v>
      </c>
      <c r="W13" s="23"/>
      <c r="X13" s="23">
        <v>0</v>
      </c>
      <c r="Y13" s="23"/>
      <c r="Z13" s="23">
        <f t="shared" si="1"/>
        <v>5999.3833125213114</v>
      </c>
      <c r="AA13" s="21"/>
      <c r="AB13" s="33">
        <f t="shared" si="2"/>
        <v>2999.6916562606557</v>
      </c>
      <c r="AC13" s="21"/>
    </row>
    <row r="14" spans="2:31" x14ac:dyDescent="0.2">
      <c r="B14" s="32" t="s">
        <v>16</v>
      </c>
      <c r="C14" s="24"/>
      <c r="D14" s="21">
        <v>2020</v>
      </c>
      <c r="E14" s="24"/>
      <c r="F14" s="220">
        <v>0</v>
      </c>
      <c r="G14" s="24"/>
      <c r="H14" s="219">
        <v>0</v>
      </c>
      <c r="I14" s="21"/>
      <c r="J14" s="219">
        <v>0</v>
      </c>
      <c r="K14" s="21"/>
      <c r="L14" s="222">
        <v>1199717.7299999997</v>
      </c>
      <c r="M14" s="21"/>
      <c r="N14" s="220">
        <f t="shared" si="3"/>
        <v>1199717.7299999997</v>
      </c>
      <c r="O14" s="21"/>
      <c r="P14" s="28">
        <v>5.8602364517541137E-3</v>
      </c>
      <c r="Q14" s="21"/>
      <c r="R14" s="22">
        <f t="shared" si="4"/>
        <v>6516.8125384147534</v>
      </c>
      <c r="S14" s="21"/>
      <c r="T14" s="214">
        <f t="shared" si="0"/>
        <v>0</v>
      </c>
      <c r="U14" s="23"/>
      <c r="V14" s="23">
        <v>0</v>
      </c>
      <c r="W14" s="23"/>
      <c r="X14" s="23">
        <v>0</v>
      </c>
      <c r="Y14" s="23"/>
      <c r="Z14" s="23">
        <f t="shared" si="1"/>
        <v>6516.8125384147534</v>
      </c>
      <c r="AA14" s="21"/>
      <c r="AB14" s="33">
        <f t="shared" si="2"/>
        <v>3258.4062692073767</v>
      </c>
      <c r="AC14" s="21"/>
    </row>
    <row r="15" spans="2:31" x14ac:dyDescent="0.2">
      <c r="B15" s="32" t="s">
        <v>17</v>
      </c>
      <c r="C15" s="24"/>
      <c r="D15" s="21">
        <v>2020</v>
      </c>
      <c r="E15" s="24"/>
      <c r="F15" s="220">
        <v>0</v>
      </c>
      <c r="G15" s="24"/>
      <c r="H15" s="219">
        <v>0</v>
      </c>
      <c r="I15" s="21"/>
      <c r="J15" s="219">
        <v>0</v>
      </c>
      <c r="K15" s="21"/>
      <c r="L15" s="222">
        <v>1264285.2400000002</v>
      </c>
      <c r="M15" s="21"/>
      <c r="N15" s="220">
        <f t="shared" si="3"/>
        <v>1264285.2400000002</v>
      </c>
      <c r="O15" s="21"/>
      <c r="P15" s="28">
        <v>5.8602364517541137E-3</v>
      </c>
      <c r="Q15" s="21"/>
      <c r="R15" s="22">
        <f t="shared" si="4"/>
        <v>7030.6295731616983</v>
      </c>
      <c r="S15" s="21"/>
      <c r="T15" s="214">
        <f t="shared" si="0"/>
        <v>0</v>
      </c>
      <c r="U15" s="23"/>
      <c r="V15" s="23">
        <v>0</v>
      </c>
      <c r="W15" s="23"/>
      <c r="X15" s="23">
        <v>0</v>
      </c>
      <c r="Y15" s="23"/>
      <c r="Z15" s="23">
        <f t="shared" si="1"/>
        <v>7030.6295731616983</v>
      </c>
      <c r="AA15" s="21"/>
      <c r="AB15" s="33">
        <f t="shared" si="2"/>
        <v>3515.3147865808492</v>
      </c>
      <c r="AC15" s="21"/>
    </row>
    <row r="16" spans="2:31" x14ac:dyDescent="0.2">
      <c r="B16" s="32" t="s">
        <v>18</v>
      </c>
      <c r="C16" s="24"/>
      <c r="D16" s="21">
        <v>2020</v>
      </c>
      <c r="E16" s="24"/>
      <c r="F16" s="220">
        <v>0</v>
      </c>
      <c r="G16" s="24"/>
      <c r="H16" s="219">
        <v>0</v>
      </c>
      <c r="I16" s="21"/>
      <c r="J16" s="219">
        <v>0</v>
      </c>
      <c r="K16" s="21"/>
      <c r="L16" s="222">
        <v>1313596.76</v>
      </c>
      <c r="M16" s="21"/>
      <c r="N16" s="220">
        <f t="shared" si="3"/>
        <v>1313596.76</v>
      </c>
      <c r="O16" s="21"/>
      <c r="P16" s="28">
        <v>5.8602364517541137E-3</v>
      </c>
      <c r="Q16" s="21"/>
      <c r="R16" s="22">
        <f t="shared" si="4"/>
        <v>7409.0104488626994</v>
      </c>
      <c r="S16" s="21"/>
      <c r="T16" s="214">
        <f t="shared" si="0"/>
        <v>0</v>
      </c>
      <c r="U16" s="23"/>
      <c r="V16" s="23">
        <v>0</v>
      </c>
      <c r="W16" s="23"/>
      <c r="X16" s="23">
        <v>0</v>
      </c>
      <c r="Y16" s="23"/>
      <c r="Z16" s="23">
        <f t="shared" si="1"/>
        <v>7409.0104488626994</v>
      </c>
      <c r="AA16" s="21"/>
      <c r="AB16" s="33">
        <f t="shared" si="2"/>
        <v>3704.5052244313497</v>
      </c>
      <c r="AC16" s="21"/>
    </row>
    <row r="17" spans="2:29" x14ac:dyDescent="0.2">
      <c r="B17" s="32" t="s">
        <v>19</v>
      </c>
      <c r="C17" s="24"/>
      <c r="D17" s="21">
        <v>2020</v>
      </c>
      <c r="E17" s="24"/>
      <c r="F17" s="220">
        <v>0</v>
      </c>
      <c r="G17" s="24"/>
      <c r="H17" s="219">
        <v>0</v>
      </c>
      <c r="I17" s="21"/>
      <c r="J17" s="219">
        <v>0</v>
      </c>
      <c r="K17" s="21"/>
      <c r="L17" s="222">
        <v>1373996.69</v>
      </c>
      <c r="M17" s="21"/>
      <c r="N17" s="220">
        <f t="shared" si="3"/>
        <v>1373996.69</v>
      </c>
      <c r="O17" s="21"/>
      <c r="P17" s="28">
        <v>5.8602364517541137E-3</v>
      </c>
      <c r="Q17" s="21"/>
      <c r="R17" s="22">
        <f t="shared" si="4"/>
        <v>7697.9876158581001</v>
      </c>
      <c r="S17" s="21"/>
      <c r="T17" s="214">
        <f t="shared" si="0"/>
        <v>0</v>
      </c>
      <c r="U17" s="23"/>
      <c r="V17" s="23">
        <v>0</v>
      </c>
      <c r="W17" s="23"/>
      <c r="X17" s="23">
        <v>0</v>
      </c>
      <c r="Y17" s="23"/>
      <c r="Z17" s="23">
        <f t="shared" si="1"/>
        <v>7697.9876158581001</v>
      </c>
      <c r="AA17" s="21"/>
      <c r="AB17" s="33">
        <f t="shared" si="2"/>
        <v>3848.99380792905</v>
      </c>
      <c r="AC17" s="21"/>
    </row>
    <row r="18" spans="2:29" x14ac:dyDescent="0.2">
      <c r="B18" s="32" t="s">
        <v>8</v>
      </c>
      <c r="C18" s="24"/>
      <c r="D18" s="21">
        <v>2020</v>
      </c>
      <c r="E18" s="24"/>
      <c r="F18" s="220">
        <v>0</v>
      </c>
      <c r="G18" s="24"/>
      <c r="H18" s="219">
        <v>0</v>
      </c>
      <c r="I18" s="21"/>
      <c r="J18" s="219">
        <v>0</v>
      </c>
      <c r="K18" s="21"/>
      <c r="L18" s="222">
        <v>1440445.6199999999</v>
      </c>
      <c r="M18" s="21"/>
      <c r="N18" s="220">
        <f t="shared" si="3"/>
        <v>1440445.6199999999</v>
      </c>
      <c r="O18" s="21"/>
      <c r="P18" s="28">
        <v>5.8602364517541137E-3</v>
      </c>
      <c r="Q18" s="21"/>
      <c r="R18" s="22">
        <f t="shared" si="4"/>
        <v>8051.9454873274963</v>
      </c>
      <c r="S18" s="21"/>
      <c r="T18" s="214">
        <f t="shared" si="0"/>
        <v>0</v>
      </c>
      <c r="U18" s="23"/>
      <c r="V18" s="23">
        <v>0</v>
      </c>
      <c r="W18" s="23"/>
      <c r="X18" s="23">
        <v>0</v>
      </c>
      <c r="Y18" s="23"/>
      <c r="Z18" s="23">
        <f t="shared" si="1"/>
        <v>8051.9454873274963</v>
      </c>
      <c r="AA18" s="21"/>
      <c r="AB18" s="33">
        <f t="shared" si="2"/>
        <v>4025.9727436637481</v>
      </c>
      <c r="AC18" s="21"/>
    </row>
    <row r="19" spans="2:29" x14ac:dyDescent="0.2">
      <c r="B19" s="32" t="s">
        <v>9</v>
      </c>
      <c r="C19" s="24"/>
      <c r="D19" s="21">
        <v>2020</v>
      </c>
      <c r="E19" s="24"/>
      <c r="F19" s="220">
        <v>0</v>
      </c>
      <c r="G19" s="24"/>
      <c r="H19" s="219">
        <v>0</v>
      </c>
      <c r="I19" s="21"/>
      <c r="J19" s="219">
        <v>0</v>
      </c>
      <c r="K19" s="21"/>
      <c r="L19" s="222">
        <v>1518414.6700000002</v>
      </c>
      <c r="M19" s="21"/>
      <c r="N19" s="220">
        <f t="shared" si="3"/>
        <v>1518414.6700000002</v>
      </c>
      <c r="O19" s="21"/>
      <c r="P19" s="28">
        <v>5.8602364517541137E-3</v>
      </c>
      <c r="Q19" s="21"/>
      <c r="R19" s="22">
        <f t="shared" si="4"/>
        <v>8441.3519290935528</v>
      </c>
      <c r="S19" s="21"/>
      <c r="T19" s="214">
        <f t="shared" si="0"/>
        <v>0</v>
      </c>
      <c r="U19" s="23"/>
      <c r="V19" s="23">
        <v>0</v>
      </c>
      <c r="W19" s="23"/>
      <c r="X19" s="23">
        <v>0</v>
      </c>
      <c r="Y19" s="23"/>
      <c r="Z19" s="23">
        <f t="shared" si="1"/>
        <v>8441.3519290935528</v>
      </c>
      <c r="AA19" s="21"/>
      <c r="AB19" s="33">
        <f t="shared" si="2"/>
        <v>4220.6759645467764</v>
      </c>
      <c r="AC19" s="21"/>
    </row>
    <row r="20" spans="2:29" x14ac:dyDescent="0.2">
      <c r="B20" s="32" t="s">
        <v>10</v>
      </c>
      <c r="C20" s="22"/>
      <c r="D20" s="21">
        <v>2020</v>
      </c>
      <c r="E20" s="22"/>
      <c r="F20" s="220">
        <v>0</v>
      </c>
      <c r="G20" s="22"/>
      <c r="H20" s="219">
        <v>0</v>
      </c>
      <c r="I20" s="21"/>
      <c r="J20" s="219">
        <v>0</v>
      </c>
      <c r="K20" s="21"/>
      <c r="L20" s="222">
        <v>1513036.4900000002</v>
      </c>
      <c r="M20" s="21"/>
      <c r="N20" s="220">
        <f t="shared" si="3"/>
        <v>1513036.4900000002</v>
      </c>
      <c r="O20" s="21"/>
      <c r="P20" s="28">
        <v>5.8602364517541137E-3</v>
      </c>
      <c r="Q20" s="21"/>
      <c r="R20" s="22">
        <f t="shared" si="4"/>
        <v>8898.2689980121941</v>
      </c>
      <c r="S20" s="21"/>
      <c r="T20" s="214">
        <f t="shared" si="0"/>
        <v>0</v>
      </c>
      <c r="U20" s="23"/>
      <c r="V20" s="23">
        <v>0</v>
      </c>
      <c r="W20" s="23"/>
      <c r="X20" s="23">
        <v>0</v>
      </c>
      <c r="Y20" s="23"/>
      <c r="Z20" s="23">
        <f t="shared" si="1"/>
        <v>8898.2689980121941</v>
      </c>
      <c r="AA20" s="21"/>
      <c r="AB20" s="33">
        <f t="shared" si="2"/>
        <v>4449.134499006097</v>
      </c>
      <c r="AC20" s="21"/>
    </row>
    <row r="21" spans="2:29" x14ac:dyDescent="0.2">
      <c r="B21" s="32" t="s">
        <v>11</v>
      </c>
      <c r="C21" s="24"/>
      <c r="D21" s="21">
        <v>2021</v>
      </c>
      <c r="E21" s="24"/>
      <c r="F21" s="220">
        <v>0</v>
      </c>
      <c r="G21" s="24"/>
      <c r="H21" s="219">
        <v>0</v>
      </c>
      <c r="I21" s="21"/>
      <c r="J21" s="219">
        <v>0</v>
      </c>
      <c r="K21" s="21"/>
      <c r="L21" s="222">
        <v>1698193.9700000009</v>
      </c>
      <c r="M21" s="21"/>
      <c r="N21" s="220">
        <f t="shared" si="3"/>
        <v>1698193.9700000009</v>
      </c>
      <c r="O21" s="21"/>
      <c r="P21" s="28">
        <v>5.8602364517541137E-3</v>
      </c>
      <c r="Q21" s="21"/>
      <c r="R21" s="22">
        <f t="shared" si="4"/>
        <v>8866.7515915321001</v>
      </c>
      <c r="S21" s="21"/>
      <c r="T21" s="214">
        <f t="shared" si="0"/>
        <v>0</v>
      </c>
      <c r="U21" s="23"/>
      <c r="V21" s="23">
        <v>0</v>
      </c>
      <c r="W21" s="23"/>
      <c r="X21" s="23">
        <v>0</v>
      </c>
      <c r="Y21" s="23"/>
      <c r="Z21" s="23">
        <f t="shared" si="1"/>
        <v>8866.7515915321001</v>
      </c>
      <c r="AA21" s="21"/>
      <c r="AB21" s="33">
        <f t="shared" si="2"/>
        <v>4433.37579576605</v>
      </c>
      <c r="AC21" s="21"/>
    </row>
    <row r="22" spans="2:29" x14ac:dyDescent="0.2">
      <c r="B22" s="32" t="s">
        <v>12</v>
      </c>
      <c r="C22" s="24"/>
      <c r="D22" s="21">
        <v>2021</v>
      </c>
      <c r="E22" s="24"/>
      <c r="F22" s="220">
        <v>0</v>
      </c>
      <c r="G22" s="24"/>
      <c r="H22" s="219">
        <v>0</v>
      </c>
      <c r="I22" s="21"/>
      <c r="J22" s="219">
        <v>0</v>
      </c>
      <c r="K22" s="21"/>
      <c r="L22" s="222">
        <v>1675439.8200000003</v>
      </c>
      <c r="M22" s="21"/>
      <c r="N22" s="220">
        <f t="shared" si="3"/>
        <v>1675439.8200000003</v>
      </c>
      <c r="O22" s="21"/>
      <c r="P22" s="28">
        <v>5.8602364517541137E-3</v>
      </c>
      <c r="Q22" s="21"/>
      <c r="R22" s="22">
        <f t="shared" si="4"/>
        <v>9951.8182051430376</v>
      </c>
      <c r="S22" s="21"/>
      <c r="T22" s="214">
        <f t="shared" si="0"/>
        <v>0</v>
      </c>
      <c r="U22" s="23"/>
      <c r="V22" s="23">
        <v>0</v>
      </c>
      <c r="W22" s="23"/>
      <c r="X22" s="23">
        <v>0</v>
      </c>
      <c r="Y22" s="23"/>
      <c r="Z22" s="23">
        <f t="shared" si="1"/>
        <v>9951.8182051430376</v>
      </c>
      <c r="AA22" s="21"/>
      <c r="AB22" s="33">
        <f t="shared" si="2"/>
        <v>4975.9091025715188</v>
      </c>
      <c r="AC22" s="21"/>
    </row>
    <row r="23" spans="2:29" x14ac:dyDescent="0.2">
      <c r="B23" s="32" t="s">
        <v>13</v>
      </c>
      <c r="C23" s="24"/>
      <c r="D23" s="21">
        <v>2021</v>
      </c>
      <c r="E23" s="24"/>
      <c r="F23" s="220">
        <v>0</v>
      </c>
      <c r="G23" s="24"/>
      <c r="H23" s="219">
        <v>0</v>
      </c>
      <c r="I23" s="21"/>
      <c r="J23" s="219">
        <v>0</v>
      </c>
      <c r="K23" s="21"/>
      <c r="L23" s="222">
        <v>1786684.4000000008</v>
      </c>
      <c r="M23" s="21"/>
      <c r="N23" s="220">
        <f t="shared" si="3"/>
        <v>1786684.4000000008</v>
      </c>
      <c r="O23" s="21"/>
      <c r="P23" s="28">
        <v>5.8602364517541137E-3</v>
      </c>
      <c r="Q23" s="21"/>
      <c r="R23" s="22">
        <f t="shared" si="4"/>
        <v>9818.4735058843526</v>
      </c>
      <c r="S23" s="21"/>
      <c r="T23" s="214">
        <f t="shared" si="0"/>
        <v>0</v>
      </c>
      <c r="U23" s="23"/>
      <c r="V23" s="23">
        <v>0</v>
      </c>
      <c r="W23" s="23"/>
      <c r="X23" s="23">
        <v>0</v>
      </c>
      <c r="Y23" s="23"/>
      <c r="Z23" s="23">
        <f t="shared" si="1"/>
        <v>9818.4735058843526</v>
      </c>
      <c r="AA23" s="21"/>
      <c r="AB23" s="33">
        <f t="shared" si="2"/>
        <v>4909.2367529421763</v>
      </c>
      <c r="AC23" s="21"/>
    </row>
    <row r="24" spans="2:29" x14ac:dyDescent="0.2">
      <c r="B24" s="32" t="s">
        <v>14</v>
      </c>
      <c r="C24" s="24"/>
      <c r="D24" s="21">
        <v>2021</v>
      </c>
      <c r="E24" s="24"/>
      <c r="F24" s="220">
        <v>0</v>
      </c>
      <c r="G24" s="24"/>
      <c r="H24" s="219">
        <v>0</v>
      </c>
      <c r="I24" s="21"/>
      <c r="J24" s="219">
        <v>0</v>
      </c>
      <c r="K24" s="21"/>
      <c r="L24" s="222">
        <v>1759395.8400000008</v>
      </c>
      <c r="M24" s="21"/>
      <c r="N24" s="220">
        <f t="shared" si="3"/>
        <v>1759395.8400000008</v>
      </c>
      <c r="O24" s="21"/>
      <c r="P24" s="28">
        <v>5.8602364517541137E-3</v>
      </c>
      <c r="Q24" s="21"/>
      <c r="R24" s="22">
        <f t="shared" si="4"/>
        <v>10470.393048660433</v>
      </c>
      <c r="S24" s="21"/>
      <c r="T24" s="214">
        <f t="shared" si="0"/>
        <v>0</v>
      </c>
      <c r="U24" s="23"/>
      <c r="V24" s="23">
        <v>0</v>
      </c>
      <c r="W24" s="23"/>
      <c r="X24" s="23">
        <v>0</v>
      </c>
      <c r="Y24" s="23"/>
      <c r="Z24" s="23">
        <f t="shared" si="1"/>
        <v>10470.393048660433</v>
      </c>
      <c r="AA24" s="21"/>
      <c r="AB24" s="33">
        <f t="shared" si="2"/>
        <v>5235.1965243302166</v>
      </c>
      <c r="AC24" s="21"/>
    </row>
    <row r="25" spans="2:29" x14ac:dyDescent="0.2">
      <c r="B25" s="32" t="s">
        <v>15</v>
      </c>
      <c r="C25" s="24"/>
      <c r="D25" s="21">
        <v>2021</v>
      </c>
      <c r="E25" s="24"/>
      <c r="F25" s="220">
        <v>0</v>
      </c>
      <c r="G25" s="24"/>
      <c r="H25" s="219">
        <v>0</v>
      </c>
      <c r="I25" s="21"/>
      <c r="J25" s="219">
        <v>0</v>
      </c>
      <c r="K25" s="21"/>
      <c r="L25" s="222">
        <v>1795613.1400000006</v>
      </c>
      <c r="M25" s="21"/>
      <c r="N25" s="220">
        <f t="shared" si="3"/>
        <v>1795613.1400000006</v>
      </c>
      <c r="O25" s="21"/>
      <c r="P25" s="28">
        <v>5.8602364517541137E-3</v>
      </c>
      <c r="Q25" s="21"/>
      <c r="R25" s="22">
        <f t="shared" si="4"/>
        <v>10310.475634632552</v>
      </c>
      <c r="S25" s="21"/>
      <c r="T25" s="214">
        <f t="shared" si="0"/>
        <v>0</v>
      </c>
      <c r="U25" s="23"/>
      <c r="V25" s="23">
        <v>0</v>
      </c>
      <c r="W25" s="23"/>
      <c r="X25" s="23">
        <v>0</v>
      </c>
      <c r="Y25" s="23"/>
      <c r="Z25" s="23">
        <f t="shared" si="1"/>
        <v>10310.475634632552</v>
      </c>
      <c r="AA25" s="21"/>
      <c r="AB25" s="33">
        <f t="shared" si="2"/>
        <v>5155.2378173162761</v>
      </c>
      <c r="AC25" s="21"/>
    </row>
    <row r="26" spans="2:29" x14ac:dyDescent="0.2">
      <c r="B26" s="32" t="s">
        <v>16</v>
      </c>
      <c r="C26" s="24"/>
      <c r="D26" s="21">
        <v>2021</v>
      </c>
      <c r="E26" s="24"/>
      <c r="F26" s="220">
        <v>0</v>
      </c>
      <c r="G26" s="24"/>
      <c r="H26" s="219">
        <v>0</v>
      </c>
      <c r="I26" s="21"/>
      <c r="J26" s="219">
        <v>0</v>
      </c>
      <c r="K26" s="21"/>
      <c r="L26" s="222">
        <v>1856440.9600000007</v>
      </c>
      <c r="M26" s="21"/>
      <c r="N26" s="220">
        <f t="shared" si="3"/>
        <v>1856440.9600000007</v>
      </c>
      <c r="O26" s="21"/>
      <c r="P26" s="28">
        <v>5.8602364517541137E-3</v>
      </c>
      <c r="Q26" s="21"/>
      <c r="R26" s="22">
        <f t="shared" si="4"/>
        <v>10522.717576276666</v>
      </c>
      <c r="S26" s="21"/>
      <c r="T26" s="214">
        <f t="shared" si="0"/>
        <v>0</v>
      </c>
      <c r="U26" s="23"/>
      <c r="V26" s="23">
        <v>0</v>
      </c>
      <c r="W26" s="23"/>
      <c r="X26" s="23">
        <v>0</v>
      </c>
      <c r="Y26" s="23"/>
      <c r="Z26" s="23">
        <f t="shared" si="1"/>
        <v>10522.717576276666</v>
      </c>
      <c r="AA26" s="21"/>
      <c r="AB26" s="33">
        <f t="shared" si="2"/>
        <v>5261.3587881383328</v>
      </c>
      <c r="AC26" s="21"/>
    </row>
    <row r="27" spans="2:29" x14ac:dyDescent="0.2">
      <c r="B27" s="32" t="s">
        <v>17</v>
      </c>
      <c r="C27" s="24"/>
      <c r="D27" s="21">
        <v>2021</v>
      </c>
      <c r="E27" s="24"/>
      <c r="F27" s="220">
        <v>0</v>
      </c>
      <c r="G27" s="24"/>
      <c r="H27" s="219">
        <v>0</v>
      </c>
      <c r="I27" s="21"/>
      <c r="J27" s="219">
        <v>0</v>
      </c>
      <c r="K27" s="21"/>
      <c r="L27" s="222">
        <v>1916110.7900000007</v>
      </c>
      <c r="M27" s="21"/>
      <c r="N27" s="220">
        <f t="shared" si="3"/>
        <v>1916110.7900000007</v>
      </c>
      <c r="O27" s="21"/>
      <c r="P27" s="28">
        <v>5.8602364517541137E-3</v>
      </c>
      <c r="Q27" s="21"/>
      <c r="R27" s="22">
        <f t="shared" si="4"/>
        <v>10879.182984321404</v>
      </c>
      <c r="S27" s="21"/>
      <c r="T27" s="214">
        <f t="shared" si="0"/>
        <v>0</v>
      </c>
      <c r="U27" s="23"/>
      <c r="V27" s="23">
        <v>0</v>
      </c>
      <c r="W27" s="23"/>
      <c r="X27" s="23">
        <v>0</v>
      </c>
      <c r="Y27" s="23"/>
      <c r="Z27" s="23">
        <f t="shared" si="1"/>
        <v>10879.182984321404</v>
      </c>
      <c r="AA27" s="21"/>
      <c r="AB27" s="33">
        <f t="shared" si="2"/>
        <v>5439.5914921607018</v>
      </c>
      <c r="AC27" s="21"/>
    </row>
    <row r="28" spans="2:29" x14ac:dyDescent="0.2">
      <c r="B28" s="32" t="s">
        <v>18</v>
      </c>
      <c r="C28" s="24"/>
      <c r="D28" s="21">
        <v>2021</v>
      </c>
      <c r="E28" s="24"/>
      <c r="F28" s="220">
        <v>0</v>
      </c>
      <c r="G28" s="24"/>
      <c r="H28" s="219">
        <v>0</v>
      </c>
      <c r="I28" s="21"/>
      <c r="J28" s="219">
        <v>0</v>
      </c>
      <c r="K28" s="21"/>
      <c r="L28" s="222">
        <v>1926112.2900000003</v>
      </c>
      <c r="M28" s="21"/>
      <c r="N28" s="220">
        <f t="shared" si="3"/>
        <v>1926112.2900000003</v>
      </c>
      <c r="O28" s="21"/>
      <c r="P28" s="28">
        <v>5.8602364517541137E-3</v>
      </c>
      <c r="Q28" s="21"/>
      <c r="R28" s="22">
        <f t="shared" si="4"/>
        <v>11228.862297157377</v>
      </c>
      <c r="S28" s="21"/>
      <c r="T28" s="214">
        <f t="shared" si="0"/>
        <v>0</v>
      </c>
      <c r="U28" s="23"/>
      <c r="V28" s="23">
        <v>0</v>
      </c>
      <c r="W28" s="23"/>
      <c r="X28" s="23">
        <v>0</v>
      </c>
      <c r="Y28" s="23"/>
      <c r="Z28" s="23">
        <f t="shared" si="1"/>
        <v>11228.862297157377</v>
      </c>
      <c r="AA28" s="21"/>
      <c r="AB28" s="33">
        <f t="shared" si="2"/>
        <v>5614.4311485786884</v>
      </c>
      <c r="AC28" s="21"/>
    </row>
    <row r="29" spans="2:29" x14ac:dyDescent="0.2">
      <c r="B29" s="32" t="s">
        <v>19</v>
      </c>
      <c r="C29" s="24"/>
      <c r="D29" s="21">
        <v>2021</v>
      </c>
      <c r="E29" s="24"/>
      <c r="F29" s="220">
        <v>0</v>
      </c>
      <c r="G29" s="24"/>
      <c r="H29" s="219">
        <v>0</v>
      </c>
      <c r="I29" s="21"/>
      <c r="J29" s="219">
        <v>0</v>
      </c>
      <c r="K29" s="21"/>
      <c r="L29" s="222">
        <v>1723060.7100000009</v>
      </c>
      <c r="M29" s="21"/>
      <c r="N29" s="220">
        <f t="shared" si="3"/>
        <v>1723060.7100000009</v>
      </c>
      <c r="O29" s="21"/>
      <c r="P29" s="28">
        <v>5.8602364517541137E-3</v>
      </c>
      <c r="Q29" s="21"/>
      <c r="R29" s="22">
        <f t="shared" si="4"/>
        <v>11287.473452029591</v>
      </c>
      <c r="S29" s="21"/>
      <c r="T29" s="214">
        <f t="shared" si="0"/>
        <v>0</v>
      </c>
      <c r="U29" s="23"/>
      <c r="V29" s="23">
        <v>0</v>
      </c>
      <c r="W29" s="23"/>
      <c r="X29" s="23">
        <v>0</v>
      </c>
      <c r="Y29" s="23"/>
      <c r="Z29" s="23">
        <f t="shared" si="1"/>
        <v>11287.473452029591</v>
      </c>
      <c r="AA29" s="21"/>
      <c r="AB29" s="33">
        <f t="shared" si="2"/>
        <v>5643.7367260147957</v>
      </c>
      <c r="AC29" s="21"/>
    </row>
    <row r="30" spans="2:29" x14ac:dyDescent="0.2">
      <c r="B30" s="32" t="s">
        <v>8</v>
      </c>
      <c r="C30" s="24"/>
      <c r="D30" s="21">
        <v>2021</v>
      </c>
      <c r="E30" s="24"/>
      <c r="F30" s="220">
        <v>0</v>
      </c>
      <c r="G30" s="24"/>
      <c r="H30" s="219">
        <v>0</v>
      </c>
      <c r="I30" s="21"/>
      <c r="J30" s="219">
        <v>0</v>
      </c>
      <c r="K30" s="21"/>
      <c r="L30" s="222">
        <v>1734801.2200000011</v>
      </c>
      <c r="M30" s="21"/>
      <c r="N30" s="220">
        <f t="shared" si="3"/>
        <v>1734801.2200000011</v>
      </c>
      <c r="O30" s="21"/>
      <c r="P30" s="28">
        <v>5.8602364517541137E-3</v>
      </c>
      <c r="Q30" s="21"/>
      <c r="R30" s="22">
        <f t="shared" si="4"/>
        <v>10097.54318132733</v>
      </c>
      <c r="S30" s="21"/>
      <c r="T30" s="214">
        <f t="shared" si="0"/>
        <v>0</v>
      </c>
      <c r="U30" s="23"/>
      <c r="V30" s="23">
        <v>0</v>
      </c>
      <c r="W30" s="23"/>
      <c r="X30" s="23">
        <v>0</v>
      </c>
      <c r="Y30" s="23"/>
      <c r="Z30" s="23">
        <f t="shared" si="1"/>
        <v>10097.54318132733</v>
      </c>
      <c r="AA30" s="21"/>
      <c r="AB30" s="33">
        <f t="shared" si="2"/>
        <v>5048.7715906636649</v>
      </c>
      <c r="AC30" s="21"/>
    </row>
    <row r="31" spans="2:29" x14ac:dyDescent="0.2">
      <c r="B31" s="32" t="s">
        <v>9</v>
      </c>
      <c r="C31" s="24"/>
      <c r="D31" s="21">
        <v>2021</v>
      </c>
      <c r="E31" s="24"/>
      <c r="F31" s="220">
        <v>0</v>
      </c>
      <c r="G31" s="24"/>
      <c r="H31" s="219">
        <v>0</v>
      </c>
      <c r="I31" s="21"/>
      <c r="J31" s="219">
        <v>0</v>
      </c>
      <c r="K31" s="21"/>
      <c r="L31" s="222">
        <v>3174562.7599999988</v>
      </c>
      <c r="M31" s="21"/>
      <c r="N31" s="220">
        <f t="shared" si="3"/>
        <v>3174562.7599999988</v>
      </c>
      <c r="O31" s="21"/>
      <c r="P31" s="28">
        <v>5.8602364517541137E-3</v>
      </c>
      <c r="Q31" s="21"/>
      <c r="R31" s="22">
        <f t="shared" si="4"/>
        <v>10166.345345991514</v>
      </c>
      <c r="S31" s="21"/>
      <c r="T31" s="214">
        <f t="shared" si="0"/>
        <v>0</v>
      </c>
      <c r="U31" s="23"/>
      <c r="V31" s="23">
        <v>0</v>
      </c>
      <c r="W31" s="23"/>
      <c r="X31" s="23">
        <v>0</v>
      </c>
      <c r="Y31" s="23"/>
      <c r="Z31" s="23">
        <f t="shared" si="1"/>
        <v>10166.345345991514</v>
      </c>
      <c r="AA31" s="21"/>
      <c r="AB31" s="33">
        <f t="shared" si="2"/>
        <v>5083.1726729957572</v>
      </c>
      <c r="AC31" s="21"/>
    </row>
    <row r="32" spans="2:29" x14ac:dyDescent="0.2">
      <c r="B32" s="32" t="s">
        <v>10</v>
      </c>
      <c r="C32" s="22"/>
      <c r="D32" s="21">
        <v>2021</v>
      </c>
      <c r="E32" s="22"/>
      <c r="F32" s="220">
        <v>0</v>
      </c>
      <c r="G32" s="22"/>
      <c r="H32" s="219">
        <v>0</v>
      </c>
      <c r="I32" s="21"/>
      <c r="J32" s="219">
        <v>0</v>
      </c>
      <c r="K32" s="21"/>
      <c r="L32" s="222">
        <v>4943439.9300000006</v>
      </c>
      <c r="M32" s="21"/>
      <c r="N32" s="220">
        <f t="shared" si="3"/>
        <v>4943439.9300000006</v>
      </c>
      <c r="O32" s="21"/>
      <c r="P32" s="28">
        <v>5.8602364517541137E-3</v>
      </c>
      <c r="Q32" s="21"/>
      <c r="R32" s="22">
        <f t="shared" si="4"/>
        <v>18603.688404533139</v>
      </c>
      <c r="S32" s="21"/>
      <c r="T32" s="214">
        <f t="shared" si="0"/>
        <v>0</v>
      </c>
      <c r="U32" s="23"/>
      <c r="V32" s="23">
        <v>24.197013233749999</v>
      </c>
      <c r="W32" s="23"/>
      <c r="X32" s="23">
        <v>42723.575961255432</v>
      </c>
      <c r="Y32" s="23"/>
      <c r="Z32" s="23">
        <f t="shared" si="1"/>
        <v>61351.461379022323</v>
      </c>
      <c r="AA32" s="21"/>
      <c r="AB32" s="33">
        <f t="shared" si="2"/>
        <v>30675.730689511161</v>
      </c>
      <c r="AC32" s="21"/>
    </row>
    <row r="33" spans="2:29" x14ac:dyDescent="0.2">
      <c r="B33" s="32" t="s">
        <v>11</v>
      </c>
      <c r="C33" s="24"/>
      <c r="D33" s="21">
        <v>2022</v>
      </c>
      <c r="E33" s="24"/>
      <c r="F33" s="220">
        <v>0</v>
      </c>
      <c r="G33" s="24"/>
      <c r="H33" s="219">
        <v>0</v>
      </c>
      <c r="I33" s="21"/>
      <c r="J33" s="219">
        <v>0</v>
      </c>
      <c r="K33" s="21"/>
      <c r="L33" s="222">
        <v>5190728.1800000016</v>
      </c>
      <c r="M33" s="21"/>
      <c r="N33" s="220">
        <f t="shared" si="3"/>
        <v>5190728.1800000016</v>
      </c>
      <c r="O33" s="21"/>
      <c r="P33" s="28">
        <v>5.6759366060026668E-3</v>
      </c>
      <c r="Q33" s="21"/>
      <c r="R33" s="22">
        <f t="shared" si="4"/>
        <v>28058.651658262264</v>
      </c>
      <c r="S33" s="21"/>
      <c r="T33" s="214">
        <f t="shared" si="0"/>
        <v>0</v>
      </c>
      <c r="U33" s="23"/>
      <c r="V33" s="23">
        <v>70.207195019500006</v>
      </c>
      <c r="W33" s="23"/>
      <c r="X33" s="23">
        <v>0</v>
      </c>
      <c r="Y33" s="23"/>
      <c r="Z33" s="23">
        <f t="shared" si="1"/>
        <v>28128.858853281763</v>
      </c>
      <c r="AA33" s="21"/>
      <c r="AB33" s="33">
        <f t="shared" si="2"/>
        <v>14064.429426640882</v>
      </c>
      <c r="AC33" s="21"/>
    </row>
    <row r="34" spans="2:29" x14ac:dyDescent="0.2">
      <c r="B34" s="32" t="s">
        <v>12</v>
      </c>
      <c r="C34" s="24"/>
      <c r="D34" s="21">
        <v>2022</v>
      </c>
      <c r="E34" s="24"/>
      <c r="F34" s="220">
        <v>0</v>
      </c>
      <c r="G34" s="24"/>
      <c r="H34" s="219">
        <v>0</v>
      </c>
      <c r="I34" s="21"/>
      <c r="J34" s="219">
        <v>0</v>
      </c>
      <c r="K34" s="21"/>
      <c r="L34" s="222">
        <v>5855918.9200000009</v>
      </c>
      <c r="M34" s="21"/>
      <c r="N34" s="220">
        <f t="shared" si="3"/>
        <v>5855918.9200000009</v>
      </c>
      <c r="O34" s="21"/>
      <c r="P34" s="28">
        <v>5.6759366060026668E-3</v>
      </c>
      <c r="Q34" s="21"/>
      <c r="R34" s="22">
        <f t="shared" si="4"/>
        <v>29462.24408867161</v>
      </c>
      <c r="S34" s="21"/>
      <c r="T34" s="214">
        <f t="shared" si="0"/>
        <v>0</v>
      </c>
      <c r="U34" s="23"/>
      <c r="V34" s="23">
        <v>88.202383795749995</v>
      </c>
      <c r="W34" s="23"/>
      <c r="X34" s="23">
        <v>0</v>
      </c>
      <c r="Y34" s="23"/>
      <c r="Z34" s="23">
        <f t="shared" si="1"/>
        <v>29550.44647246736</v>
      </c>
      <c r="AA34" s="21"/>
      <c r="AB34" s="33">
        <f t="shared" si="2"/>
        <v>14775.22323623368</v>
      </c>
      <c r="AC34" s="21"/>
    </row>
    <row r="35" spans="2:29" x14ac:dyDescent="0.2">
      <c r="B35" s="32" t="s">
        <v>13</v>
      </c>
      <c r="C35" s="24"/>
      <c r="D35" s="21">
        <v>2022</v>
      </c>
      <c r="E35" s="24"/>
      <c r="F35" s="220">
        <v>0</v>
      </c>
      <c r="G35" s="24"/>
      <c r="H35" s="219">
        <v>0</v>
      </c>
      <c r="I35" s="21"/>
      <c r="J35" s="219">
        <v>0</v>
      </c>
      <c r="K35" s="21"/>
      <c r="L35" s="222">
        <v>6645682.5499999998</v>
      </c>
      <c r="M35" s="21"/>
      <c r="N35" s="220">
        <f t="shared" si="3"/>
        <v>6645682.5499999998</v>
      </c>
      <c r="O35" s="21"/>
      <c r="P35" s="28">
        <v>5.6759366060026668E-3</v>
      </c>
      <c r="Q35" s="21"/>
      <c r="R35" s="22">
        <f t="shared" si="4"/>
        <v>33237.824559811605</v>
      </c>
      <c r="S35" s="21"/>
      <c r="T35" s="214">
        <f t="shared" si="0"/>
        <v>0</v>
      </c>
      <c r="U35" s="23"/>
      <c r="V35" s="23">
        <v>117.05637495825</v>
      </c>
      <c r="W35" s="23"/>
      <c r="X35" s="23">
        <v>0</v>
      </c>
      <c r="Y35" s="23"/>
      <c r="Z35" s="23">
        <f t="shared" si="1"/>
        <v>33354.880934769855</v>
      </c>
      <c r="AA35" s="21"/>
      <c r="AB35" s="33">
        <f t="shared" si="2"/>
        <v>16677.440467384928</v>
      </c>
      <c r="AC35" s="21"/>
    </row>
    <row r="36" spans="2:29" x14ac:dyDescent="0.2">
      <c r="B36" s="32" t="s">
        <v>14</v>
      </c>
      <c r="C36" s="24"/>
      <c r="D36" s="21">
        <v>2022</v>
      </c>
      <c r="E36" s="24"/>
      <c r="F36" s="220">
        <v>0</v>
      </c>
      <c r="G36" s="24"/>
      <c r="H36" s="219">
        <v>0</v>
      </c>
      <c r="I36" s="21"/>
      <c r="J36" s="219">
        <v>0</v>
      </c>
      <c r="K36" s="21"/>
      <c r="L36" s="222">
        <v>10301722.700000001</v>
      </c>
      <c r="M36" s="21"/>
      <c r="N36" s="220">
        <f t="shared" si="3"/>
        <v>10301722.700000001</v>
      </c>
      <c r="O36" s="21"/>
      <c r="P36" s="28">
        <v>5.6759366060026668E-3</v>
      </c>
      <c r="Q36" s="21"/>
      <c r="R36" s="22">
        <f t="shared" si="4"/>
        <v>37720.47285741815</v>
      </c>
      <c r="S36" s="21"/>
      <c r="T36" s="214">
        <f t="shared" si="0"/>
        <v>0</v>
      </c>
      <c r="U36" s="23"/>
      <c r="V36" s="23">
        <v>145.47527232524999</v>
      </c>
      <c r="W36" s="23"/>
      <c r="X36" s="23">
        <v>0</v>
      </c>
      <c r="Y36" s="23"/>
      <c r="Z36" s="23">
        <f t="shared" si="1"/>
        <v>37865.948129743403</v>
      </c>
      <c r="AA36" s="21"/>
      <c r="AB36" s="33">
        <f t="shared" si="2"/>
        <v>18932.974064871702</v>
      </c>
      <c r="AC36" s="21"/>
    </row>
    <row r="37" spans="2:29" x14ac:dyDescent="0.2">
      <c r="B37" s="32" t="s">
        <v>15</v>
      </c>
      <c r="C37" s="24"/>
      <c r="D37" s="21">
        <v>2022</v>
      </c>
      <c r="E37" s="24"/>
      <c r="F37" s="220">
        <v>0</v>
      </c>
      <c r="G37" s="24"/>
      <c r="H37" s="219">
        <v>0</v>
      </c>
      <c r="I37" s="21"/>
      <c r="J37" s="219">
        <v>0</v>
      </c>
      <c r="K37" s="21"/>
      <c r="L37" s="222">
        <v>8734847.1099999994</v>
      </c>
      <c r="M37" s="21"/>
      <c r="N37" s="220">
        <f t="shared" si="3"/>
        <v>8734847.1099999994</v>
      </c>
      <c r="O37" s="21"/>
      <c r="P37" s="28">
        <v>5.6759366060026668E-3</v>
      </c>
      <c r="Q37" s="21"/>
      <c r="R37" s="22">
        <f t="shared" si="4"/>
        <v>58471.924977818635</v>
      </c>
      <c r="S37" s="21"/>
      <c r="T37" s="214">
        <f t="shared" si="0"/>
        <v>0</v>
      </c>
      <c r="U37" s="23"/>
      <c r="V37" s="23">
        <v>158.23582571474998</v>
      </c>
      <c r="W37" s="23"/>
      <c r="X37" s="23">
        <v>0</v>
      </c>
      <c r="Y37" s="23"/>
      <c r="Z37" s="23">
        <f t="shared" si="1"/>
        <v>58630.160803533385</v>
      </c>
      <c r="AA37" s="21"/>
      <c r="AB37" s="33">
        <f t="shared" si="2"/>
        <v>29315.080401766692</v>
      </c>
      <c r="AC37" s="21"/>
    </row>
    <row r="38" spans="2:29" x14ac:dyDescent="0.2">
      <c r="B38" s="32" t="s">
        <v>16</v>
      </c>
      <c r="C38" s="24"/>
      <c r="D38" s="21">
        <v>2022</v>
      </c>
      <c r="E38" s="24"/>
      <c r="F38" s="220">
        <v>0</v>
      </c>
      <c r="G38" s="24"/>
      <c r="H38" s="219">
        <v>0</v>
      </c>
      <c r="I38" s="21"/>
      <c r="J38" s="219">
        <v>0</v>
      </c>
      <c r="K38" s="21"/>
      <c r="L38" s="222">
        <v>16607442.669999998</v>
      </c>
      <c r="M38" s="21"/>
      <c r="N38" s="220">
        <f t="shared" si="3"/>
        <v>16607442.669999998</v>
      </c>
      <c r="O38" s="21"/>
      <c r="P38" s="28">
        <v>5.6759366060026668E-3</v>
      </c>
      <c r="Q38" s="21"/>
      <c r="R38" s="22">
        <f t="shared" si="4"/>
        <v>49578.438459485602</v>
      </c>
      <c r="S38" s="21"/>
      <c r="T38" s="214">
        <f t="shared" si="0"/>
        <v>0</v>
      </c>
      <c r="U38" s="23"/>
      <c r="V38" s="23">
        <v>170.93323809099996</v>
      </c>
      <c r="W38" s="23"/>
      <c r="X38" s="23">
        <v>0</v>
      </c>
      <c r="Y38" s="23"/>
      <c r="Z38" s="23">
        <f t="shared" si="1"/>
        <v>49749.3716975766</v>
      </c>
      <c r="AA38" s="21"/>
      <c r="AB38" s="33">
        <f t="shared" si="2"/>
        <v>24874.6858487883</v>
      </c>
      <c r="AC38" s="21"/>
    </row>
    <row r="39" spans="2:29" x14ac:dyDescent="0.2">
      <c r="B39" s="32" t="s">
        <v>17</v>
      </c>
      <c r="C39" s="24"/>
      <c r="D39" s="21">
        <v>2022</v>
      </c>
      <c r="E39" s="24"/>
      <c r="F39" s="220">
        <v>0</v>
      </c>
      <c r="G39" s="24"/>
      <c r="H39" s="219">
        <v>0</v>
      </c>
      <c r="I39" s="21"/>
      <c r="J39" s="219">
        <v>0</v>
      </c>
      <c r="K39" s="21"/>
      <c r="L39" s="222">
        <v>19002260.48</v>
      </c>
      <c r="M39" s="21"/>
      <c r="N39" s="220">
        <f t="shared" si="3"/>
        <v>19002260.48</v>
      </c>
      <c r="O39" s="21"/>
      <c r="P39" s="28">
        <v>5.6759366060026668E-3</v>
      </c>
      <c r="Q39" s="21"/>
      <c r="R39" s="22">
        <f t="shared" si="4"/>
        <v>94262.791782743661</v>
      </c>
      <c r="S39" s="21"/>
      <c r="T39" s="214">
        <f t="shared" si="0"/>
        <v>0</v>
      </c>
      <c r="U39" s="23"/>
      <c r="V39" s="23">
        <v>180.31032147887501</v>
      </c>
      <c r="W39" s="23"/>
      <c r="X39" s="23">
        <v>0</v>
      </c>
      <c r="Y39" s="23"/>
      <c r="Z39" s="23">
        <f t="shared" si="1"/>
        <v>94443.102104222533</v>
      </c>
      <c r="AA39" s="21"/>
      <c r="AB39" s="33">
        <f t="shared" si="2"/>
        <v>47221.551052111266</v>
      </c>
      <c r="AC39" s="21"/>
    </row>
    <row r="40" spans="2:29" x14ac:dyDescent="0.2">
      <c r="B40" s="32" t="s">
        <v>18</v>
      </c>
      <c r="C40" s="24"/>
      <c r="D40" s="21">
        <v>2022</v>
      </c>
      <c r="E40" s="24"/>
      <c r="F40" s="220">
        <v>0</v>
      </c>
      <c r="G40" s="24"/>
      <c r="H40" s="219">
        <v>0</v>
      </c>
      <c r="I40" s="21"/>
      <c r="J40" s="219">
        <v>0</v>
      </c>
      <c r="K40" s="21"/>
      <c r="L40" s="222">
        <v>20589867.099999998</v>
      </c>
      <c r="M40" s="21"/>
      <c r="N40" s="220">
        <f t="shared" si="3"/>
        <v>20589867.099999998</v>
      </c>
      <c r="O40" s="21"/>
      <c r="P40" s="28">
        <v>5.6759366060026668E-3</v>
      </c>
      <c r="Q40" s="21"/>
      <c r="R40" s="22">
        <f t="shared" si="4"/>
        <v>107855.62585522981</v>
      </c>
      <c r="S40" s="21"/>
      <c r="T40" s="214">
        <f t="shared" ref="T40:T71" si="5">F39*($T$4/12)</f>
        <v>0</v>
      </c>
      <c r="U40" s="23"/>
      <c r="V40" s="23">
        <v>187.53612203812497</v>
      </c>
      <c r="W40" s="23"/>
      <c r="X40" s="23">
        <v>0</v>
      </c>
      <c r="Y40" s="23"/>
      <c r="Z40" s="23">
        <f t="shared" ref="Z40:Z71" si="6">SUM(R40:X40)</f>
        <v>108043.16197726794</v>
      </c>
      <c r="AA40" s="21"/>
      <c r="AB40" s="33">
        <f t="shared" si="2"/>
        <v>54021.58098863397</v>
      </c>
      <c r="AC40" s="21"/>
    </row>
    <row r="41" spans="2:29" x14ac:dyDescent="0.2">
      <c r="B41" s="32" t="s">
        <v>19</v>
      </c>
      <c r="C41" s="24"/>
      <c r="D41" s="21">
        <v>2022</v>
      </c>
      <c r="E41" s="24"/>
      <c r="F41" s="220">
        <v>0</v>
      </c>
      <c r="G41" s="24"/>
      <c r="H41" s="219">
        <v>0</v>
      </c>
      <c r="I41" s="21"/>
      <c r="J41" s="219">
        <v>0</v>
      </c>
      <c r="K41" s="21"/>
      <c r="L41" s="222">
        <v>23553374.860000003</v>
      </c>
      <c r="M41" s="21"/>
      <c r="N41" s="220">
        <f t="shared" si="3"/>
        <v>23553374.860000003</v>
      </c>
      <c r="O41" s="21"/>
      <c r="P41" s="28">
        <v>5.6759366060026668E-3</v>
      </c>
      <c r="Q41" s="21"/>
      <c r="R41" s="22">
        <f t="shared" si="4"/>
        <v>116866.78038561996</v>
      </c>
      <c r="S41" s="21"/>
      <c r="T41" s="214">
        <f t="shared" si="5"/>
        <v>0</v>
      </c>
      <c r="U41" s="23"/>
      <c r="V41" s="23">
        <v>195.82605495862498</v>
      </c>
      <c r="W41" s="23"/>
      <c r="X41" s="23">
        <v>0</v>
      </c>
      <c r="Y41" s="23"/>
      <c r="Z41" s="23">
        <f t="shared" si="6"/>
        <v>117062.60644057859</v>
      </c>
      <c r="AA41" s="21"/>
      <c r="AB41" s="33">
        <f t="shared" si="2"/>
        <v>58531.303220289294</v>
      </c>
      <c r="AC41" s="21"/>
    </row>
    <row r="42" spans="2:29" x14ac:dyDescent="0.2">
      <c r="B42" s="32" t="s">
        <v>8</v>
      </c>
      <c r="C42" s="24"/>
      <c r="D42" s="21">
        <v>2022</v>
      </c>
      <c r="E42" s="24"/>
      <c r="F42" s="220">
        <v>0</v>
      </c>
      <c r="G42" s="24"/>
      <c r="H42" s="219">
        <v>0</v>
      </c>
      <c r="I42" s="21"/>
      <c r="J42" s="219">
        <v>0</v>
      </c>
      <c r="K42" s="21"/>
      <c r="L42" s="222">
        <v>27074692.269999996</v>
      </c>
      <c r="M42" s="21"/>
      <c r="N42" s="220">
        <f t="shared" si="3"/>
        <v>27074692.269999996</v>
      </c>
      <c r="O42" s="21"/>
      <c r="P42" s="28">
        <v>5.6759366060026668E-3</v>
      </c>
      <c r="Q42" s="21"/>
      <c r="R42" s="22">
        <f t="shared" si="4"/>
        <v>133687.46256277696</v>
      </c>
      <c r="S42" s="21"/>
      <c r="T42" s="214">
        <f t="shared" si="5"/>
        <v>0</v>
      </c>
      <c r="U42" s="23"/>
      <c r="V42" s="23">
        <v>205.50790951075001</v>
      </c>
      <c r="W42" s="23"/>
      <c r="X42" s="23">
        <v>0</v>
      </c>
      <c r="Y42" s="23"/>
      <c r="Z42" s="23">
        <f t="shared" si="6"/>
        <v>133892.97047228771</v>
      </c>
      <c r="AA42" s="21"/>
      <c r="AB42" s="33">
        <f t="shared" si="2"/>
        <v>66946.485236143853</v>
      </c>
      <c r="AC42" s="21"/>
    </row>
    <row r="43" spans="2:29" x14ac:dyDescent="0.2">
      <c r="B43" s="32" t="s">
        <v>9</v>
      </c>
      <c r="C43" s="24"/>
      <c r="D43" s="21">
        <v>2022</v>
      </c>
      <c r="E43" s="24"/>
      <c r="F43" s="220">
        <v>0</v>
      </c>
      <c r="G43" s="24"/>
      <c r="H43" s="219">
        <v>0</v>
      </c>
      <c r="I43" s="21"/>
      <c r="J43" s="219">
        <v>0</v>
      </c>
      <c r="K43" s="21"/>
      <c r="L43" s="222">
        <v>30524671.77</v>
      </c>
      <c r="M43" s="21"/>
      <c r="N43" s="220">
        <f t="shared" si="3"/>
        <v>30524671.77</v>
      </c>
      <c r="O43" s="21"/>
      <c r="P43" s="28">
        <v>5.6759366060026668E-3</v>
      </c>
      <c r="Q43" s="21"/>
      <c r="R43" s="22">
        <f t="shared" si="4"/>
        <v>153674.23695155041</v>
      </c>
      <c r="S43" s="21"/>
      <c r="T43" s="214">
        <f t="shared" si="5"/>
        <v>0</v>
      </c>
      <c r="U43" s="23"/>
      <c r="V43" s="23">
        <v>216.826912225</v>
      </c>
      <c r="W43" s="23"/>
      <c r="X43" s="23">
        <v>0</v>
      </c>
      <c r="Y43" s="23"/>
      <c r="Z43" s="23">
        <f t="shared" si="6"/>
        <v>153891.0638637754</v>
      </c>
      <c r="AA43" s="21"/>
      <c r="AB43" s="33">
        <f t="shared" si="2"/>
        <v>76945.531931887701</v>
      </c>
      <c r="AC43" s="21"/>
    </row>
    <row r="44" spans="2:29" x14ac:dyDescent="0.2">
      <c r="B44" s="32" t="s">
        <v>10</v>
      </c>
      <c r="C44" s="22"/>
      <c r="D44" s="21">
        <v>2022</v>
      </c>
      <c r="E44" s="22"/>
      <c r="F44" s="220">
        <v>0</v>
      </c>
      <c r="G44" s="22"/>
      <c r="H44" s="219">
        <v>0</v>
      </c>
      <c r="I44" s="21"/>
      <c r="J44" s="219">
        <v>0</v>
      </c>
      <c r="K44" s="21"/>
      <c r="L44" s="222">
        <v>34989488.350000001</v>
      </c>
      <c r="M44" s="21"/>
      <c r="N44" s="220">
        <f t="shared" si="3"/>
        <v>34989488.350000001</v>
      </c>
      <c r="O44" s="21"/>
      <c r="P44" s="28">
        <v>5.6759366060026668E-3</v>
      </c>
      <c r="Q44" s="21"/>
      <c r="R44" s="22">
        <f t="shared" si="4"/>
        <v>173256.10188555921</v>
      </c>
      <c r="S44" s="21"/>
      <c r="T44" s="214">
        <f t="shared" si="5"/>
        <v>0</v>
      </c>
      <c r="U44" s="23"/>
      <c r="V44" s="23">
        <v>216.32409252912498</v>
      </c>
      <c r="W44" s="23"/>
      <c r="X44" s="23">
        <v>210556.50069832953</v>
      </c>
      <c r="Y44" s="23"/>
      <c r="Z44" s="23">
        <f t="shared" si="6"/>
        <v>384028.92667641788</v>
      </c>
      <c r="AA44" s="21"/>
      <c r="AB44" s="33">
        <f t="shared" si="2"/>
        <v>192014.46333820894</v>
      </c>
      <c r="AC44" s="21"/>
    </row>
    <row r="45" spans="2:29" x14ac:dyDescent="0.2">
      <c r="B45" s="32" t="s">
        <v>11</v>
      </c>
      <c r="C45" s="24"/>
      <c r="D45" s="21">
        <v>2023</v>
      </c>
      <c r="E45" s="24"/>
      <c r="F45" s="220">
        <v>0</v>
      </c>
      <c r="G45" s="24"/>
      <c r="H45" s="219">
        <v>0</v>
      </c>
      <c r="I45" s="21"/>
      <c r="J45" s="219">
        <v>0</v>
      </c>
      <c r="K45" s="21"/>
      <c r="L45" s="222">
        <v>37511609.620000005</v>
      </c>
      <c r="M45" s="21"/>
      <c r="N45" s="220">
        <f t="shared" si="3"/>
        <v>37511609.620000005</v>
      </c>
      <c r="O45" s="21"/>
      <c r="P45" s="28">
        <v>5.7228405971155409E-3</v>
      </c>
      <c r="Q45" s="21"/>
      <c r="R45" s="22">
        <f t="shared" si="4"/>
        <v>200239.26440168128</v>
      </c>
      <c r="S45" s="21"/>
      <c r="T45" s="214">
        <f t="shared" si="5"/>
        <v>0</v>
      </c>
      <c r="U45" s="23"/>
      <c r="V45" s="23">
        <v>242.80644385025002</v>
      </c>
      <c r="W45" s="23"/>
      <c r="X45" s="23">
        <v>0</v>
      </c>
      <c r="Y45" s="23"/>
      <c r="Z45" s="23">
        <f t="shared" si="6"/>
        <v>200482.07084553153</v>
      </c>
      <c r="AA45" s="21"/>
      <c r="AB45" s="33">
        <f t="shared" si="2"/>
        <v>100241.03542276577</v>
      </c>
      <c r="AC45" s="21"/>
    </row>
    <row r="46" spans="2:29" x14ac:dyDescent="0.2">
      <c r="B46" s="32" t="s">
        <v>12</v>
      </c>
      <c r="C46" s="24"/>
      <c r="D46" s="21">
        <v>2023</v>
      </c>
      <c r="E46" s="24"/>
      <c r="F46" s="220">
        <v>0</v>
      </c>
      <c r="G46" s="24"/>
      <c r="H46" s="219">
        <v>0</v>
      </c>
      <c r="I46" s="21"/>
      <c r="J46" s="219">
        <v>0</v>
      </c>
      <c r="K46" s="21"/>
      <c r="L46" s="222">
        <v>44067358.43</v>
      </c>
      <c r="M46" s="21"/>
      <c r="N46" s="220">
        <f t="shared" si="3"/>
        <v>44067358.43</v>
      </c>
      <c r="O46" s="21"/>
      <c r="P46" s="28">
        <v>5.7228405971155409E-3</v>
      </c>
      <c r="Q46" s="21"/>
      <c r="R46" s="22">
        <f t="shared" si="4"/>
        <v>214672.96239648591</v>
      </c>
      <c r="S46" s="21"/>
      <c r="T46" s="214">
        <f t="shared" si="5"/>
        <v>0</v>
      </c>
      <c r="U46" s="23"/>
      <c r="V46" s="23">
        <v>239.80392183737496</v>
      </c>
      <c r="W46" s="23"/>
      <c r="X46" s="23">
        <v>0</v>
      </c>
      <c r="Y46" s="23"/>
      <c r="Z46" s="23">
        <f t="shared" si="6"/>
        <v>214912.76631832329</v>
      </c>
      <c r="AA46" s="21"/>
      <c r="AB46" s="33">
        <f t="shared" si="2"/>
        <v>107456.38315916165</v>
      </c>
      <c r="AC46" s="21"/>
    </row>
    <row r="47" spans="2:29" x14ac:dyDescent="0.2">
      <c r="B47" s="32" t="s">
        <v>13</v>
      </c>
      <c r="C47" s="24"/>
      <c r="D47" s="21">
        <v>2023</v>
      </c>
      <c r="E47" s="24"/>
      <c r="F47" s="220">
        <v>0</v>
      </c>
      <c r="G47" s="24"/>
      <c r="H47" s="219">
        <v>0</v>
      </c>
      <c r="I47" s="21"/>
      <c r="J47" s="219">
        <v>0</v>
      </c>
      <c r="K47" s="21"/>
      <c r="L47" s="222">
        <v>50869680.540000007</v>
      </c>
      <c r="M47" s="21"/>
      <c r="N47" s="220">
        <f t="shared" si="3"/>
        <v>50869680.540000007</v>
      </c>
      <c r="O47" s="21"/>
      <c r="P47" s="28">
        <v>5.7228405971155409E-3</v>
      </c>
      <c r="Q47" s="21"/>
      <c r="R47" s="22">
        <f t="shared" si="4"/>
        <v>252190.46783084577</v>
      </c>
      <c r="S47" s="21"/>
      <c r="T47" s="214">
        <f t="shared" si="5"/>
        <v>0</v>
      </c>
      <c r="U47" s="23"/>
      <c r="V47" s="23">
        <v>255.90917699550002</v>
      </c>
      <c r="W47" s="23"/>
      <c r="X47" s="23">
        <v>0</v>
      </c>
      <c r="Y47" s="23"/>
      <c r="Z47" s="23">
        <f t="shared" si="6"/>
        <v>252446.37700784128</v>
      </c>
      <c r="AA47" s="21"/>
      <c r="AB47" s="33">
        <f t="shared" si="2"/>
        <v>126223.18850392064</v>
      </c>
      <c r="AC47" s="21"/>
    </row>
    <row r="48" spans="2:29" x14ac:dyDescent="0.2">
      <c r="B48" s="32" t="s">
        <v>14</v>
      </c>
      <c r="C48" s="24"/>
      <c r="D48" s="21">
        <v>2023</v>
      </c>
      <c r="E48" s="24"/>
      <c r="F48" s="220">
        <v>0</v>
      </c>
      <c r="G48" s="24"/>
      <c r="H48" s="219">
        <v>0</v>
      </c>
      <c r="I48" s="21"/>
      <c r="J48" s="219">
        <v>0</v>
      </c>
      <c r="K48" s="21"/>
      <c r="L48" s="222">
        <v>53195649.170000002</v>
      </c>
      <c r="M48" s="21"/>
      <c r="N48" s="220">
        <f t="shared" si="3"/>
        <v>53195649.170000002</v>
      </c>
      <c r="O48" s="21"/>
      <c r="P48" s="28">
        <v>5.7228405971155409E-3</v>
      </c>
      <c r="Q48" s="21"/>
      <c r="R48" s="22">
        <f t="shared" si="4"/>
        <v>291119.07295661047</v>
      </c>
      <c r="S48" s="21"/>
      <c r="T48" s="214">
        <f t="shared" si="5"/>
        <v>0</v>
      </c>
      <c r="U48" s="23"/>
      <c r="V48" s="23">
        <v>252.3234759325</v>
      </c>
      <c r="W48" s="23"/>
      <c r="X48" s="23">
        <v>0</v>
      </c>
      <c r="Y48" s="23"/>
      <c r="Z48" s="23">
        <f t="shared" si="6"/>
        <v>291371.396432543</v>
      </c>
      <c r="AA48" s="21"/>
      <c r="AB48" s="33">
        <f t="shared" si="2"/>
        <v>145685.6982162715</v>
      </c>
      <c r="AC48" s="21"/>
    </row>
    <row r="49" spans="2:29" x14ac:dyDescent="0.2">
      <c r="B49" s="32" t="s">
        <v>15</v>
      </c>
      <c r="C49" s="24"/>
      <c r="D49" s="21">
        <v>2023</v>
      </c>
      <c r="E49" s="24"/>
      <c r="F49" s="220">
        <v>0</v>
      </c>
      <c r="G49" s="24"/>
      <c r="H49" s="219">
        <v>0</v>
      </c>
      <c r="I49" s="21"/>
      <c r="J49" s="219">
        <v>0</v>
      </c>
      <c r="K49" s="21"/>
      <c r="L49" s="222">
        <v>61455388.480000004</v>
      </c>
      <c r="M49" s="21"/>
      <c r="N49" s="220">
        <f t="shared" si="3"/>
        <v>61455388.480000004</v>
      </c>
      <c r="O49" s="21"/>
      <c r="P49" s="28">
        <v>5.7228405971155409E-3</v>
      </c>
      <c r="Q49" s="21"/>
      <c r="R49" s="22">
        <f t="shared" si="4"/>
        <v>304430.22065999161</v>
      </c>
      <c r="S49" s="21"/>
      <c r="T49" s="214">
        <f t="shared" si="5"/>
        <v>0</v>
      </c>
      <c r="U49" s="23"/>
      <c r="V49" s="23">
        <v>257.76846971574997</v>
      </c>
      <c r="W49" s="23"/>
      <c r="X49" s="23">
        <v>0</v>
      </c>
      <c r="Y49" s="23"/>
      <c r="Z49" s="23">
        <f t="shared" si="6"/>
        <v>304687.98912970733</v>
      </c>
      <c r="AA49" s="21"/>
      <c r="AB49" s="33">
        <f t="shared" si="2"/>
        <v>152343.99456485367</v>
      </c>
      <c r="AC49" s="21"/>
    </row>
    <row r="50" spans="2:29" x14ac:dyDescent="0.2">
      <c r="B50" s="32" t="s">
        <v>16</v>
      </c>
      <c r="C50" s="24"/>
      <c r="D50" s="21">
        <v>2023</v>
      </c>
      <c r="E50" s="24"/>
      <c r="F50" s="220">
        <v>0</v>
      </c>
      <c r="G50" s="24"/>
      <c r="H50" s="219">
        <v>0</v>
      </c>
      <c r="I50" s="21"/>
      <c r="J50" s="219">
        <v>0</v>
      </c>
      <c r="K50" s="21"/>
      <c r="L50" s="222">
        <v>68580796.219999999</v>
      </c>
      <c r="M50" s="21"/>
      <c r="N50" s="220">
        <f t="shared" si="3"/>
        <v>68580796.219999999</v>
      </c>
      <c r="O50" s="21"/>
      <c r="P50" s="28">
        <v>5.7228405971155409E-3</v>
      </c>
      <c r="Q50" s="21"/>
      <c r="R50" s="22">
        <f t="shared" si="4"/>
        <v>351699.39210485073</v>
      </c>
      <c r="S50" s="21"/>
      <c r="T50" s="214">
        <f t="shared" si="5"/>
        <v>0</v>
      </c>
      <c r="U50" s="23"/>
      <c r="V50" s="23">
        <v>266.72826876674998</v>
      </c>
      <c r="W50" s="23"/>
      <c r="X50" s="23">
        <v>0</v>
      </c>
      <c r="Y50" s="23"/>
      <c r="Z50" s="23">
        <f t="shared" si="6"/>
        <v>351966.12037361751</v>
      </c>
      <c r="AA50" s="21"/>
      <c r="AB50" s="33">
        <f t="shared" si="2"/>
        <v>175983.06018680875</v>
      </c>
      <c r="AC50" s="21"/>
    </row>
    <row r="51" spans="2:29" x14ac:dyDescent="0.2">
      <c r="B51" s="32" t="s">
        <v>17</v>
      </c>
      <c r="C51" s="24"/>
      <c r="D51" s="21">
        <v>2023</v>
      </c>
      <c r="E51" s="24"/>
      <c r="F51" s="220">
        <v>0</v>
      </c>
      <c r="G51" s="24"/>
      <c r="H51" s="219">
        <v>0</v>
      </c>
      <c r="I51" s="21"/>
      <c r="J51" s="219">
        <v>0</v>
      </c>
      <c r="K51" s="21"/>
      <c r="L51" s="222">
        <v>76640534.25</v>
      </c>
      <c r="M51" s="21"/>
      <c r="N51" s="220">
        <f t="shared" si="3"/>
        <v>76640534.25</v>
      </c>
      <c r="O51" s="21"/>
      <c r="P51" s="28">
        <v>5.7228405971155409E-3</v>
      </c>
      <c r="Q51" s="21"/>
      <c r="R51" s="22">
        <f t="shared" si="4"/>
        <v>392476.96479032404</v>
      </c>
      <c r="S51" s="21"/>
      <c r="T51" s="214">
        <f t="shared" si="5"/>
        <v>0</v>
      </c>
      <c r="U51" s="23"/>
      <c r="V51" s="23">
        <v>270.96258907812501</v>
      </c>
      <c r="W51" s="23"/>
      <c r="X51" s="23">
        <v>0</v>
      </c>
      <c r="Y51" s="23"/>
      <c r="Z51" s="23">
        <f t="shared" si="6"/>
        <v>392747.92737940216</v>
      </c>
      <c r="AA51" s="21"/>
      <c r="AB51" s="33">
        <f t="shared" si="2"/>
        <v>196373.96368970108</v>
      </c>
      <c r="AC51" s="21"/>
    </row>
    <row r="52" spans="2:29" x14ac:dyDescent="0.2">
      <c r="B52" s="32" t="s">
        <v>18</v>
      </c>
      <c r="C52" s="24"/>
      <c r="D52" s="21">
        <v>2023</v>
      </c>
      <c r="E52" s="24"/>
      <c r="F52" s="220">
        <v>0</v>
      </c>
      <c r="G52" s="24"/>
      <c r="H52" s="219">
        <v>0</v>
      </c>
      <c r="I52" s="21"/>
      <c r="J52" s="219">
        <v>0</v>
      </c>
      <c r="K52" s="21"/>
      <c r="L52" s="222">
        <v>79557620.459999993</v>
      </c>
      <c r="M52" s="21"/>
      <c r="N52" s="220">
        <f t="shared" si="3"/>
        <v>79557620.459999993</v>
      </c>
      <c r="O52" s="21"/>
      <c r="P52" s="28">
        <v>5.7228405971155409E-3</v>
      </c>
      <c r="Q52" s="21"/>
      <c r="R52" s="22">
        <f t="shared" si="4"/>
        <v>438601.56079052406</v>
      </c>
      <c r="S52" s="21"/>
      <c r="T52" s="214">
        <f t="shared" si="5"/>
        <v>0</v>
      </c>
      <c r="U52" s="23"/>
      <c r="V52" s="23">
        <v>271.67232052187495</v>
      </c>
      <c r="W52" s="23"/>
      <c r="X52" s="23">
        <v>0</v>
      </c>
      <c r="Y52" s="23"/>
      <c r="Z52" s="23">
        <f t="shared" si="6"/>
        <v>438873.23311104596</v>
      </c>
      <c r="AA52" s="21"/>
      <c r="AB52" s="33">
        <f t="shared" si="2"/>
        <v>219436.61655552298</v>
      </c>
      <c r="AC52" s="21"/>
    </row>
    <row r="53" spans="2:29" x14ac:dyDescent="0.2">
      <c r="B53" s="32" t="s">
        <v>19</v>
      </c>
      <c r="C53" s="24"/>
      <c r="D53" s="21">
        <v>2023</v>
      </c>
      <c r="E53" s="24"/>
      <c r="F53" s="220">
        <v>0</v>
      </c>
      <c r="G53" s="24"/>
      <c r="H53" s="219">
        <v>0</v>
      </c>
      <c r="I53" s="21"/>
      <c r="J53" s="219">
        <v>0</v>
      </c>
      <c r="K53" s="21"/>
      <c r="L53" s="222">
        <v>97270608.200000003</v>
      </c>
      <c r="M53" s="21"/>
      <c r="N53" s="220">
        <f t="shared" si="3"/>
        <v>97270608.200000003</v>
      </c>
      <c r="O53" s="21"/>
      <c r="P53" s="28">
        <v>5.7228405971155409E-3</v>
      </c>
      <c r="Q53" s="21"/>
      <c r="R53" s="22">
        <f t="shared" si="4"/>
        <v>455295.58017839794</v>
      </c>
      <c r="S53" s="21"/>
      <c r="T53" s="214">
        <f t="shared" si="5"/>
        <v>0</v>
      </c>
      <c r="U53" s="23"/>
      <c r="V53" s="23">
        <v>229.27797899212499</v>
      </c>
      <c r="W53" s="23"/>
      <c r="X53" s="23">
        <v>0</v>
      </c>
      <c r="Y53" s="23"/>
      <c r="Z53" s="23">
        <f t="shared" si="6"/>
        <v>455524.85815739009</v>
      </c>
      <c r="AA53" s="21"/>
      <c r="AB53" s="33">
        <f t="shared" si="2"/>
        <v>227762.42907869504</v>
      </c>
      <c r="AC53" s="21"/>
    </row>
    <row r="54" spans="2:29" x14ac:dyDescent="0.2">
      <c r="B54" s="32" t="s">
        <v>8</v>
      </c>
      <c r="C54" s="24"/>
      <c r="D54" s="21">
        <v>2023</v>
      </c>
      <c r="E54" s="24"/>
      <c r="F54" s="220">
        <v>0</v>
      </c>
      <c r="G54" s="24"/>
      <c r="H54" s="219">
        <v>0</v>
      </c>
      <c r="I54" s="21"/>
      <c r="J54" s="219">
        <v>0</v>
      </c>
      <c r="K54" s="21"/>
      <c r="L54" s="222">
        <v>101916152.28999999</v>
      </c>
      <c r="M54" s="21"/>
      <c r="N54" s="220">
        <f t="shared" si="3"/>
        <v>101916152.28999999</v>
      </c>
      <c r="O54" s="21"/>
      <c r="P54" s="28">
        <v>5.7228405971155409E-3</v>
      </c>
      <c r="Q54" s="21"/>
      <c r="R54" s="22">
        <f t="shared" si="4"/>
        <v>556664.18551307986</v>
      </c>
      <c r="S54" s="21"/>
      <c r="T54" s="214">
        <f t="shared" si="5"/>
        <v>0</v>
      </c>
      <c r="U54" s="23"/>
      <c r="V54" s="23">
        <v>230.11111493300001</v>
      </c>
      <c r="W54" s="23"/>
      <c r="X54" s="23">
        <v>0</v>
      </c>
      <c r="Y54" s="23"/>
      <c r="Z54" s="23">
        <f t="shared" si="6"/>
        <v>556894.2966280129</v>
      </c>
      <c r="AA54" s="21"/>
      <c r="AB54" s="33">
        <f t="shared" si="2"/>
        <v>278447.14831400645</v>
      </c>
      <c r="AC54" s="21"/>
    </row>
    <row r="55" spans="2:29" x14ac:dyDescent="0.2">
      <c r="B55" s="32" t="s">
        <v>9</v>
      </c>
      <c r="C55" s="24"/>
      <c r="D55" s="21">
        <v>2023</v>
      </c>
      <c r="E55" s="24"/>
      <c r="F55" s="220">
        <v>0</v>
      </c>
      <c r="G55" s="24"/>
      <c r="H55" s="219">
        <v>0</v>
      </c>
      <c r="I55" s="21"/>
      <c r="J55" s="219">
        <v>0</v>
      </c>
      <c r="K55" s="21"/>
      <c r="L55" s="222">
        <v>113654015.69999999</v>
      </c>
      <c r="M55" s="21"/>
      <c r="N55" s="220">
        <f t="shared" si="3"/>
        <v>113654015.69999999</v>
      </c>
      <c r="O55" s="21"/>
      <c r="P55" s="28">
        <v>5.7228405971155409E-3</v>
      </c>
      <c r="Q55" s="21"/>
      <c r="R55" s="22">
        <f t="shared" si="4"/>
        <v>583249.89382702194</v>
      </c>
      <c r="S55" s="21"/>
      <c r="T55" s="214">
        <f t="shared" si="5"/>
        <v>0</v>
      </c>
      <c r="U55" s="23"/>
      <c r="V55" s="23">
        <v>332.28019321524994</v>
      </c>
      <c r="W55" s="23"/>
      <c r="X55" s="23">
        <v>0</v>
      </c>
      <c r="Y55" s="23"/>
      <c r="Z55" s="23">
        <f t="shared" si="6"/>
        <v>583582.17402023717</v>
      </c>
      <c r="AA55" s="21"/>
      <c r="AB55" s="33">
        <f t="shared" si="2"/>
        <v>291791.08701011859</v>
      </c>
      <c r="AC55" s="21"/>
    </row>
    <row r="56" spans="2:29" x14ac:dyDescent="0.2">
      <c r="B56" s="32" t="s">
        <v>10</v>
      </c>
      <c r="C56" s="22"/>
      <c r="D56" s="21">
        <v>2023</v>
      </c>
      <c r="E56" s="22"/>
      <c r="F56" s="220">
        <v>76983168.870000005</v>
      </c>
      <c r="G56" s="22"/>
      <c r="H56" s="26">
        <v>0</v>
      </c>
      <c r="I56" s="21"/>
      <c r="J56" s="26">
        <v>-627922.32865247026</v>
      </c>
      <c r="K56" s="21"/>
      <c r="L56" s="222">
        <v>42777283.420000002</v>
      </c>
      <c r="M56" s="21"/>
      <c r="N56" s="220">
        <f t="shared" si="3"/>
        <v>119132529.96134754</v>
      </c>
      <c r="O56" s="21"/>
      <c r="P56" s="28">
        <v>5.7228405971155409E-3</v>
      </c>
      <c r="Q56" s="21"/>
      <c r="R56" s="22">
        <f t="shared" si="4"/>
        <v>650423.81507316697</v>
      </c>
      <c r="S56" s="21"/>
      <c r="T56" s="214">
        <f t="shared" si="5"/>
        <v>0</v>
      </c>
      <c r="U56" s="23"/>
      <c r="V56" s="23">
        <v>457.80413939137509</v>
      </c>
      <c r="W56" s="23"/>
      <c r="X56" s="23">
        <v>837418.27322662517</v>
      </c>
      <c r="Y56" s="23"/>
      <c r="Z56" s="23">
        <f t="shared" si="6"/>
        <v>1488299.8924391835</v>
      </c>
      <c r="AA56" s="21"/>
      <c r="AB56" s="33">
        <f t="shared" si="2"/>
        <v>744149.94621959177</v>
      </c>
      <c r="AC56" s="21"/>
    </row>
    <row r="57" spans="2:29" x14ac:dyDescent="0.2">
      <c r="B57" s="32" t="s">
        <v>11</v>
      </c>
      <c r="C57" s="24"/>
      <c r="D57" s="21">
        <v>2024</v>
      </c>
      <c r="E57" s="24"/>
      <c r="F57" s="220">
        <v>79041139.890000001</v>
      </c>
      <c r="G57" s="24"/>
      <c r="H57" s="26">
        <v>-366311.57853975001</v>
      </c>
      <c r="I57" s="21"/>
      <c r="J57" s="26">
        <v>-646736.517582751</v>
      </c>
      <c r="K57" s="21"/>
      <c r="L57" s="222">
        <v>42759496.549999997</v>
      </c>
      <c r="M57" s="21"/>
      <c r="N57" s="220">
        <f t="shared" si="3"/>
        <v>120787588.34387751</v>
      </c>
      <c r="O57" s="21"/>
      <c r="P57" s="28">
        <v>5.8436882554702974E-3</v>
      </c>
      <c r="Q57" s="21"/>
      <c r="R57" s="22">
        <f t="shared" si="4"/>
        <v>696173.36617958988</v>
      </c>
      <c r="S57" s="21"/>
      <c r="T57" s="214">
        <f t="shared" si="5"/>
        <v>366311.57853975001</v>
      </c>
      <c r="U57" s="23"/>
      <c r="V57" s="23">
        <v>475.35233183200006</v>
      </c>
      <c r="W57" s="23"/>
      <c r="X57" s="23">
        <v>0</v>
      </c>
      <c r="Y57" s="23"/>
      <c r="Z57" s="23">
        <f t="shared" si="6"/>
        <v>1062960.297051172</v>
      </c>
      <c r="AA57" s="21"/>
      <c r="AB57" s="33">
        <f t="shared" si="2"/>
        <v>531480.148525586</v>
      </c>
      <c r="AC57" s="21"/>
    </row>
    <row r="58" spans="2:29" x14ac:dyDescent="0.2">
      <c r="B58" s="32" t="s">
        <v>12</v>
      </c>
      <c r="C58" s="24"/>
      <c r="D58" s="21">
        <v>2024</v>
      </c>
      <c r="E58" s="24"/>
      <c r="F58" s="220">
        <v>77910748.700000003</v>
      </c>
      <c r="G58" s="24"/>
      <c r="H58" s="26">
        <v>-742415.66918299999</v>
      </c>
      <c r="I58" s="21"/>
      <c r="J58" s="26">
        <v>-668374.58309213922</v>
      </c>
      <c r="K58" s="21"/>
      <c r="L58" s="222">
        <v>42101154.63000001</v>
      </c>
      <c r="M58" s="21"/>
      <c r="N58" s="220">
        <f t="shared" si="3"/>
        <v>118601113.07772487</v>
      </c>
      <c r="O58" s="21"/>
      <c r="P58" s="28">
        <v>5.8436882554702974E-3</v>
      </c>
      <c r="Q58" s="21"/>
      <c r="R58" s="22">
        <f t="shared" si="4"/>
        <v>705845.01141169795</v>
      </c>
      <c r="S58" s="21"/>
      <c r="T58" s="214">
        <f t="shared" si="5"/>
        <v>376104.09064324998</v>
      </c>
      <c r="U58" s="23"/>
      <c r="V58" s="23">
        <v>522.55592971925</v>
      </c>
      <c r="W58" s="23"/>
      <c r="X58" s="23">
        <v>0</v>
      </c>
      <c r="Y58" s="23"/>
      <c r="Z58" s="23">
        <f t="shared" si="6"/>
        <v>1082471.6579846672</v>
      </c>
      <c r="AA58" s="21"/>
      <c r="AB58" s="33">
        <f t="shared" si="2"/>
        <v>541235.82899233361</v>
      </c>
      <c r="AC58" s="21"/>
    </row>
    <row r="59" spans="2:29" x14ac:dyDescent="0.2">
      <c r="B59" s="32" t="s">
        <v>13</v>
      </c>
      <c r="C59" s="24"/>
      <c r="D59" s="21">
        <v>2024</v>
      </c>
      <c r="E59" s="24"/>
      <c r="F59" s="220">
        <v>80062282.900000006</v>
      </c>
      <c r="G59" s="24"/>
      <c r="H59" s="26">
        <v>-1113140.9817471667</v>
      </c>
      <c r="I59" s="21"/>
      <c r="J59" s="26">
        <v>-688068.87022967741</v>
      </c>
      <c r="K59" s="21"/>
      <c r="L59" s="222">
        <v>42665126.790000007</v>
      </c>
      <c r="M59" s="21"/>
      <c r="N59" s="220">
        <f t="shared" si="3"/>
        <v>120926199.83802317</v>
      </c>
      <c r="O59" s="21"/>
      <c r="P59" s="28">
        <v>5.8436882554702974E-3</v>
      </c>
      <c r="Q59" s="21"/>
      <c r="R59" s="22">
        <f t="shared" si="4"/>
        <v>693067.93157800555</v>
      </c>
      <c r="S59" s="21"/>
      <c r="T59" s="214">
        <f t="shared" si="5"/>
        <v>370725.31256416667</v>
      </c>
      <c r="U59" s="23"/>
      <c r="V59" s="23">
        <v>578.59953131312488</v>
      </c>
      <c r="W59" s="23"/>
      <c r="X59" s="23">
        <v>0</v>
      </c>
      <c r="Y59" s="23"/>
      <c r="Z59" s="23">
        <f t="shared" si="6"/>
        <v>1064371.8436734853</v>
      </c>
      <c r="AA59" s="21"/>
      <c r="AB59" s="33">
        <f t="shared" si="2"/>
        <v>532185.92183674267</v>
      </c>
      <c r="AC59" s="21"/>
    </row>
    <row r="60" spans="2:29" x14ac:dyDescent="0.2">
      <c r="B60" s="32" t="s">
        <v>14</v>
      </c>
      <c r="C60" s="24"/>
      <c r="D60" s="21">
        <v>2024</v>
      </c>
      <c r="E60" s="24"/>
      <c r="F60" s="220">
        <v>80297873.960000008</v>
      </c>
      <c r="G60" s="24"/>
      <c r="H60" s="26">
        <v>-1494104.0112129999</v>
      </c>
      <c r="I60" s="21"/>
      <c r="J60" s="26">
        <v>-707818.96677097934</v>
      </c>
      <c r="K60" s="21"/>
      <c r="L60" s="222">
        <v>42353055.840000004</v>
      </c>
      <c r="M60" s="21"/>
      <c r="N60" s="220">
        <f t="shared" si="3"/>
        <v>120449006.82201603</v>
      </c>
      <c r="O60" s="21"/>
      <c r="P60" s="28">
        <v>5.8436882554702974E-3</v>
      </c>
      <c r="Q60" s="21"/>
      <c r="R60" s="22">
        <f t="shared" si="4"/>
        <v>706655.01377211022</v>
      </c>
      <c r="S60" s="21"/>
      <c r="T60" s="214">
        <f t="shared" si="5"/>
        <v>380963.02946583333</v>
      </c>
      <c r="U60" s="23"/>
      <c r="V60" s="23">
        <v>838.04128045749997</v>
      </c>
      <c r="W60" s="23"/>
      <c r="X60" s="23">
        <v>0</v>
      </c>
      <c r="Y60" s="23"/>
      <c r="Z60" s="23">
        <f t="shared" si="6"/>
        <v>1088456.0845184012</v>
      </c>
      <c r="AA60" s="21"/>
      <c r="AB60" s="33">
        <f t="shared" si="2"/>
        <v>544228.04225920059</v>
      </c>
      <c r="AC60" s="21"/>
    </row>
    <row r="61" spans="2:29" x14ac:dyDescent="0.2">
      <c r="B61" s="32" t="s">
        <v>15</v>
      </c>
      <c r="C61" s="24"/>
      <c r="D61" s="21">
        <v>2024</v>
      </c>
      <c r="E61" s="24"/>
      <c r="F61" s="220">
        <v>80593720.329999998</v>
      </c>
      <c r="G61" s="24"/>
      <c r="H61" s="26">
        <v>-1876188.0614726667</v>
      </c>
      <c r="I61" s="21"/>
      <c r="J61" s="26">
        <v>-727364.6194133088</v>
      </c>
      <c r="K61" s="21"/>
      <c r="L61" s="222">
        <v>42928885.450000003</v>
      </c>
      <c r="M61" s="21"/>
      <c r="N61" s="220">
        <f t="shared" si="3"/>
        <v>120919053.09911402</v>
      </c>
      <c r="O61" s="21"/>
      <c r="P61" s="28">
        <v>5.8436882554702974E-3</v>
      </c>
      <c r="Q61" s="21"/>
      <c r="R61" s="22">
        <f t="shared" si="4"/>
        <v>703866.44654887682</v>
      </c>
      <c r="S61" s="21"/>
      <c r="T61" s="214">
        <f t="shared" si="5"/>
        <v>382084.05025966669</v>
      </c>
      <c r="U61" s="23"/>
      <c r="V61" s="23">
        <v>619.84658804337494</v>
      </c>
      <c r="W61" s="23"/>
      <c r="X61" s="23">
        <v>0</v>
      </c>
      <c r="Y61" s="23"/>
      <c r="Z61" s="23">
        <f t="shared" si="6"/>
        <v>1086570.3433965868</v>
      </c>
      <c r="AA61" s="21"/>
      <c r="AB61" s="33">
        <f t="shared" si="2"/>
        <v>543285.17169829342</v>
      </c>
      <c r="AC61" s="21"/>
    </row>
    <row r="62" spans="2:29" x14ac:dyDescent="0.2">
      <c r="B62" s="32" t="s">
        <v>16</v>
      </c>
      <c r="C62" s="24"/>
      <c r="D62" s="21">
        <v>2024</v>
      </c>
      <c r="E62" s="24"/>
      <c r="F62" s="220">
        <v>80674769.74000001</v>
      </c>
      <c r="G62" s="24"/>
      <c r="H62" s="26">
        <v>-2259679.8473762502</v>
      </c>
      <c r="I62" s="21"/>
      <c r="J62" s="26">
        <v>-747144.37054332078</v>
      </c>
      <c r="K62" s="21"/>
      <c r="L62" s="222">
        <v>43470332.320000008</v>
      </c>
      <c r="M62" s="21"/>
      <c r="N62" s="220">
        <f t="shared" si="3"/>
        <v>121138277.84208044</v>
      </c>
      <c r="O62" s="21"/>
      <c r="P62" s="28">
        <v>5.8436882554702974E-3</v>
      </c>
      <c r="Q62" s="21"/>
      <c r="R62" s="22">
        <f t="shared" si="4"/>
        <v>706613.25045788183</v>
      </c>
      <c r="S62" s="21"/>
      <c r="T62" s="214">
        <f t="shared" si="5"/>
        <v>383491.78590358334</v>
      </c>
      <c r="U62" s="23"/>
      <c r="V62" s="23">
        <v>1178.5056504698748</v>
      </c>
      <c r="W62" s="23"/>
      <c r="X62" s="23">
        <v>0</v>
      </c>
      <c r="Y62" s="23"/>
      <c r="Z62" s="23">
        <f t="shared" si="6"/>
        <v>1091283.542011935</v>
      </c>
      <c r="AA62" s="21"/>
      <c r="AB62" s="33">
        <f t="shared" si="2"/>
        <v>545641.77100596752</v>
      </c>
      <c r="AC62" s="21"/>
    </row>
    <row r="63" spans="2:29" x14ac:dyDescent="0.2">
      <c r="B63" s="32" t="s">
        <v>17</v>
      </c>
      <c r="C63" s="24"/>
      <c r="D63" s="21">
        <v>2024</v>
      </c>
      <c r="E63" s="24"/>
      <c r="F63" s="220">
        <v>80914836.109999999</v>
      </c>
      <c r="G63" s="24"/>
      <c r="H63" s="26">
        <v>-2643557.2933890838</v>
      </c>
      <c r="I63" s="21"/>
      <c r="J63" s="26">
        <v>-837241.04974236025</v>
      </c>
      <c r="K63" s="21"/>
      <c r="L63" s="222">
        <v>44226679.939999998</v>
      </c>
      <c r="M63" s="21"/>
      <c r="N63" s="220">
        <f t="shared" si="3"/>
        <v>121660717.70686856</v>
      </c>
      <c r="O63" s="21"/>
      <c r="P63" s="28">
        <v>5.8436882554702974E-3</v>
      </c>
      <c r="Q63" s="21"/>
      <c r="R63" s="22">
        <f t="shared" si="4"/>
        <v>707894.33151366329</v>
      </c>
      <c r="S63" s="21"/>
      <c r="T63" s="214">
        <f t="shared" si="5"/>
        <v>383877.44601283339</v>
      </c>
      <c r="U63" s="23"/>
      <c r="V63" s="23">
        <v>1348.4479093119999</v>
      </c>
      <c r="W63" s="23"/>
      <c r="X63" s="23">
        <v>0</v>
      </c>
      <c r="Y63" s="23"/>
      <c r="Z63" s="23">
        <f t="shared" si="6"/>
        <v>1093120.2254358088</v>
      </c>
      <c r="AA63" s="21"/>
      <c r="AB63" s="33">
        <f t="shared" si="2"/>
        <v>546560.11271790438</v>
      </c>
      <c r="AC63" s="21"/>
    </row>
    <row r="64" spans="2:29" x14ac:dyDescent="0.2">
      <c r="B64" s="32" t="s">
        <v>18</v>
      </c>
      <c r="C64" s="24"/>
      <c r="D64" s="21">
        <v>2024</v>
      </c>
      <c r="E64" s="24"/>
      <c r="F64" s="220">
        <v>125712813.50000001</v>
      </c>
      <c r="G64" s="24"/>
      <c r="H64" s="26">
        <v>-3028577.0552125005</v>
      </c>
      <c r="I64" s="21"/>
      <c r="J64" s="26">
        <v>-886773.39952225471</v>
      </c>
      <c r="K64" s="21"/>
      <c r="L64" s="222">
        <v>0</v>
      </c>
      <c r="M64" s="21"/>
      <c r="N64" s="220">
        <f t="shared" si="3"/>
        <v>121797463.04526526</v>
      </c>
      <c r="O64" s="21"/>
      <c r="P64" s="28">
        <v>5.8436882554702974E-3</v>
      </c>
      <c r="Q64" s="21"/>
      <c r="R64" s="22">
        <f t="shared" si="4"/>
        <v>710947.30721571506</v>
      </c>
      <c r="S64" s="21"/>
      <c r="T64" s="214">
        <f t="shared" si="5"/>
        <v>385019.76182341663</v>
      </c>
      <c r="U64" s="23"/>
      <c r="V64" s="23">
        <v>1461.1084440837499</v>
      </c>
      <c r="W64" s="23"/>
      <c r="X64" s="23">
        <v>0</v>
      </c>
      <c r="Y64" s="23"/>
      <c r="Z64" s="23">
        <f t="shared" si="6"/>
        <v>1097428.1774832155</v>
      </c>
      <c r="AA64" s="21"/>
      <c r="AB64" s="33">
        <f t="shared" si="2"/>
        <v>548714.08874160773</v>
      </c>
      <c r="AC64" s="21"/>
    </row>
    <row r="65" spans="2:32" x14ac:dyDescent="0.2">
      <c r="B65" s="32" t="s">
        <v>19</v>
      </c>
      <c r="C65" s="24"/>
      <c r="D65" s="21">
        <v>2024</v>
      </c>
      <c r="E65" s="24"/>
      <c r="F65" s="220">
        <v>127846171.97</v>
      </c>
      <c r="G65" s="24"/>
      <c r="H65" s="26">
        <v>-3626760.5261166673</v>
      </c>
      <c r="I65" s="21"/>
      <c r="J65" s="26">
        <v>-935197.20435350167</v>
      </c>
      <c r="K65" s="21"/>
      <c r="L65" s="222">
        <v>0</v>
      </c>
      <c r="M65" s="21"/>
      <c r="N65" s="220">
        <f t="shared" si="3"/>
        <v>123284214.23952983</v>
      </c>
      <c r="O65" s="21"/>
      <c r="P65" s="28">
        <v>5.8436882554702974E-3</v>
      </c>
      <c r="Q65" s="21"/>
      <c r="R65" s="22">
        <f t="shared" si="4"/>
        <v>711746.4043436941</v>
      </c>
      <c r="S65" s="21"/>
      <c r="T65" s="214">
        <f t="shared" si="5"/>
        <v>598183.47090416669</v>
      </c>
      <c r="U65" s="23"/>
      <c r="V65" s="23">
        <v>1671.4063635027501</v>
      </c>
      <c r="W65" s="23"/>
      <c r="X65" s="23">
        <v>0</v>
      </c>
      <c r="Y65" s="23"/>
      <c r="Z65" s="23">
        <f t="shared" si="6"/>
        <v>1311601.2816113636</v>
      </c>
      <c r="AA65" s="21"/>
      <c r="AB65" s="33">
        <f t="shared" si="2"/>
        <v>655800.64080568182</v>
      </c>
      <c r="AC65" s="21"/>
    </row>
    <row r="66" spans="2:32" x14ac:dyDescent="0.2">
      <c r="B66" s="32" t="s">
        <v>8</v>
      </c>
      <c r="C66" s="24"/>
      <c r="D66" s="21">
        <v>2024</v>
      </c>
      <c r="E66" s="24"/>
      <c r="F66" s="220">
        <v>128235967.59</v>
      </c>
      <c r="G66" s="24"/>
      <c r="H66" s="26">
        <v>-4235095.2277405839</v>
      </c>
      <c r="I66" s="21"/>
      <c r="J66" s="26">
        <v>-983171.53762896371</v>
      </c>
      <c r="K66" s="21"/>
      <c r="L66" s="222">
        <v>0</v>
      </c>
      <c r="M66" s="21"/>
      <c r="N66" s="220">
        <f t="shared" si="3"/>
        <v>123017700.82463045</v>
      </c>
      <c r="O66" s="21"/>
      <c r="P66" s="28">
        <v>5.8436882554702974E-3</v>
      </c>
      <c r="Q66" s="21"/>
      <c r="R66" s="22">
        <f t="shared" si="4"/>
        <v>720434.5148364245</v>
      </c>
      <c r="S66" s="21"/>
      <c r="T66" s="214">
        <f t="shared" si="5"/>
        <v>608334.70162391663</v>
      </c>
      <c r="U66" s="23"/>
      <c r="V66" s="23">
        <v>1921.2878502098747</v>
      </c>
      <c r="W66" s="23"/>
      <c r="X66" s="23">
        <v>0</v>
      </c>
      <c r="Y66" s="23"/>
      <c r="Z66" s="23">
        <f t="shared" si="6"/>
        <v>1330690.5043105511</v>
      </c>
      <c r="AA66" s="21"/>
      <c r="AB66" s="33">
        <f t="shared" si="2"/>
        <v>665345.25215527555</v>
      </c>
      <c r="AC66" s="21"/>
    </row>
    <row r="67" spans="2:32" x14ac:dyDescent="0.2">
      <c r="B67" s="32" t="s">
        <v>9</v>
      </c>
      <c r="C67" s="24"/>
      <c r="D67" s="21">
        <v>2024</v>
      </c>
      <c r="E67" s="24"/>
      <c r="F67" s="220">
        <v>128220737.55000001</v>
      </c>
      <c r="G67" s="24"/>
      <c r="H67" s="26">
        <v>-4845284.7068563337</v>
      </c>
      <c r="I67" s="21"/>
      <c r="J67" s="26">
        <v>-1041810.9582268955</v>
      </c>
      <c r="K67" s="21"/>
      <c r="L67" s="222">
        <v>0</v>
      </c>
      <c r="M67" s="21"/>
      <c r="N67" s="220">
        <f t="shared" si="3"/>
        <v>122333641.88491678</v>
      </c>
      <c r="O67" s="21"/>
      <c r="P67" s="28">
        <v>5.8436882554702974E-3</v>
      </c>
      <c r="Q67" s="21"/>
      <c r="R67" s="22">
        <f t="shared" si="4"/>
        <v>718877.09352385171</v>
      </c>
      <c r="S67" s="21"/>
      <c r="T67" s="214">
        <f t="shared" si="5"/>
        <v>610189.47911574994</v>
      </c>
      <c r="U67" s="23"/>
      <c r="V67" s="23">
        <v>2166.1070204786247</v>
      </c>
      <c r="W67" s="23"/>
      <c r="X67" s="23">
        <v>0</v>
      </c>
      <c r="Y67" s="23"/>
      <c r="Z67" s="23">
        <f t="shared" si="6"/>
        <v>1331232.6796600805</v>
      </c>
      <c r="AA67" s="21"/>
      <c r="AB67" s="33">
        <f t="shared" si="2"/>
        <v>665616.33983004023</v>
      </c>
      <c r="AC67" s="21"/>
    </row>
    <row r="68" spans="2:32" x14ac:dyDescent="0.2">
      <c r="B68" s="32" t="s">
        <v>10</v>
      </c>
      <c r="C68" s="22"/>
      <c r="D68" s="21">
        <v>2024</v>
      </c>
      <c r="E68" s="22"/>
      <c r="F68" s="220">
        <v>129573101.83</v>
      </c>
      <c r="G68" s="22"/>
      <c r="H68" s="26">
        <v>-5455401.7163650841</v>
      </c>
      <c r="I68" s="21"/>
      <c r="J68" s="26">
        <v>-1068688.9798490833</v>
      </c>
      <c r="K68" s="21"/>
      <c r="L68" s="222">
        <v>0</v>
      </c>
      <c r="M68" s="21"/>
      <c r="N68" s="220">
        <f t="shared" si="3"/>
        <v>123049011.13378583</v>
      </c>
      <c r="O68" s="21"/>
      <c r="P68" s="28">
        <v>5.8436882554702974E-3</v>
      </c>
      <c r="Q68" s="21"/>
      <c r="R68" s="22">
        <f t="shared" si="4"/>
        <v>714879.66633179749</v>
      </c>
      <c r="S68" s="21"/>
      <c r="T68" s="214">
        <f t="shared" si="5"/>
        <v>610117.00950875005</v>
      </c>
      <c r="U68" s="23"/>
      <c r="V68" s="23">
        <v>2482.9415670368749</v>
      </c>
      <c r="W68" s="23"/>
      <c r="X68" s="23">
        <v>1554632.9180761243</v>
      </c>
      <c r="Y68" s="23"/>
      <c r="Z68" s="23">
        <f t="shared" si="6"/>
        <v>2882112.5354837086</v>
      </c>
      <c r="AA68" s="21"/>
      <c r="AB68" s="33">
        <f t="shared" si="2"/>
        <v>1441056.2677418543</v>
      </c>
      <c r="AC68" s="21"/>
    </row>
    <row r="69" spans="2:32" x14ac:dyDescent="0.2">
      <c r="B69" s="32" t="s">
        <v>11</v>
      </c>
      <c r="C69" s="24"/>
      <c r="D69" s="21">
        <v>2025</v>
      </c>
      <c r="E69" s="24"/>
      <c r="F69" s="220">
        <v>129516504.98999999</v>
      </c>
      <c r="G69" s="24"/>
      <c r="H69" s="26">
        <v>-6071953.7259061672</v>
      </c>
      <c r="I69" s="21"/>
      <c r="J69" s="26">
        <v>-1095719.3905258002</v>
      </c>
      <c r="K69" s="21"/>
      <c r="L69" s="222">
        <v>0</v>
      </c>
      <c r="M69" s="21"/>
      <c r="N69" s="220">
        <f t="shared" si="3"/>
        <v>122348831.87356803</v>
      </c>
      <c r="O69" s="21"/>
      <c r="P69" s="28">
        <v>5.9037341997771617E-3</v>
      </c>
      <c r="Q69" s="21"/>
      <c r="R69" s="22">
        <f t="shared" si="4"/>
        <v>726448.65527929214</v>
      </c>
      <c r="S69" s="21"/>
      <c r="T69" s="214">
        <f t="shared" si="5"/>
        <v>616552.00954108336</v>
      </c>
      <c r="U69" s="23"/>
      <c r="V69" s="23">
        <v>2661.9175976592501</v>
      </c>
      <c r="W69" s="23"/>
      <c r="X69" s="23">
        <v>0</v>
      </c>
      <c r="Y69" s="23"/>
      <c r="Z69" s="23">
        <f t="shared" si="6"/>
        <v>1345662.5824180346</v>
      </c>
      <c r="AA69" s="21"/>
      <c r="AB69" s="33">
        <f t="shared" si="2"/>
        <v>672831.29120901728</v>
      </c>
      <c r="AC69" s="21"/>
    </row>
    <row r="70" spans="2:32" x14ac:dyDescent="0.2">
      <c r="B70" s="32" t="s">
        <v>12</v>
      </c>
      <c r="C70" s="22"/>
      <c r="D70" s="21">
        <v>2025</v>
      </c>
      <c r="E70" s="22"/>
      <c r="F70" s="220">
        <v>129650369.28</v>
      </c>
      <c r="G70" s="22"/>
      <c r="H70" s="26">
        <v>-6688236.4288169174</v>
      </c>
      <c r="I70" s="21"/>
      <c r="J70" s="26">
        <v>-1122678.3262769845</v>
      </c>
      <c r="K70" s="21"/>
      <c r="L70" s="222">
        <v>0</v>
      </c>
      <c r="M70" s="21"/>
      <c r="N70" s="220">
        <f t="shared" si="3"/>
        <v>121839454.5249061</v>
      </c>
      <c r="O70" s="21"/>
      <c r="P70" s="28">
        <v>5.9037341997771617E-3</v>
      </c>
      <c r="Q70" s="21"/>
      <c r="R70" s="22">
        <f t="shared" si="4"/>
        <v>722314.98303476966</v>
      </c>
      <c r="S70" s="21"/>
      <c r="T70" s="214">
        <f t="shared" si="5"/>
        <v>616282.70291074994</v>
      </c>
      <c r="U70" s="23"/>
      <c r="V70" s="23">
        <v>3127.1299225888747</v>
      </c>
      <c r="W70" s="23"/>
      <c r="X70" s="23">
        <v>0</v>
      </c>
      <c r="Y70" s="23"/>
      <c r="Z70" s="23">
        <f t="shared" si="6"/>
        <v>1341724.8158681085</v>
      </c>
      <c r="AA70" s="21"/>
      <c r="AB70" s="33">
        <f t="shared" si="2"/>
        <v>670862.40793405427</v>
      </c>
      <c r="AC70" s="21"/>
    </row>
    <row r="71" spans="2:32" x14ac:dyDescent="0.2">
      <c r="B71" s="32" t="s">
        <v>13</v>
      </c>
      <c r="C71" s="22"/>
      <c r="D71" s="21">
        <v>2025</v>
      </c>
      <c r="E71" s="22"/>
      <c r="F71" s="220">
        <v>129729466.38</v>
      </c>
      <c r="G71" s="22"/>
      <c r="H71" s="26">
        <v>-7305156.1026409175</v>
      </c>
      <c r="I71" s="21"/>
      <c r="J71" s="26">
        <v>-1149565.6327272439</v>
      </c>
      <c r="K71" s="21"/>
      <c r="L71" s="222">
        <v>0</v>
      </c>
      <c r="M71" s="21"/>
      <c r="N71" s="220">
        <f t="shared" si="3"/>
        <v>121274744.64463183</v>
      </c>
      <c r="O71" s="21"/>
      <c r="P71" s="28">
        <v>5.9037341997771617E-3</v>
      </c>
      <c r="Q71" s="21"/>
      <c r="R71" s="22">
        <f t="shared" si="4"/>
        <v>719307.75456088234</v>
      </c>
      <c r="S71" s="21"/>
      <c r="T71" s="214">
        <f t="shared" si="5"/>
        <v>616919.67382399994</v>
      </c>
      <c r="U71" s="23"/>
      <c r="V71" s="23">
        <v>3609.8397053197505</v>
      </c>
      <c r="W71" s="23"/>
      <c r="X71" s="23">
        <v>0</v>
      </c>
      <c r="Y71" s="23"/>
      <c r="Z71" s="23">
        <f t="shared" si="6"/>
        <v>1339837.2680902022</v>
      </c>
      <c r="AA71" s="21"/>
      <c r="AB71" s="33">
        <f t="shared" si="2"/>
        <v>669918.63404510112</v>
      </c>
      <c r="AC71" s="21"/>
    </row>
    <row r="72" spans="2:32" x14ac:dyDescent="0.2">
      <c r="B72" s="32" t="s">
        <v>14</v>
      </c>
      <c r="C72" s="22"/>
      <c r="D72" s="21">
        <v>2025</v>
      </c>
      <c r="E72" s="22"/>
      <c r="F72" s="220">
        <v>129737933.20999999</v>
      </c>
      <c r="G72" s="22"/>
      <c r="H72" s="26">
        <v>-7922452.1468324177</v>
      </c>
      <c r="I72" s="21"/>
      <c r="J72" s="26">
        <v>-1176455.1427601257</v>
      </c>
      <c r="K72" s="21"/>
      <c r="L72" s="222">
        <v>0</v>
      </c>
      <c r="M72" s="21"/>
      <c r="N72" s="220">
        <f t="shared" si="3"/>
        <v>120639025.92040744</v>
      </c>
      <c r="O72" s="21"/>
      <c r="P72" s="28">
        <v>5.9037341997771617E-3</v>
      </c>
      <c r="Q72" s="21"/>
      <c r="R72" s="22">
        <f t="shared" si="4"/>
        <v>715973.85752775508</v>
      </c>
      <c r="S72" s="21"/>
      <c r="T72" s="214">
        <f t="shared" ref="T72:T80" si="7">F71*($T$4/12)</f>
        <v>617296.04419149994</v>
      </c>
      <c r="U72" s="23"/>
      <c r="V72" s="23">
        <v>3774.8962542261252</v>
      </c>
      <c r="W72" s="23"/>
      <c r="X72" s="23">
        <v>0</v>
      </c>
      <c r="Y72" s="23"/>
      <c r="Z72" s="23">
        <f t="shared" ref="Z72:Z80" si="8">SUM(R72:X72)</f>
        <v>1337044.797973481</v>
      </c>
      <c r="AA72" s="21"/>
      <c r="AB72" s="33">
        <f t="shared" si="2"/>
        <v>668522.3989867405</v>
      </c>
      <c r="AC72" s="21"/>
    </row>
    <row r="73" spans="2:32" x14ac:dyDescent="0.2">
      <c r="B73" s="32" t="s">
        <v>15</v>
      </c>
      <c r="C73" s="25"/>
      <c r="D73" s="21">
        <v>2025</v>
      </c>
      <c r="E73" s="25"/>
      <c r="F73" s="220">
        <v>129748766.54333332</v>
      </c>
      <c r="G73" s="25"/>
      <c r="H73" s="26">
        <v>-8539788.4790233336</v>
      </c>
      <c r="I73" s="21"/>
      <c r="J73" s="26">
        <v>-1203346.0150846741</v>
      </c>
      <c r="K73" s="21"/>
      <c r="L73" s="222">
        <v>0</v>
      </c>
      <c r="M73" s="21"/>
      <c r="N73" s="220">
        <f t="shared" si="3"/>
        <v>120005632.04922532</v>
      </c>
      <c r="O73" s="21"/>
      <c r="P73" s="28">
        <v>5.9037341997771617E-3</v>
      </c>
      <c r="Q73" s="21"/>
      <c r="R73" s="22">
        <f t="shared" si="4"/>
        <v>712220.74315411295</v>
      </c>
      <c r="S73" s="21"/>
      <c r="T73" s="214">
        <f t="shared" si="7"/>
        <v>617336.33219091664</v>
      </c>
      <c r="U73" s="23"/>
      <c r="V73" s="23">
        <v>4361.028005012</v>
      </c>
      <c r="W73" s="23"/>
      <c r="X73" s="23">
        <v>0</v>
      </c>
      <c r="Y73" s="23"/>
      <c r="Z73" s="23">
        <f t="shared" si="8"/>
        <v>1333918.1033500417</v>
      </c>
      <c r="AA73" s="21"/>
      <c r="AB73" s="33">
        <f t="shared" ref="AB73:AB80" si="9">Z73/2</f>
        <v>666959.05167502083</v>
      </c>
      <c r="AC73" s="21"/>
      <c r="AD73" s="9"/>
    </row>
    <row r="74" spans="2:32" x14ac:dyDescent="0.2">
      <c r="B74" s="32" t="s">
        <v>16</v>
      </c>
      <c r="C74" s="22"/>
      <c r="D74" s="21">
        <v>2025</v>
      </c>
      <c r="E74" s="22"/>
      <c r="F74" s="220">
        <v>129759599.87666665</v>
      </c>
      <c r="G74" s="22"/>
      <c r="H74" s="26">
        <v>-9157176.3598253615</v>
      </c>
      <c r="I74" s="21"/>
      <c r="J74" s="26">
        <v>-1230240.2809508892</v>
      </c>
      <c r="K74" s="21"/>
      <c r="L74" s="222">
        <v>0</v>
      </c>
      <c r="M74" s="21"/>
      <c r="N74" s="220">
        <f t="shared" ref="N74:N80" si="10">SUM(F74:L74)</f>
        <v>119372183.2358904</v>
      </c>
      <c r="O74" s="21"/>
      <c r="P74" s="28">
        <v>5.9037341997771617E-3</v>
      </c>
      <c r="Q74" s="21"/>
      <c r="R74" s="22">
        <f t="shared" ref="R74:R80" si="11">N73*P74</f>
        <v>708481.35409488576</v>
      </c>
      <c r="S74" s="21"/>
      <c r="T74" s="214">
        <f t="shared" si="7"/>
        <v>617387.88080202765</v>
      </c>
      <c r="U74" s="23"/>
      <c r="V74" s="23">
        <v>4866.6647517617494</v>
      </c>
      <c r="W74" s="23"/>
      <c r="X74" s="23">
        <v>0</v>
      </c>
      <c r="Y74" s="23"/>
      <c r="Z74" s="23">
        <f t="shared" si="8"/>
        <v>1330735.8996486752</v>
      </c>
      <c r="AA74" s="21"/>
      <c r="AB74" s="33">
        <f t="shared" si="9"/>
        <v>665367.94982433761</v>
      </c>
      <c r="AC74" s="21"/>
      <c r="AD74" s="9"/>
    </row>
    <row r="75" spans="2:32" x14ac:dyDescent="0.2">
      <c r="B75" s="32" t="s">
        <v>17</v>
      </c>
      <c r="C75" s="22"/>
      <c r="D75" s="21">
        <v>2025</v>
      </c>
      <c r="E75" s="22"/>
      <c r="F75" s="220">
        <v>129770433.20999998</v>
      </c>
      <c r="G75" s="22"/>
      <c r="H75" s="26">
        <v>-9774615.7892384995</v>
      </c>
      <c r="I75" s="21"/>
      <c r="J75" s="26">
        <v>-1257140.784108771</v>
      </c>
      <c r="K75" s="21"/>
      <c r="L75" s="222">
        <v>0</v>
      </c>
      <c r="M75" s="21"/>
      <c r="N75" s="220">
        <f t="shared" si="10"/>
        <v>118738676.63665271</v>
      </c>
      <c r="O75" s="21"/>
      <c r="P75" s="28">
        <v>5.9037341997771617E-3</v>
      </c>
      <c r="Q75" s="21"/>
      <c r="R75" s="22">
        <f t="shared" si="11"/>
        <v>704741.64067179221</v>
      </c>
      <c r="S75" s="21"/>
      <c r="T75" s="214">
        <f t="shared" si="7"/>
        <v>617439.42941313877</v>
      </c>
      <c r="U75" s="23"/>
      <c r="V75" s="23">
        <v>5438.6039117156251</v>
      </c>
      <c r="W75" s="23"/>
      <c r="X75" s="23">
        <v>0</v>
      </c>
      <c r="Y75" s="23"/>
      <c r="Z75" s="23">
        <f t="shared" si="8"/>
        <v>1327619.6739966464</v>
      </c>
      <c r="AA75" s="21"/>
      <c r="AB75" s="33">
        <f t="shared" si="9"/>
        <v>663809.83699832321</v>
      </c>
      <c r="AC75" s="21"/>
      <c r="AD75" s="9"/>
    </row>
    <row r="76" spans="2:32" x14ac:dyDescent="0.2">
      <c r="B76" s="32" t="s">
        <v>18</v>
      </c>
      <c r="C76" s="22"/>
      <c r="D76" s="21">
        <v>2025</v>
      </c>
      <c r="E76" s="22"/>
      <c r="F76" s="220">
        <v>129781266.54333331</v>
      </c>
      <c r="G76" s="22"/>
      <c r="H76" s="26">
        <v>-10392106.767262749</v>
      </c>
      <c r="I76" s="21"/>
      <c r="J76" s="26">
        <v>-1284051.7901833195</v>
      </c>
      <c r="K76" s="21"/>
      <c r="L76" s="222">
        <v>0</v>
      </c>
      <c r="M76" s="21"/>
      <c r="N76" s="220">
        <f t="shared" si="10"/>
        <v>118105107.98588724</v>
      </c>
      <c r="O76" s="21"/>
      <c r="P76" s="28">
        <v>5.9037341997771617E-3</v>
      </c>
      <c r="Q76" s="21"/>
      <c r="R76" s="22">
        <f t="shared" si="11"/>
        <v>701001.58609608805</v>
      </c>
      <c r="S76" s="21"/>
      <c r="T76" s="214">
        <f t="shared" si="7"/>
        <v>617490.9780242499</v>
      </c>
      <c r="U76" s="23"/>
      <c r="V76" s="23">
        <v>5645.6076418927496</v>
      </c>
      <c r="W76" s="23"/>
      <c r="X76" s="23">
        <v>0</v>
      </c>
      <c r="Y76" s="23"/>
      <c r="Z76" s="23">
        <f t="shared" si="8"/>
        <v>1324138.1717622306</v>
      </c>
      <c r="AA76" s="21"/>
      <c r="AB76" s="33">
        <f t="shared" si="9"/>
        <v>662069.08588111529</v>
      </c>
      <c r="AC76" s="21"/>
      <c r="AD76" s="31"/>
    </row>
    <row r="77" spans="2:32" x14ac:dyDescent="0.2">
      <c r="B77" s="32" t="s">
        <v>19</v>
      </c>
      <c r="C77" s="22"/>
      <c r="D77" s="21">
        <v>2025</v>
      </c>
      <c r="E77" s="22"/>
      <c r="F77" s="220">
        <v>129792099.87666664</v>
      </c>
      <c r="G77" s="22"/>
      <c r="H77" s="26">
        <v>-11009649.293898111</v>
      </c>
      <c r="I77" s="21"/>
      <c r="J77" s="26">
        <v>-1310980.4085495346</v>
      </c>
      <c r="K77" s="21"/>
      <c r="L77" s="222">
        <v>0</v>
      </c>
      <c r="M77" s="21"/>
      <c r="N77" s="220">
        <f t="shared" si="10"/>
        <v>117471470.174219</v>
      </c>
      <c r="O77" s="21"/>
      <c r="P77" s="28">
        <v>5.9037341997771617E-3</v>
      </c>
      <c r="Q77" s="21"/>
      <c r="R77" s="22">
        <f t="shared" si="11"/>
        <v>697261.16518465732</v>
      </c>
      <c r="S77" s="21"/>
      <c r="T77" s="214">
        <f t="shared" si="7"/>
        <v>617542.52663536102</v>
      </c>
      <c r="U77" s="23"/>
      <c r="V77" s="23">
        <v>6902.5655343925</v>
      </c>
      <c r="W77" s="23"/>
      <c r="X77" s="23">
        <v>0</v>
      </c>
      <c r="Y77" s="23"/>
      <c r="Z77" s="23">
        <f t="shared" si="8"/>
        <v>1321706.2573544111</v>
      </c>
      <c r="AA77" s="21"/>
      <c r="AB77" s="33">
        <f t="shared" si="9"/>
        <v>660853.12867720553</v>
      </c>
      <c r="AC77" s="21"/>
      <c r="AD77" s="27"/>
      <c r="AE77" s="30"/>
      <c r="AF77" s="30"/>
    </row>
    <row r="78" spans="2:32" x14ac:dyDescent="0.2">
      <c r="B78" s="32" t="s">
        <v>8</v>
      </c>
      <c r="C78" s="22"/>
      <c r="D78" s="21">
        <v>2025</v>
      </c>
      <c r="E78" s="22"/>
      <c r="F78" s="220">
        <v>129802933.20999996</v>
      </c>
      <c r="G78" s="22"/>
      <c r="H78" s="26">
        <v>-11627243.369144583</v>
      </c>
      <c r="I78" s="21"/>
      <c r="J78" s="26">
        <v>-1337940.8579574164</v>
      </c>
      <c r="K78" s="21"/>
      <c r="L78" s="222">
        <v>0</v>
      </c>
      <c r="M78" s="21"/>
      <c r="N78" s="220">
        <f t="shared" si="10"/>
        <v>116837748.98289795</v>
      </c>
      <c r="O78" s="21"/>
      <c r="P78" s="28">
        <v>5.9037341997771617E-3</v>
      </c>
      <c r="Q78" s="21"/>
      <c r="R78" s="22">
        <f t="shared" si="11"/>
        <v>693520.33596563956</v>
      </c>
      <c r="S78" s="21"/>
      <c r="T78" s="214">
        <f t="shared" si="7"/>
        <v>617594.07524647203</v>
      </c>
      <c r="U78" s="23"/>
      <c r="V78" s="23">
        <v>7232.224956879124</v>
      </c>
      <c r="W78" s="23"/>
      <c r="X78" s="23">
        <v>0</v>
      </c>
      <c r="Y78" s="23"/>
      <c r="Z78" s="23">
        <f t="shared" si="8"/>
        <v>1318346.6361689907</v>
      </c>
      <c r="AA78" s="21"/>
      <c r="AB78" s="33">
        <f t="shared" si="9"/>
        <v>659173.31808449537</v>
      </c>
      <c r="AC78" s="21"/>
    </row>
    <row r="79" spans="2:32" x14ac:dyDescent="0.2">
      <c r="B79" s="32" t="s">
        <v>9</v>
      </c>
      <c r="C79" s="22"/>
      <c r="D79" s="21">
        <v>2025</v>
      </c>
      <c r="E79" s="22"/>
      <c r="F79" s="220">
        <v>129813766.54333329</v>
      </c>
      <c r="G79" s="22"/>
      <c r="H79" s="26">
        <v>-12244888.993002167</v>
      </c>
      <c r="I79" s="21"/>
      <c r="J79" s="26">
        <v>-1364975.794656965</v>
      </c>
      <c r="K79" s="21"/>
      <c r="L79" s="222">
        <v>0</v>
      </c>
      <c r="M79" s="21"/>
      <c r="N79" s="220">
        <f t="shared" si="10"/>
        <v>116203901.75567417</v>
      </c>
      <c r="O79" s="21"/>
      <c r="P79" s="28">
        <v>5.9037341997771617E-3</v>
      </c>
      <c r="Q79" s="21"/>
      <c r="R79" s="22">
        <f t="shared" si="11"/>
        <v>689779.01449531398</v>
      </c>
      <c r="S79" s="21"/>
      <c r="T79" s="214">
        <f t="shared" si="7"/>
        <v>617645.62385758315</v>
      </c>
      <c r="U79" s="23"/>
      <c r="V79" s="23">
        <v>8065.1730891112484</v>
      </c>
      <c r="W79" s="23"/>
      <c r="X79" s="23">
        <v>0</v>
      </c>
      <c r="Y79" s="23"/>
      <c r="Z79" s="23">
        <f t="shared" si="8"/>
        <v>1315489.8114420082</v>
      </c>
      <c r="AA79" s="21"/>
      <c r="AB79" s="33">
        <f t="shared" si="9"/>
        <v>657744.90572100412</v>
      </c>
      <c r="AC79" s="21"/>
    </row>
    <row r="80" spans="2:32" ht="13.5" thickBot="1" x14ac:dyDescent="0.25">
      <c r="B80" s="32" t="s">
        <v>10</v>
      </c>
      <c r="C80" s="22"/>
      <c r="D80" s="21">
        <v>2025</v>
      </c>
      <c r="E80" s="22"/>
      <c r="F80" s="220">
        <v>129824599.87666662</v>
      </c>
      <c r="G80" s="22"/>
      <c r="H80" s="26">
        <v>-12862586.165470861</v>
      </c>
      <c r="I80" s="21"/>
      <c r="J80" s="26">
        <v>-1364975.794656965</v>
      </c>
      <c r="K80" s="21"/>
      <c r="L80" s="222">
        <v>0</v>
      </c>
      <c r="M80" s="21"/>
      <c r="N80" s="220">
        <f t="shared" si="10"/>
        <v>115597037.9165388</v>
      </c>
      <c r="O80" s="21"/>
      <c r="P80" s="28">
        <v>5.9037341997771617E-3</v>
      </c>
      <c r="Q80" s="21"/>
      <c r="R80" s="22">
        <f t="shared" si="11"/>
        <v>686036.94894251891</v>
      </c>
      <c r="S80" s="21"/>
      <c r="T80" s="214">
        <f t="shared" si="7"/>
        <v>617697.17246869428</v>
      </c>
      <c r="U80" s="23"/>
      <c r="V80" s="23">
        <v>106416.97204434901</v>
      </c>
      <c r="W80" s="23"/>
      <c r="X80" s="23">
        <v>1541855.4511287371</v>
      </c>
      <c r="Y80" s="23"/>
      <c r="Z80" s="23">
        <f t="shared" si="8"/>
        <v>2952006.5445842994</v>
      </c>
      <c r="AA80" s="21"/>
      <c r="AB80" s="33">
        <f t="shared" si="9"/>
        <v>1476003.2722921497</v>
      </c>
      <c r="AC80" s="21"/>
      <c r="AD80" s="218"/>
    </row>
    <row r="81" spans="2:34" ht="13.5" thickBot="1" x14ac:dyDescent="0.25">
      <c r="B81" s="195"/>
      <c r="C81" s="197"/>
      <c r="D81" s="196"/>
      <c r="E81" s="197"/>
      <c r="F81" s="221"/>
      <c r="G81" s="197"/>
      <c r="H81" s="221"/>
      <c r="I81" s="196"/>
      <c r="J81" s="221"/>
      <c r="K81" s="196"/>
      <c r="L81" s="198"/>
      <c r="M81" s="196"/>
      <c r="N81" s="227">
        <f>N80/2</f>
        <v>57798518.958269402</v>
      </c>
      <c r="O81" s="196"/>
      <c r="P81" s="198"/>
      <c r="Q81" s="196"/>
      <c r="R81" s="226">
        <f>SUM(R9:R80)</f>
        <v>22885906.931536589</v>
      </c>
      <c r="S81" s="196"/>
      <c r="T81" s="226">
        <f>SUM(T9:T80)</f>
        <v>12862586.165470861</v>
      </c>
      <c r="U81" s="196"/>
      <c r="V81" s="226">
        <f>SUM(V9:V80)</f>
        <v>182650.91069047566</v>
      </c>
      <c r="W81" s="196"/>
      <c r="X81" s="226">
        <f>SUM(X9:X80)</f>
        <v>4187186.7190910717</v>
      </c>
      <c r="Y81" s="196"/>
      <c r="Z81" s="226">
        <f>SUM(Z8:Z80)</f>
        <v>40118330.712513998</v>
      </c>
      <c r="AA81" s="196"/>
      <c r="AB81" s="227">
        <f>SUM(AB8:AB80)</f>
        <v>20059165.356256999</v>
      </c>
      <c r="AC81" s="21"/>
      <c r="AD81" s="228">
        <f>N81+AB81</f>
        <v>77857684.314526409</v>
      </c>
      <c r="AE81" s="199"/>
      <c r="AF81" s="30"/>
    </row>
    <row r="82" spans="2:34" x14ac:dyDescent="0.2"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222">
        <f>(R81+T81+V81+X81)-Z81</f>
        <v>1.4275006949901581E-2</v>
      </c>
      <c r="AA82" s="9"/>
      <c r="AB82" s="27">
        <f>(Z81/2)-AB81</f>
        <v>0</v>
      </c>
      <c r="AC82" s="9"/>
      <c r="AD82" s="9"/>
      <c r="AE82" s="9"/>
      <c r="AF82" s="9"/>
      <c r="AG82" s="9"/>
      <c r="AH82" s="9"/>
    </row>
  </sheetData>
  <mergeCells count="14">
    <mergeCell ref="X5:X6"/>
    <mergeCell ref="B1:AB2"/>
    <mergeCell ref="Z4:Z6"/>
    <mergeCell ref="AB4:AB6"/>
    <mergeCell ref="B5:B6"/>
    <mergeCell ref="F5:F6"/>
    <mergeCell ref="H5:H6"/>
    <mergeCell ref="J5:J6"/>
    <mergeCell ref="L5:L6"/>
    <mergeCell ref="N5:N6"/>
    <mergeCell ref="P5:P6"/>
    <mergeCell ref="R5:R6"/>
    <mergeCell ref="T5:T6"/>
    <mergeCell ref="V5:V6"/>
  </mergeCells>
  <pageMargins left="0.7" right="0.7" top="0.75" bottom="0.75" header="0.3" footer="0.3"/>
  <pageSetup scale="44" orientation="landscape" r:id="rId1"/>
  <ignoredErrors>
    <ignoredError sqref="V81:X8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F80B3-88E1-49DA-9562-BDFA73DA2560}">
  <dimension ref="A1:S2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M44" sqref="M44"/>
    </sheetView>
  </sheetViews>
  <sheetFormatPr defaultRowHeight="12.75" x14ac:dyDescent="0.2"/>
  <cols>
    <col min="1" max="2" width="9.140625" style="11"/>
    <col min="3" max="3" width="12.85546875" style="11" bestFit="1" customWidth="1"/>
    <col min="4" max="4" width="14.5703125" style="11" customWidth="1"/>
    <col min="5" max="5" width="14.5703125" style="47" customWidth="1"/>
    <col min="6" max="7" width="14.5703125" style="11" customWidth="1"/>
    <col min="8" max="8" width="12.85546875" style="47" bestFit="1" customWidth="1"/>
    <col min="9" max="9" width="12.140625" style="11" customWidth="1"/>
    <col min="10" max="10" width="12.85546875" style="11" customWidth="1"/>
    <col min="11" max="13" width="9.140625" style="11"/>
    <col min="14" max="14" width="12.85546875" style="11" bestFit="1" customWidth="1"/>
    <col min="15" max="15" width="14.5703125" style="11" customWidth="1"/>
    <col min="16" max="16" width="14.7109375" style="11" customWidth="1"/>
    <col min="17" max="16384" width="9.140625" style="11"/>
  </cols>
  <sheetData>
    <row r="1" spans="1:19" x14ac:dyDescent="0.2">
      <c r="A1" s="20" t="s">
        <v>54</v>
      </c>
      <c r="B1" s="13"/>
      <c r="C1" s="302">
        <f>Repayment!N81</f>
        <v>57798518.958269402</v>
      </c>
      <c r="D1" s="13"/>
      <c r="E1" s="130"/>
      <c r="F1" s="13"/>
      <c r="G1" s="13"/>
      <c r="H1" s="130"/>
      <c r="I1" s="13"/>
      <c r="J1" s="13"/>
      <c r="K1" s="13"/>
      <c r="L1" s="20" t="s">
        <v>230</v>
      </c>
      <c r="M1" s="13"/>
      <c r="N1" s="302">
        <f>Repayment!AB81</f>
        <v>20059165.356256999</v>
      </c>
      <c r="O1" s="13"/>
      <c r="P1" s="13"/>
    </row>
    <row r="2" spans="1:19" x14ac:dyDescent="0.2">
      <c r="A2" s="20" t="s">
        <v>60</v>
      </c>
      <c r="B2" s="13"/>
      <c r="C2" s="250">
        <v>2026</v>
      </c>
      <c r="D2" s="13"/>
      <c r="E2" s="130"/>
      <c r="F2" s="13"/>
      <c r="G2" s="13"/>
      <c r="H2" s="130"/>
      <c r="I2" s="13"/>
      <c r="J2" s="13"/>
      <c r="K2" s="13"/>
      <c r="L2" s="20"/>
      <c r="M2" s="13"/>
      <c r="N2" s="250"/>
      <c r="O2" s="13"/>
      <c r="P2" s="13"/>
    </row>
    <row r="3" spans="1:19" x14ac:dyDescent="0.2">
      <c r="A3" s="20" t="s">
        <v>64</v>
      </c>
      <c r="B3" s="13"/>
      <c r="C3" s="210">
        <v>0.21</v>
      </c>
      <c r="D3" s="13"/>
      <c r="E3" s="130"/>
      <c r="F3" s="13"/>
      <c r="G3" s="13"/>
      <c r="H3" s="130"/>
      <c r="I3" s="13"/>
      <c r="J3" s="13"/>
      <c r="K3" s="13"/>
      <c r="L3" s="20" t="s">
        <v>64</v>
      </c>
      <c r="M3" s="13"/>
      <c r="N3" s="210">
        <v>0.21</v>
      </c>
      <c r="O3" s="13"/>
      <c r="P3" s="13"/>
    </row>
    <row r="4" spans="1:19" x14ac:dyDescent="0.2">
      <c r="A4" s="20" t="s">
        <v>55</v>
      </c>
      <c r="B4" s="13"/>
      <c r="C4" s="300">
        <f>ROUND(1/15,6)</f>
        <v>6.6667000000000004E-2</v>
      </c>
      <c r="D4" s="301" t="s">
        <v>236</v>
      </c>
      <c r="E4" s="130"/>
      <c r="F4" s="13"/>
      <c r="G4" s="13"/>
      <c r="H4" s="130"/>
      <c r="I4" s="13"/>
      <c r="J4" s="13"/>
      <c r="K4" s="13"/>
      <c r="L4" s="20" t="s">
        <v>227</v>
      </c>
      <c r="M4" s="13"/>
      <c r="N4" s="249">
        <v>72</v>
      </c>
      <c r="O4" s="301" t="s">
        <v>235</v>
      </c>
      <c r="P4" s="13"/>
      <c r="Q4" s="13"/>
      <c r="R4" s="13"/>
      <c r="S4" s="13"/>
    </row>
    <row r="6" spans="1:19" s="34" customFormat="1" ht="50.25" customHeight="1" thickBot="1" x14ac:dyDescent="0.3">
      <c r="A6" s="52" t="s">
        <v>7</v>
      </c>
      <c r="B6" s="52" t="s">
        <v>6</v>
      </c>
      <c r="C6" s="52" t="s">
        <v>58</v>
      </c>
      <c r="D6" s="132" t="s">
        <v>56</v>
      </c>
      <c r="E6" s="132" t="s">
        <v>57</v>
      </c>
      <c r="F6" s="132" t="s">
        <v>61</v>
      </c>
      <c r="G6" s="132" t="s">
        <v>59</v>
      </c>
      <c r="H6" s="132" t="s">
        <v>62</v>
      </c>
      <c r="I6" s="132" t="s">
        <v>63</v>
      </c>
      <c r="J6" s="132" t="s">
        <v>21</v>
      </c>
      <c r="L6" s="52" t="s">
        <v>7</v>
      </c>
      <c r="M6" s="52" t="s">
        <v>6</v>
      </c>
      <c r="N6" s="52" t="s">
        <v>228</v>
      </c>
      <c r="O6" s="132" t="s">
        <v>229</v>
      </c>
      <c r="P6" s="132" t="s">
        <v>21</v>
      </c>
    </row>
    <row r="7" spans="1:19" x14ac:dyDescent="0.2">
      <c r="A7" s="13">
        <v>2026</v>
      </c>
      <c r="B7" s="13">
        <v>1</v>
      </c>
      <c r="C7" s="18">
        <f>-(ROUND($C$1*$C$4/12,0))</f>
        <v>-321104</v>
      </c>
      <c r="D7" s="18">
        <f>$C$1+C7</f>
        <v>57477414.958269402</v>
      </c>
      <c r="E7" s="128">
        <f t="shared" ref="E7:E38" si="0">VLOOKUP(A7-($C$2-1),$D$198:$G$219,4)</f>
        <v>3.7499999999999999E-2</v>
      </c>
      <c r="F7" s="18">
        <f>-$C$1*E7/12*B7</f>
        <v>-180620.37174459186</v>
      </c>
      <c r="G7" s="18">
        <f>$C$1+F7</f>
        <v>57617898.586524807</v>
      </c>
      <c r="H7" s="129">
        <f>-(G7-$C$1)/$C$1</f>
        <v>3.1250000000000622E-3</v>
      </c>
      <c r="I7" s="18">
        <f>G7-D7</f>
        <v>140483.62825540453</v>
      </c>
      <c r="J7" s="18">
        <f>ROUND(I7*$C$3,0)</f>
        <v>29502</v>
      </c>
      <c r="K7" s="13"/>
      <c r="L7" s="13">
        <v>2026</v>
      </c>
      <c r="M7" s="13">
        <v>1</v>
      </c>
      <c r="N7" s="18">
        <f>-(ROUND($N$1/$N$4,0))</f>
        <v>-278600</v>
      </c>
      <c r="O7" s="248">
        <f>$N$1+N7</f>
        <v>19780565.356256999</v>
      </c>
      <c r="P7" s="18">
        <f>-ROUND(O7*$N$3,0)</f>
        <v>-4153919</v>
      </c>
    </row>
    <row r="8" spans="1:19" x14ac:dyDescent="0.2">
      <c r="A8" s="11">
        <v>2026</v>
      </c>
      <c r="B8" s="11">
        <v>2</v>
      </c>
      <c r="C8" s="18">
        <f t="shared" ref="C8:C39" si="1">-(ROUND($C$1*$C$4/12,0)-C7)</f>
        <v>-642208</v>
      </c>
      <c r="D8" s="18">
        <f t="shared" ref="D8:D71" si="2">$C$1+C8</f>
        <v>57156310.958269402</v>
      </c>
      <c r="E8" s="128">
        <f t="shared" si="0"/>
        <v>3.7499999999999999E-2</v>
      </c>
      <c r="F8" s="225">
        <f t="shared" ref="F8:F18" si="3">-$C$1*E8/12*B8</f>
        <v>-361240.74348918372</v>
      </c>
      <c r="G8" s="18">
        <f t="shared" ref="G8:G71" si="4">$C$1+F8</f>
        <v>57437278.214780219</v>
      </c>
      <c r="H8" s="129">
        <f t="shared" ref="H8:H71" si="5">-(G8-$C$1)/$C$1</f>
        <v>6.2499999999999951E-3</v>
      </c>
      <c r="I8" s="18">
        <f t="shared" ref="I8:I71" si="6">G8-D8</f>
        <v>280967.25651081651</v>
      </c>
      <c r="J8" s="18">
        <f t="shared" ref="J8:J71" si="7">ROUND(I8*$C$3,0)</f>
        <v>59003</v>
      </c>
      <c r="L8" s="11">
        <v>2026</v>
      </c>
      <c r="M8" s="11">
        <v>2</v>
      </c>
      <c r="N8" s="18">
        <f>-(ROUND($N$1/$N$4,0)-N7)</f>
        <v>-557200</v>
      </c>
      <c r="O8" s="248">
        <f>$N$1+N8</f>
        <v>19501965.356256999</v>
      </c>
      <c r="P8" s="18">
        <f t="shared" ref="P8:P71" si="8">-ROUND(O8*$N$3,0)</f>
        <v>-4095413</v>
      </c>
    </row>
    <row r="9" spans="1:19" x14ac:dyDescent="0.2">
      <c r="A9" s="11">
        <v>2026</v>
      </c>
      <c r="B9" s="11">
        <v>3</v>
      </c>
      <c r="C9" s="18">
        <f t="shared" si="1"/>
        <v>-963312</v>
      </c>
      <c r="D9" s="18">
        <f t="shared" si="2"/>
        <v>56835206.958269402</v>
      </c>
      <c r="E9" s="128">
        <f t="shared" si="0"/>
        <v>3.7499999999999999E-2</v>
      </c>
      <c r="F9" s="225">
        <f t="shared" si="3"/>
        <v>-541861.11523377558</v>
      </c>
      <c r="G9" s="18">
        <f t="shared" si="4"/>
        <v>57256657.843035623</v>
      </c>
      <c r="H9" s="129">
        <f t="shared" si="5"/>
        <v>9.3750000000000569E-3</v>
      </c>
      <c r="I9" s="18">
        <f t="shared" si="6"/>
        <v>421450.88476622105</v>
      </c>
      <c r="J9" s="18">
        <f t="shared" si="7"/>
        <v>88505</v>
      </c>
      <c r="L9" s="11">
        <v>2026</v>
      </c>
      <c r="M9" s="11">
        <v>3</v>
      </c>
      <c r="N9" s="18">
        <f t="shared" ref="N9:N72" si="9">-(ROUND($N$1/$N$4,0)-N8)</f>
        <v>-835800</v>
      </c>
      <c r="O9" s="248">
        <f t="shared" ref="O9:O72" si="10">$N$1+N9</f>
        <v>19223365.356256999</v>
      </c>
      <c r="P9" s="18">
        <f t="shared" si="8"/>
        <v>-4036907</v>
      </c>
    </row>
    <row r="10" spans="1:19" x14ac:dyDescent="0.2">
      <c r="A10" s="11">
        <v>2026</v>
      </c>
      <c r="B10" s="11">
        <v>4</v>
      </c>
      <c r="C10" s="18">
        <f t="shared" si="1"/>
        <v>-1284416</v>
      </c>
      <c r="D10" s="18">
        <f t="shared" si="2"/>
        <v>56514102.958269402</v>
      </c>
      <c r="E10" s="128">
        <f t="shared" si="0"/>
        <v>3.7499999999999999E-2</v>
      </c>
      <c r="F10" s="225">
        <f t="shared" si="3"/>
        <v>-722481.48697836744</v>
      </c>
      <c r="G10" s="18">
        <f t="shared" si="4"/>
        <v>57076037.471291035</v>
      </c>
      <c r="H10" s="129">
        <f t="shared" si="5"/>
        <v>1.249999999999999E-2</v>
      </c>
      <c r="I10" s="18">
        <f t="shared" si="6"/>
        <v>561934.51302163303</v>
      </c>
      <c r="J10" s="18">
        <f t="shared" si="7"/>
        <v>118006</v>
      </c>
      <c r="L10" s="11">
        <v>2026</v>
      </c>
      <c r="M10" s="11">
        <v>4</v>
      </c>
      <c r="N10" s="18">
        <f t="shared" si="9"/>
        <v>-1114400</v>
      </c>
      <c r="O10" s="248">
        <f t="shared" si="10"/>
        <v>18944765.356256999</v>
      </c>
      <c r="P10" s="18">
        <f t="shared" si="8"/>
        <v>-3978401</v>
      </c>
    </row>
    <row r="11" spans="1:19" x14ac:dyDescent="0.2">
      <c r="A11" s="11">
        <v>2026</v>
      </c>
      <c r="B11" s="11">
        <v>5</v>
      </c>
      <c r="C11" s="18">
        <f t="shared" si="1"/>
        <v>-1605520</v>
      </c>
      <c r="D11" s="18">
        <f t="shared" si="2"/>
        <v>56192998.958269402</v>
      </c>
      <c r="E11" s="128">
        <f t="shared" si="0"/>
        <v>3.7499999999999999E-2</v>
      </c>
      <c r="F11" s="225">
        <f t="shared" si="3"/>
        <v>-903101.8587229593</v>
      </c>
      <c r="G11" s="18">
        <f t="shared" si="4"/>
        <v>56895417.09954644</v>
      </c>
      <c r="H11" s="129">
        <f t="shared" si="5"/>
        <v>1.5625000000000052E-2</v>
      </c>
      <c r="I11" s="18">
        <f t="shared" si="6"/>
        <v>702418.14127703756</v>
      </c>
      <c r="J11" s="18">
        <f t="shared" si="7"/>
        <v>147508</v>
      </c>
      <c r="L11" s="11">
        <v>2026</v>
      </c>
      <c r="M11" s="11">
        <v>5</v>
      </c>
      <c r="N11" s="18">
        <f t="shared" si="9"/>
        <v>-1393000</v>
      </c>
      <c r="O11" s="248">
        <f t="shared" si="10"/>
        <v>18666165.356256999</v>
      </c>
      <c r="P11" s="18">
        <f t="shared" si="8"/>
        <v>-3919895</v>
      </c>
    </row>
    <row r="12" spans="1:19" x14ac:dyDescent="0.2">
      <c r="A12" s="11">
        <v>2026</v>
      </c>
      <c r="B12" s="11">
        <v>6</v>
      </c>
      <c r="C12" s="18">
        <f t="shared" si="1"/>
        <v>-1926624</v>
      </c>
      <c r="D12" s="18">
        <f t="shared" si="2"/>
        <v>55871894.958269402</v>
      </c>
      <c r="E12" s="128">
        <f t="shared" si="0"/>
        <v>3.7499999999999999E-2</v>
      </c>
      <c r="F12" s="225">
        <f t="shared" si="3"/>
        <v>-1083722.2304675512</v>
      </c>
      <c r="G12" s="18">
        <f t="shared" si="4"/>
        <v>56714796.727801852</v>
      </c>
      <c r="H12" s="129">
        <f t="shared" si="5"/>
        <v>1.8749999999999985E-2</v>
      </c>
      <c r="I12" s="18">
        <f t="shared" si="6"/>
        <v>842901.76953244954</v>
      </c>
      <c r="J12" s="18">
        <f t="shared" si="7"/>
        <v>177009</v>
      </c>
      <c r="L12" s="11">
        <v>2026</v>
      </c>
      <c r="M12" s="11">
        <v>6</v>
      </c>
      <c r="N12" s="18">
        <f t="shared" si="9"/>
        <v>-1671600</v>
      </c>
      <c r="O12" s="248">
        <f t="shared" si="10"/>
        <v>18387565.356256999</v>
      </c>
      <c r="P12" s="18">
        <f t="shared" si="8"/>
        <v>-3861389</v>
      </c>
    </row>
    <row r="13" spans="1:19" x14ac:dyDescent="0.2">
      <c r="A13" s="11">
        <v>2026</v>
      </c>
      <c r="B13" s="11">
        <v>7</v>
      </c>
      <c r="C13" s="18">
        <f t="shared" si="1"/>
        <v>-2247728</v>
      </c>
      <c r="D13" s="18">
        <f t="shared" si="2"/>
        <v>55550790.958269402</v>
      </c>
      <c r="E13" s="128">
        <f t="shared" si="0"/>
        <v>3.7499999999999999E-2</v>
      </c>
      <c r="F13" s="225">
        <f t="shared" si="3"/>
        <v>-1264342.6022121431</v>
      </c>
      <c r="G13" s="18">
        <f t="shared" si="4"/>
        <v>56534176.356057256</v>
      </c>
      <c r="H13" s="129">
        <f t="shared" si="5"/>
        <v>2.1875000000000047E-2</v>
      </c>
      <c r="I13" s="18">
        <f t="shared" si="6"/>
        <v>983385.39778785408</v>
      </c>
      <c r="J13" s="18">
        <f t="shared" si="7"/>
        <v>206511</v>
      </c>
      <c r="L13" s="11">
        <v>2026</v>
      </c>
      <c r="M13" s="11">
        <v>7</v>
      </c>
      <c r="N13" s="18">
        <f t="shared" si="9"/>
        <v>-1950200</v>
      </c>
      <c r="O13" s="248">
        <f t="shared" si="10"/>
        <v>18108965.356256999</v>
      </c>
      <c r="P13" s="18">
        <f t="shared" si="8"/>
        <v>-3802883</v>
      </c>
    </row>
    <row r="14" spans="1:19" x14ac:dyDescent="0.2">
      <c r="A14" s="11">
        <v>2026</v>
      </c>
      <c r="B14" s="11">
        <v>8</v>
      </c>
      <c r="C14" s="18">
        <f t="shared" si="1"/>
        <v>-2568832</v>
      </c>
      <c r="D14" s="18">
        <f t="shared" si="2"/>
        <v>55229686.958269402</v>
      </c>
      <c r="E14" s="128">
        <f t="shared" si="0"/>
        <v>3.7499999999999999E-2</v>
      </c>
      <c r="F14" s="225">
        <f t="shared" si="3"/>
        <v>-1444962.9739567349</v>
      </c>
      <c r="G14" s="18">
        <f t="shared" si="4"/>
        <v>56353555.984312668</v>
      </c>
      <c r="H14" s="129">
        <f t="shared" si="5"/>
        <v>2.4999999999999981E-2</v>
      </c>
      <c r="I14" s="18">
        <f t="shared" si="6"/>
        <v>1123869.0260432661</v>
      </c>
      <c r="J14" s="18">
        <f t="shared" si="7"/>
        <v>236012</v>
      </c>
      <c r="L14" s="11">
        <v>2026</v>
      </c>
      <c r="M14" s="11">
        <v>8</v>
      </c>
      <c r="N14" s="18">
        <f t="shared" si="9"/>
        <v>-2228800</v>
      </c>
      <c r="O14" s="248">
        <f t="shared" si="10"/>
        <v>17830365.356256999</v>
      </c>
      <c r="P14" s="18">
        <f t="shared" si="8"/>
        <v>-3744377</v>
      </c>
    </row>
    <row r="15" spans="1:19" x14ac:dyDescent="0.2">
      <c r="A15" s="11">
        <v>2026</v>
      </c>
      <c r="B15" s="11">
        <v>9</v>
      </c>
      <c r="C15" s="18">
        <f t="shared" si="1"/>
        <v>-2889936</v>
      </c>
      <c r="D15" s="18">
        <f t="shared" si="2"/>
        <v>54908582.958269402</v>
      </c>
      <c r="E15" s="128">
        <f t="shared" si="0"/>
        <v>3.7499999999999999E-2</v>
      </c>
      <c r="F15" s="225">
        <f t="shared" si="3"/>
        <v>-1625583.3457013266</v>
      </c>
      <c r="G15" s="18">
        <f t="shared" si="4"/>
        <v>56172935.612568073</v>
      </c>
      <c r="H15" s="129">
        <f t="shared" si="5"/>
        <v>2.8125000000000042E-2</v>
      </c>
      <c r="I15" s="18">
        <f t="shared" si="6"/>
        <v>1264352.6542986706</v>
      </c>
      <c r="J15" s="18">
        <f t="shared" si="7"/>
        <v>265514</v>
      </c>
      <c r="L15" s="11">
        <v>2026</v>
      </c>
      <c r="M15" s="11">
        <v>9</v>
      </c>
      <c r="N15" s="18">
        <f t="shared" si="9"/>
        <v>-2507400</v>
      </c>
      <c r="O15" s="248">
        <f t="shared" si="10"/>
        <v>17551765.356256999</v>
      </c>
      <c r="P15" s="18">
        <f t="shared" si="8"/>
        <v>-3685871</v>
      </c>
    </row>
    <row r="16" spans="1:19" x14ac:dyDescent="0.2">
      <c r="A16" s="11">
        <v>2026</v>
      </c>
      <c r="B16" s="11">
        <v>10</v>
      </c>
      <c r="C16" s="18">
        <f t="shared" si="1"/>
        <v>-3211040</v>
      </c>
      <c r="D16" s="18">
        <f t="shared" si="2"/>
        <v>54587478.958269402</v>
      </c>
      <c r="E16" s="128">
        <f t="shared" si="0"/>
        <v>3.7499999999999999E-2</v>
      </c>
      <c r="F16" s="225">
        <f t="shared" si="3"/>
        <v>-1806203.7174459186</v>
      </c>
      <c r="G16" s="18">
        <f t="shared" si="4"/>
        <v>55992315.240823485</v>
      </c>
      <c r="H16" s="129">
        <f t="shared" si="5"/>
        <v>3.1249999999999976E-2</v>
      </c>
      <c r="I16" s="18">
        <f t="shared" si="6"/>
        <v>1404836.2825540826</v>
      </c>
      <c r="J16" s="18">
        <f t="shared" si="7"/>
        <v>295016</v>
      </c>
      <c r="L16" s="11">
        <v>2026</v>
      </c>
      <c r="M16" s="11">
        <v>10</v>
      </c>
      <c r="N16" s="18">
        <f t="shared" si="9"/>
        <v>-2786000</v>
      </c>
      <c r="O16" s="248">
        <f t="shared" si="10"/>
        <v>17273165.356256999</v>
      </c>
      <c r="P16" s="18">
        <f t="shared" si="8"/>
        <v>-3627365</v>
      </c>
    </row>
    <row r="17" spans="1:16" x14ac:dyDescent="0.2">
      <c r="A17" s="11">
        <v>2026</v>
      </c>
      <c r="B17" s="11">
        <v>11</v>
      </c>
      <c r="C17" s="18">
        <f t="shared" si="1"/>
        <v>-3532144</v>
      </c>
      <c r="D17" s="18">
        <f t="shared" si="2"/>
        <v>54266374.958269402</v>
      </c>
      <c r="E17" s="128">
        <f t="shared" si="0"/>
        <v>3.7499999999999999E-2</v>
      </c>
      <c r="F17" s="225">
        <f t="shared" si="3"/>
        <v>-1986824.0891905106</v>
      </c>
      <c r="G17" s="18">
        <f t="shared" si="4"/>
        <v>55811694.869078889</v>
      </c>
      <c r="H17" s="129">
        <f t="shared" si="5"/>
        <v>3.4375000000000037E-2</v>
      </c>
      <c r="I17" s="18">
        <f t="shared" si="6"/>
        <v>1545319.9108094871</v>
      </c>
      <c r="J17" s="18">
        <f t="shared" si="7"/>
        <v>324517</v>
      </c>
      <c r="L17" s="11">
        <v>2026</v>
      </c>
      <c r="M17" s="11">
        <v>11</v>
      </c>
      <c r="N17" s="18">
        <f t="shared" si="9"/>
        <v>-3064600</v>
      </c>
      <c r="O17" s="248">
        <f t="shared" si="10"/>
        <v>16994565.356256999</v>
      </c>
      <c r="P17" s="18">
        <f t="shared" si="8"/>
        <v>-3568859</v>
      </c>
    </row>
    <row r="18" spans="1:16" x14ac:dyDescent="0.2">
      <c r="A18" s="11">
        <v>2026</v>
      </c>
      <c r="B18" s="11">
        <v>12</v>
      </c>
      <c r="C18" s="18">
        <f t="shared" si="1"/>
        <v>-3853248</v>
      </c>
      <c r="D18" s="18">
        <f t="shared" si="2"/>
        <v>53945270.958269402</v>
      </c>
      <c r="E18" s="128">
        <f t="shared" si="0"/>
        <v>3.7499999999999999E-2</v>
      </c>
      <c r="F18" s="225">
        <f t="shared" si="3"/>
        <v>-2167444.4609351023</v>
      </c>
      <c r="G18" s="18">
        <f t="shared" si="4"/>
        <v>55631074.497334301</v>
      </c>
      <c r="H18" s="129">
        <f t="shared" si="5"/>
        <v>3.7499999999999971E-2</v>
      </c>
      <c r="I18" s="18">
        <f t="shared" si="6"/>
        <v>1685803.5390648991</v>
      </c>
      <c r="J18" s="18">
        <f t="shared" si="7"/>
        <v>354019</v>
      </c>
      <c r="L18" s="11">
        <v>2026</v>
      </c>
      <c r="M18" s="11">
        <v>12</v>
      </c>
      <c r="N18" s="18">
        <f t="shared" si="9"/>
        <v>-3343200</v>
      </c>
      <c r="O18" s="248">
        <f t="shared" si="10"/>
        <v>16715965.356256999</v>
      </c>
      <c r="P18" s="18">
        <f t="shared" si="8"/>
        <v>-3510353</v>
      </c>
    </row>
    <row r="19" spans="1:16" x14ac:dyDescent="0.2">
      <c r="A19" s="11">
        <v>2027</v>
      </c>
      <c r="B19" s="11">
        <v>1</v>
      </c>
      <c r="C19" s="18">
        <f t="shared" si="1"/>
        <v>-4174352</v>
      </c>
      <c r="D19" s="18">
        <f t="shared" si="2"/>
        <v>53624166.958269402</v>
      </c>
      <c r="E19" s="128">
        <f t="shared" si="0"/>
        <v>7.2190000000000004E-2</v>
      </c>
      <c r="F19" s="225">
        <f>-$C$1*E19/12+F18</f>
        <v>-2515150.7179015581</v>
      </c>
      <c r="G19" s="18">
        <f t="shared" si="4"/>
        <v>55283368.240367845</v>
      </c>
      <c r="H19" s="129">
        <f t="shared" si="5"/>
        <v>4.3515833333333323E-2</v>
      </c>
      <c r="I19" s="18">
        <f t="shared" si="6"/>
        <v>1659201.2820984423</v>
      </c>
      <c r="J19" s="18">
        <f t="shared" si="7"/>
        <v>348432</v>
      </c>
      <c r="L19" s="11">
        <v>2027</v>
      </c>
      <c r="M19" s="11">
        <v>1</v>
      </c>
      <c r="N19" s="18">
        <f t="shared" si="9"/>
        <v>-3621800</v>
      </c>
      <c r="O19" s="248">
        <f t="shared" si="10"/>
        <v>16437365.356256999</v>
      </c>
      <c r="P19" s="18">
        <f t="shared" si="8"/>
        <v>-3451847</v>
      </c>
    </row>
    <row r="20" spans="1:16" x14ac:dyDescent="0.2">
      <c r="A20" s="11">
        <v>2027</v>
      </c>
      <c r="B20" s="11">
        <v>2</v>
      </c>
      <c r="C20" s="18">
        <f t="shared" si="1"/>
        <v>-4495456</v>
      </c>
      <c r="D20" s="18">
        <f t="shared" si="2"/>
        <v>53303062.958269402</v>
      </c>
      <c r="E20" s="128">
        <f t="shared" si="0"/>
        <v>7.2190000000000004E-2</v>
      </c>
      <c r="F20" s="225">
        <f t="shared" ref="F20:F83" si="11">-$C$1*E20/12+F19</f>
        <v>-2862856.974868014</v>
      </c>
      <c r="G20" s="18">
        <f t="shared" si="4"/>
        <v>54935661.983401388</v>
      </c>
      <c r="H20" s="129">
        <f t="shared" si="5"/>
        <v>4.9531666666666675E-2</v>
      </c>
      <c r="I20" s="18">
        <f t="shared" si="6"/>
        <v>1632599.0251319855</v>
      </c>
      <c r="J20" s="18">
        <f t="shared" si="7"/>
        <v>342846</v>
      </c>
      <c r="L20" s="11">
        <v>2027</v>
      </c>
      <c r="M20" s="11">
        <v>2</v>
      </c>
      <c r="N20" s="18">
        <f t="shared" si="9"/>
        <v>-3900400</v>
      </c>
      <c r="O20" s="248">
        <f t="shared" si="10"/>
        <v>16158765.356256999</v>
      </c>
      <c r="P20" s="18">
        <f t="shared" si="8"/>
        <v>-3393341</v>
      </c>
    </row>
    <row r="21" spans="1:16" x14ac:dyDescent="0.2">
      <c r="A21" s="11">
        <v>2027</v>
      </c>
      <c r="B21" s="11">
        <v>3</v>
      </c>
      <c r="C21" s="18">
        <f t="shared" si="1"/>
        <v>-4816560</v>
      </c>
      <c r="D21" s="18">
        <f t="shared" si="2"/>
        <v>52981958.958269402</v>
      </c>
      <c r="E21" s="128">
        <f t="shared" si="0"/>
        <v>7.2190000000000004E-2</v>
      </c>
      <c r="F21" s="225">
        <f t="shared" si="11"/>
        <v>-3210563.2318344698</v>
      </c>
      <c r="G21" s="18">
        <f t="shared" si="4"/>
        <v>54587955.726434931</v>
      </c>
      <c r="H21" s="129">
        <f t="shared" si="5"/>
        <v>5.5547500000000027E-2</v>
      </c>
      <c r="I21" s="18">
        <f t="shared" si="6"/>
        <v>1605996.7681655288</v>
      </c>
      <c r="J21" s="18">
        <f t="shared" si="7"/>
        <v>337259</v>
      </c>
      <c r="L21" s="11">
        <v>2027</v>
      </c>
      <c r="M21" s="11">
        <v>3</v>
      </c>
      <c r="N21" s="18">
        <f t="shared" si="9"/>
        <v>-4179000</v>
      </c>
      <c r="O21" s="248">
        <f t="shared" si="10"/>
        <v>15880165.356256999</v>
      </c>
      <c r="P21" s="18">
        <f t="shared" si="8"/>
        <v>-3334835</v>
      </c>
    </row>
    <row r="22" spans="1:16" x14ac:dyDescent="0.2">
      <c r="A22" s="11">
        <v>2027</v>
      </c>
      <c r="B22" s="11">
        <v>4</v>
      </c>
      <c r="C22" s="18">
        <f t="shared" si="1"/>
        <v>-5137664</v>
      </c>
      <c r="D22" s="18">
        <f t="shared" si="2"/>
        <v>52660854.958269402</v>
      </c>
      <c r="E22" s="128">
        <f t="shared" si="0"/>
        <v>7.2190000000000004E-2</v>
      </c>
      <c r="F22" s="225">
        <f t="shared" si="11"/>
        <v>-3558269.4888009257</v>
      </c>
      <c r="G22" s="18">
        <f t="shared" si="4"/>
        <v>54240249.469468474</v>
      </c>
      <c r="H22" s="129">
        <f t="shared" si="5"/>
        <v>6.156333333333338E-2</v>
      </c>
      <c r="I22" s="18">
        <f t="shared" si="6"/>
        <v>1579394.511199072</v>
      </c>
      <c r="J22" s="18">
        <f t="shared" si="7"/>
        <v>331673</v>
      </c>
      <c r="L22" s="11">
        <v>2027</v>
      </c>
      <c r="M22" s="11">
        <v>4</v>
      </c>
      <c r="N22" s="18">
        <f t="shared" si="9"/>
        <v>-4457600</v>
      </c>
      <c r="O22" s="248">
        <f t="shared" si="10"/>
        <v>15601565.356256999</v>
      </c>
      <c r="P22" s="18">
        <f t="shared" si="8"/>
        <v>-3276329</v>
      </c>
    </row>
    <row r="23" spans="1:16" x14ac:dyDescent="0.2">
      <c r="A23" s="11">
        <v>2027</v>
      </c>
      <c r="B23" s="11">
        <v>5</v>
      </c>
      <c r="C23" s="18">
        <f t="shared" si="1"/>
        <v>-5458768</v>
      </c>
      <c r="D23" s="18">
        <f t="shared" si="2"/>
        <v>52339750.958269402</v>
      </c>
      <c r="E23" s="128">
        <f t="shared" si="0"/>
        <v>7.2190000000000004E-2</v>
      </c>
      <c r="F23" s="225">
        <f t="shared" si="11"/>
        <v>-3905975.7457673815</v>
      </c>
      <c r="G23" s="18">
        <f t="shared" si="4"/>
        <v>53892543.212502018</v>
      </c>
      <c r="H23" s="129">
        <f t="shared" si="5"/>
        <v>6.7579166666666732E-2</v>
      </c>
      <c r="I23" s="18">
        <f t="shared" si="6"/>
        <v>1552792.2542326152</v>
      </c>
      <c r="J23" s="18">
        <f t="shared" si="7"/>
        <v>326086</v>
      </c>
      <c r="L23" s="11">
        <v>2027</v>
      </c>
      <c r="M23" s="11">
        <v>5</v>
      </c>
      <c r="N23" s="18">
        <f t="shared" si="9"/>
        <v>-4736200</v>
      </c>
      <c r="O23" s="248">
        <f t="shared" si="10"/>
        <v>15322965.356256999</v>
      </c>
      <c r="P23" s="18">
        <f t="shared" si="8"/>
        <v>-3217823</v>
      </c>
    </row>
    <row r="24" spans="1:16" x14ac:dyDescent="0.2">
      <c r="A24" s="11">
        <v>2027</v>
      </c>
      <c r="B24" s="11">
        <v>6</v>
      </c>
      <c r="C24" s="18">
        <f t="shared" si="1"/>
        <v>-5779872</v>
      </c>
      <c r="D24" s="18">
        <f t="shared" si="2"/>
        <v>52018646.958269402</v>
      </c>
      <c r="E24" s="128">
        <f t="shared" si="0"/>
        <v>7.2190000000000004E-2</v>
      </c>
      <c r="F24" s="225">
        <f t="shared" si="11"/>
        <v>-4253682.0027338369</v>
      </c>
      <c r="G24" s="18">
        <f t="shared" si="4"/>
        <v>53544836.955535568</v>
      </c>
      <c r="H24" s="129">
        <f t="shared" si="5"/>
        <v>7.3594999999999952E-2</v>
      </c>
      <c r="I24" s="18">
        <f t="shared" si="6"/>
        <v>1526189.9972661659</v>
      </c>
      <c r="J24" s="18">
        <f t="shared" si="7"/>
        <v>320500</v>
      </c>
      <c r="L24" s="11">
        <v>2027</v>
      </c>
      <c r="M24" s="11">
        <v>6</v>
      </c>
      <c r="N24" s="18">
        <f t="shared" si="9"/>
        <v>-5014800</v>
      </c>
      <c r="O24" s="248">
        <f t="shared" si="10"/>
        <v>15044365.356256999</v>
      </c>
      <c r="P24" s="18">
        <f t="shared" si="8"/>
        <v>-3159317</v>
      </c>
    </row>
    <row r="25" spans="1:16" x14ac:dyDescent="0.2">
      <c r="A25" s="11">
        <v>2027</v>
      </c>
      <c r="B25" s="11">
        <v>7</v>
      </c>
      <c r="C25" s="18">
        <f t="shared" si="1"/>
        <v>-6100976</v>
      </c>
      <c r="D25" s="18">
        <f t="shared" si="2"/>
        <v>51697542.958269402</v>
      </c>
      <c r="E25" s="128">
        <f t="shared" si="0"/>
        <v>7.2190000000000004E-2</v>
      </c>
      <c r="F25" s="225">
        <f t="shared" si="11"/>
        <v>-4601388.2597002927</v>
      </c>
      <c r="G25" s="18">
        <f t="shared" si="4"/>
        <v>53197130.698569112</v>
      </c>
      <c r="H25" s="129">
        <f t="shared" si="5"/>
        <v>7.9610833333333311E-2</v>
      </c>
      <c r="I25" s="18">
        <f t="shared" si="6"/>
        <v>1499587.7402997091</v>
      </c>
      <c r="J25" s="18">
        <f t="shared" si="7"/>
        <v>314913</v>
      </c>
      <c r="L25" s="11">
        <v>2027</v>
      </c>
      <c r="M25" s="11">
        <v>7</v>
      </c>
      <c r="N25" s="18">
        <f t="shared" si="9"/>
        <v>-5293400</v>
      </c>
      <c r="O25" s="248">
        <f t="shared" si="10"/>
        <v>14765765.356256999</v>
      </c>
      <c r="P25" s="18">
        <f t="shared" si="8"/>
        <v>-3100811</v>
      </c>
    </row>
    <row r="26" spans="1:16" x14ac:dyDescent="0.2">
      <c r="A26" s="11">
        <v>2027</v>
      </c>
      <c r="B26" s="11">
        <v>8</v>
      </c>
      <c r="C26" s="18">
        <f t="shared" si="1"/>
        <v>-6422080</v>
      </c>
      <c r="D26" s="18">
        <f t="shared" si="2"/>
        <v>51376438.958269402</v>
      </c>
      <c r="E26" s="128">
        <f t="shared" si="0"/>
        <v>7.2190000000000004E-2</v>
      </c>
      <c r="F26" s="225">
        <f t="shared" si="11"/>
        <v>-4949094.5166667486</v>
      </c>
      <c r="G26" s="18">
        <f t="shared" si="4"/>
        <v>52849424.441602655</v>
      </c>
      <c r="H26" s="129">
        <f t="shared" si="5"/>
        <v>8.5626666666666656E-2</v>
      </c>
      <c r="I26" s="18">
        <f t="shared" si="6"/>
        <v>1472985.4833332524</v>
      </c>
      <c r="J26" s="18">
        <f t="shared" si="7"/>
        <v>309327</v>
      </c>
      <c r="L26" s="11">
        <v>2027</v>
      </c>
      <c r="M26" s="11">
        <v>8</v>
      </c>
      <c r="N26" s="18">
        <f t="shared" si="9"/>
        <v>-5572000</v>
      </c>
      <c r="O26" s="248">
        <f t="shared" si="10"/>
        <v>14487165.356256999</v>
      </c>
      <c r="P26" s="18">
        <f t="shared" si="8"/>
        <v>-3042305</v>
      </c>
    </row>
    <row r="27" spans="1:16" x14ac:dyDescent="0.2">
      <c r="A27" s="11">
        <v>2027</v>
      </c>
      <c r="B27" s="11">
        <v>9</v>
      </c>
      <c r="C27" s="18">
        <f t="shared" si="1"/>
        <v>-6743184</v>
      </c>
      <c r="D27" s="18">
        <f t="shared" si="2"/>
        <v>51055334.958269402</v>
      </c>
      <c r="E27" s="128">
        <f t="shared" si="0"/>
        <v>7.2190000000000004E-2</v>
      </c>
      <c r="F27" s="225">
        <f t="shared" si="11"/>
        <v>-5296800.7736332044</v>
      </c>
      <c r="G27" s="18">
        <f t="shared" si="4"/>
        <v>52501718.184636198</v>
      </c>
      <c r="H27" s="129">
        <f t="shared" si="5"/>
        <v>9.1642500000000016E-2</v>
      </c>
      <c r="I27" s="18">
        <f t="shared" si="6"/>
        <v>1446383.2263667956</v>
      </c>
      <c r="J27" s="18">
        <f t="shared" si="7"/>
        <v>303740</v>
      </c>
      <c r="L27" s="11">
        <v>2027</v>
      </c>
      <c r="M27" s="11">
        <v>9</v>
      </c>
      <c r="N27" s="18">
        <f t="shared" si="9"/>
        <v>-5850600</v>
      </c>
      <c r="O27" s="248">
        <f t="shared" si="10"/>
        <v>14208565.356256999</v>
      </c>
      <c r="P27" s="18">
        <f t="shared" si="8"/>
        <v>-2983799</v>
      </c>
    </row>
    <row r="28" spans="1:16" x14ac:dyDescent="0.2">
      <c r="A28" s="11">
        <v>2027</v>
      </c>
      <c r="B28" s="11">
        <v>10</v>
      </c>
      <c r="C28" s="18">
        <f t="shared" si="1"/>
        <v>-7064288</v>
      </c>
      <c r="D28" s="18">
        <f t="shared" si="2"/>
        <v>50734230.958269402</v>
      </c>
      <c r="E28" s="128">
        <f t="shared" si="0"/>
        <v>7.2190000000000004E-2</v>
      </c>
      <c r="F28" s="225">
        <f t="shared" si="11"/>
        <v>-5644507.0305996602</v>
      </c>
      <c r="G28" s="18">
        <f t="shared" si="4"/>
        <v>52154011.927669741</v>
      </c>
      <c r="H28" s="129">
        <f t="shared" si="5"/>
        <v>9.7658333333333361E-2</v>
      </c>
      <c r="I28" s="18">
        <f t="shared" si="6"/>
        <v>1419780.9694003388</v>
      </c>
      <c r="J28" s="18">
        <f t="shared" si="7"/>
        <v>298154</v>
      </c>
      <c r="L28" s="11">
        <v>2027</v>
      </c>
      <c r="M28" s="11">
        <v>10</v>
      </c>
      <c r="N28" s="18">
        <f t="shared" si="9"/>
        <v>-6129200</v>
      </c>
      <c r="O28" s="248">
        <f t="shared" si="10"/>
        <v>13929965.356256999</v>
      </c>
      <c r="P28" s="18">
        <f t="shared" si="8"/>
        <v>-2925293</v>
      </c>
    </row>
    <row r="29" spans="1:16" x14ac:dyDescent="0.2">
      <c r="A29" s="11">
        <v>2027</v>
      </c>
      <c r="B29" s="11">
        <v>11</v>
      </c>
      <c r="C29" s="18">
        <f t="shared" si="1"/>
        <v>-7385392</v>
      </c>
      <c r="D29" s="18">
        <f t="shared" si="2"/>
        <v>50413126.958269402</v>
      </c>
      <c r="E29" s="128">
        <f t="shared" si="0"/>
        <v>7.2190000000000004E-2</v>
      </c>
      <c r="F29" s="225">
        <f t="shared" si="11"/>
        <v>-5992213.2875661161</v>
      </c>
      <c r="G29" s="18">
        <f t="shared" si="4"/>
        <v>51806305.670703284</v>
      </c>
      <c r="H29" s="129">
        <f t="shared" si="5"/>
        <v>0.10367416666666672</v>
      </c>
      <c r="I29" s="18">
        <f t="shared" si="6"/>
        <v>1393178.7124338821</v>
      </c>
      <c r="J29" s="18">
        <f t="shared" si="7"/>
        <v>292568</v>
      </c>
      <c r="L29" s="11">
        <v>2027</v>
      </c>
      <c r="M29" s="11">
        <v>11</v>
      </c>
      <c r="N29" s="18">
        <f t="shared" si="9"/>
        <v>-6407800</v>
      </c>
      <c r="O29" s="248">
        <f t="shared" si="10"/>
        <v>13651365.356256999</v>
      </c>
      <c r="P29" s="18">
        <f t="shared" si="8"/>
        <v>-2866787</v>
      </c>
    </row>
    <row r="30" spans="1:16" x14ac:dyDescent="0.2">
      <c r="A30" s="11">
        <v>2027</v>
      </c>
      <c r="B30" s="11">
        <v>12</v>
      </c>
      <c r="C30" s="18">
        <f t="shared" si="1"/>
        <v>-7706496</v>
      </c>
      <c r="D30" s="18">
        <f t="shared" si="2"/>
        <v>50092022.958269402</v>
      </c>
      <c r="E30" s="128">
        <f t="shared" si="0"/>
        <v>7.2190000000000004E-2</v>
      </c>
      <c r="F30" s="225">
        <f t="shared" si="11"/>
        <v>-6339919.5445325719</v>
      </c>
      <c r="G30" s="18">
        <f t="shared" si="4"/>
        <v>51458599.413736828</v>
      </c>
      <c r="H30" s="129">
        <f t="shared" si="5"/>
        <v>0.10969000000000007</v>
      </c>
      <c r="I30" s="18">
        <f t="shared" si="6"/>
        <v>1366576.4554674253</v>
      </c>
      <c r="J30" s="18">
        <f t="shared" si="7"/>
        <v>286981</v>
      </c>
      <c r="L30" s="11">
        <v>2027</v>
      </c>
      <c r="M30" s="11">
        <v>12</v>
      </c>
      <c r="N30" s="18">
        <f t="shared" si="9"/>
        <v>-6686400</v>
      </c>
      <c r="O30" s="248">
        <f t="shared" si="10"/>
        <v>13372765.356256999</v>
      </c>
      <c r="P30" s="18">
        <f t="shared" si="8"/>
        <v>-2808281</v>
      </c>
    </row>
    <row r="31" spans="1:16" x14ac:dyDescent="0.2">
      <c r="A31" s="11">
        <v>2028</v>
      </c>
      <c r="B31" s="11">
        <v>1</v>
      </c>
      <c r="C31" s="18">
        <f t="shared" si="1"/>
        <v>-8027600</v>
      </c>
      <c r="D31" s="18">
        <f t="shared" si="2"/>
        <v>49770918.958269402</v>
      </c>
      <c r="E31" s="128">
        <f t="shared" si="0"/>
        <v>6.6769999999999996E-2</v>
      </c>
      <c r="F31" s="225">
        <f t="shared" si="11"/>
        <v>-6661520.1371028759</v>
      </c>
      <c r="G31" s="18">
        <f t="shared" si="4"/>
        <v>51136998.82116653</v>
      </c>
      <c r="H31" s="129">
        <f t="shared" si="5"/>
        <v>0.11525416666666662</v>
      </c>
      <c r="I31" s="18">
        <f t="shared" si="6"/>
        <v>1366079.8628971279</v>
      </c>
      <c r="J31" s="18">
        <f t="shared" si="7"/>
        <v>286877</v>
      </c>
      <c r="L31" s="11">
        <v>2028</v>
      </c>
      <c r="M31" s="11">
        <v>1</v>
      </c>
      <c r="N31" s="18">
        <f t="shared" si="9"/>
        <v>-6965000</v>
      </c>
      <c r="O31" s="248">
        <f t="shared" si="10"/>
        <v>13094165.356256999</v>
      </c>
      <c r="P31" s="18">
        <f t="shared" si="8"/>
        <v>-2749775</v>
      </c>
    </row>
    <row r="32" spans="1:16" x14ac:dyDescent="0.2">
      <c r="A32" s="11">
        <v>2028</v>
      </c>
      <c r="B32" s="11">
        <v>2</v>
      </c>
      <c r="C32" s="18">
        <f t="shared" si="1"/>
        <v>-8348704</v>
      </c>
      <c r="D32" s="18">
        <f t="shared" si="2"/>
        <v>49449814.958269402</v>
      </c>
      <c r="E32" s="128">
        <f t="shared" si="0"/>
        <v>6.6769999999999996E-2</v>
      </c>
      <c r="F32" s="225">
        <f t="shared" si="11"/>
        <v>-6983120.7296731798</v>
      </c>
      <c r="G32" s="18">
        <f t="shared" si="4"/>
        <v>50815398.228596225</v>
      </c>
      <c r="H32" s="129">
        <f t="shared" si="5"/>
        <v>0.12081833333333331</v>
      </c>
      <c r="I32" s="18">
        <f t="shared" si="6"/>
        <v>1365583.270326823</v>
      </c>
      <c r="J32" s="18">
        <f t="shared" si="7"/>
        <v>286772</v>
      </c>
      <c r="L32" s="11">
        <v>2028</v>
      </c>
      <c r="M32" s="11">
        <v>2</v>
      </c>
      <c r="N32" s="18">
        <f t="shared" si="9"/>
        <v>-7243600</v>
      </c>
      <c r="O32" s="248">
        <f t="shared" si="10"/>
        <v>12815565.356256999</v>
      </c>
      <c r="P32" s="18">
        <f t="shared" si="8"/>
        <v>-2691269</v>
      </c>
    </row>
    <row r="33" spans="1:16" x14ac:dyDescent="0.2">
      <c r="A33" s="11">
        <v>2028</v>
      </c>
      <c r="B33" s="11">
        <v>3</v>
      </c>
      <c r="C33" s="18">
        <f t="shared" si="1"/>
        <v>-8669808</v>
      </c>
      <c r="D33" s="18">
        <f t="shared" si="2"/>
        <v>49128710.958269402</v>
      </c>
      <c r="E33" s="128">
        <f t="shared" si="0"/>
        <v>6.6769999999999996E-2</v>
      </c>
      <c r="F33" s="225">
        <f t="shared" si="11"/>
        <v>-7304721.3222434837</v>
      </c>
      <c r="G33" s="18">
        <f t="shared" si="4"/>
        <v>50493797.636025921</v>
      </c>
      <c r="H33" s="129">
        <f t="shared" si="5"/>
        <v>0.12638249999999998</v>
      </c>
      <c r="I33" s="18">
        <f t="shared" si="6"/>
        <v>1365086.6777565181</v>
      </c>
      <c r="J33" s="18">
        <f t="shared" si="7"/>
        <v>286668</v>
      </c>
      <c r="L33" s="11">
        <v>2028</v>
      </c>
      <c r="M33" s="11">
        <v>3</v>
      </c>
      <c r="N33" s="18">
        <f t="shared" si="9"/>
        <v>-7522200</v>
      </c>
      <c r="O33" s="248">
        <f t="shared" si="10"/>
        <v>12536965.356256999</v>
      </c>
      <c r="P33" s="18">
        <f t="shared" si="8"/>
        <v>-2632763</v>
      </c>
    </row>
    <row r="34" spans="1:16" x14ac:dyDescent="0.2">
      <c r="A34" s="11">
        <v>2028</v>
      </c>
      <c r="B34" s="11">
        <v>4</v>
      </c>
      <c r="C34" s="18">
        <f t="shared" si="1"/>
        <v>-8990912</v>
      </c>
      <c r="D34" s="18">
        <f t="shared" si="2"/>
        <v>48807606.958269402</v>
      </c>
      <c r="E34" s="128">
        <f t="shared" si="0"/>
        <v>6.6769999999999996E-2</v>
      </c>
      <c r="F34" s="225">
        <f t="shared" si="11"/>
        <v>-7626321.9148137877</v>
      </c>
      <c r="G34" s="18">
        <f t="shared" si="4"/>
        <v>50172197.043455616</v>
      </c>
      <c r="H34" s="129">
        <f t="shared" si="5"/>
        <v>0.13194666666666666</v>
      </c>
      <c r="I34" s="18">
        <f t="shared" si="6"/>
        <v>1364590.0851862133</v>
      </c>
      <c r="J34" s="18">
        <f t="shared" si="7"/>
        <v>286564</v>
      </c>
      <c r="L34" s="11">
        <v>2028</v>
      </c>
      <c r="M34" s="11">
        <v>4</v>
      </c>
      <c r="N34" s="18">
        <f t="shared" si="9"/>
        <v>-7800800</v>
      </c>
      <c r="O34" s="248">
        <f t="shared" si="10"/>
        <v>12258365.356256999</v>
      </c>
      <c r="P34" s="18">
        <f t="shared" si="8"/>
        <v>-2574257</v>
      </c>
    </row>
    <row r="35" spans="1:16" x14ac:dyDescent="0.2">
      <c r="A35" s="11">
        <v>2028</v>
      </c>
      <c r="B35" s="11">
        <v>5</v>
      </c>
      <c r="C35" s="18">
        <f t="shared" si="1"/>
        <v>-9312016</v>
      </c>
      <c r="D35" s="18">
        <f t="shared" si="2"/>
        <v>48486502.958269402</v>
      </c>
      <c r="E35" s="128">
        <f t="shared" si="0"/>
        <v>6.6769999999999996E-2</v>
      </c>
      <c r="F35" s="225">
        <f t="shared" si="11"/>
        <v>-7947922.5073840916</v>
      </c>
      <c r="G35" s="18">
        <f t="shared" si="4"/>
        <v>49850596.450885311</v>
      </c>
      <c r="H35" s="129">
        <f t="shared" si="5"/>
        <v>0.13751083333333336</v>
      </c>
      <c r="I35" s="18">
        <f t="shared" si="6"/>
        <v>1364093.4926159084</v>
      </c>
      <c r="J35" s="18">
        <f t="shared" si="7"/>
        <v>286460</v>
      </c>
      <c r="L35" s="11">
        <v>2028</v>
      </c>
      <c r="M35" s="11">
        <v>5</v>
      </c>
      <c r="N35" s="18">
        <f t="shared" si="9"/>
        <v>-8079400</v>
      </c>
      <c r="O35" s="248">
        <f t="shared" si="10"/>
        <v>11979765.356256999</v>
      </c>
      <c r="P35" s="18">
        <f t="shared" si="8"/>
        <v>-2515751</v>
      </c>
    </row>
    <row r="36" spans="1:16" x14ac:dyDescent="0.2">
      <c r="A36" s="11">
        <v>2028</v>
      </c>
      <c r="B36" s="11">
        <v>6</v>
      </c>
      <c r="C36" s="18">
        <f t="shared" si="1"/>
        <v>-9633120</v>
      </c>
      <c r="D36" s="18">
        <f t="shared" si="2"/>
        <v>48165398.958269402</v>
      </c>
      <c r="E36" s="128">
        <f t="shared" si="0"/>
        <v>6.6769999999999996E-2</v>
      </c>
      <c r="F36" s="225">
        <f t="shared" si="11"/>
        <v>-8269523.0999543956</v>
      </c>
      <c r="G36" s="18">
        <f t="shared" si="4"/>
        <v>49528995.858315006</v>
      </c>
      <c r="H36" s="129">
        <f t="shared" si="5"/>
        <v>0.14307500000000004</v>
      </c>
      <c r="I36" s="18">
        <f t="shared" si="6"/>
        <v>1363596.9000456035</v>
      </c>
      <c r="J36" s="18">
        <f t="shared" si="7"/>
        <v>286355</v>
      </c>
      <c r="L36" s="11">
        <v>2028</v>
      </c>
      <c r="M36" s="11">
        <v>6</v>
      </c>
      <c r="N36" s="18">
        <f t="shared" si="9"/>
        <v>-8358000</v>
      </c>
      <c r="O36" s="248">
        <f t="shared" si="10"/>
        <v>11701165.356256999</v>
      </c>
      <c r="P36" s="18">
        <f t="shared" si="8"/>
        <v>-2457245</v>
      </c>
    </row>
    <row r="37" spans="1:16" x14ac:dyDescent="0.2">
      <c r="A37" s="11">
        <v>2028</v>
      </c>
      <c r="B37" s="11">
        <v>7</v>
      </c>
      <c r="C37" s="18">
        <f t="shared" si="1"/>
        <v>-9954224</v>
      </c>
      <c r="D37" s="18">
        <f t="shared" si="2"/>
        <v>47844294.958269402</v>
      </c>
      <c r="E37" s="128">
        <f t="shared" si="0"/>
        <v>6.6769999999999996E-2</v>
      </c>
      <c r="F37" s="225">
        <f t="shared" si="11"/>
        <v>-8591123.6925246995</v>
      </c>
      <c r="G37" s="18">
        <f t="shared" si="4"/>
        <v>49207395.265744701</v>
      </c>
      <c r="H37" s="129">
        <f t="shared" si="5"/>
        <v>0.14863916666666671</v>
      </c>
      <c r="I37" s="18">
        <f t="shared" si="6"/>
        <v>1363100.3074752986</v>
      </c>
      <c r="J37" s="18">
        <f t="shared" si="7"/>
        <v>286251</v>
      </c>
      <c r="L37" s="11">
        <v>2028</v>
      </c>
      <c r="M37" s="11">
        <v>7</v>
      </c>
      <c r="N37" s="18">
        <f t="shared" si="9"/>
        <v>-8636600</v>
      </c>
      <c r="O37" s="248">
        <f t="shared" si="10"/>
        <v>11422565.356256999</v>
      </c>
      <c r="P37" s="18">
        <f t="shared" si="8"/>
        <v>-2398739</v>
      </c>
    </row>
    <row r="38" spans="1:16" x14ac:dyDescent="0.2">
      <c r="A38" s="11">
        <v>2028</v>
      </c>
      <c r="B38" s="11">
        <v>8</v>
      </c>
      <c r="C38" s="18">
        <f t="shared" si="1"/>
        <v>-10275328</v>
      </c>
      <c r="D38" s="18">
        <f t="shared" si="2"/>
        <v>47523190.958269402</v>
      </c>
      <c r="E38" s="128">
        <f t="shared" si="0"/>
        <v>6.6769999999999996E-2</v>
      </c>
      <c r="F38" s="225">
        <f t="shared" si="11"/>
        <v>-8912724.2850950044</v>
      </c>
      <c r="G38" s="18">
        <f t="shared" si="4"/>
        <v>48885794.673174396</v>
      </c>
      <c r="H38" s="129">
        <f t="shared" si="5"/>
        <v>0.15420333333333339</v>
      </c>
      <c r="I38" s="18">
        <f t="shared" si="6"/>
        <v>1362603.7149049938</v>
      </c>
      <c r="J38" s="18">
        <f t="shared" si="7"/>
        <v>286147</v>
      </c>
      <c r="L38" s="11">
        <v>2028</v>
      </c>
      <c r="M38" s="11">
        <v>8</v>
      </c>
      <c r="N38" s="18">
        <f t="shared" si="9"/>
        <v>-8915200</v>
      </c>
      <c r="O38" s="248">
        <f t="shared" si="10"/>
        <v>11143965.356256999</v>
      </c>
      <c r="P38" s="18">
        <f t="shared" si="8"/>
        <v>-2340233</v>
      </c>
    </row>
    <row r="39" spans="1:16" x14ac:dyDescent="0.2">
      <c r="A39" s="11">
        <v>2028</v>
      </c>
      <c r="B39" s="11">
        <v>9</v>
      </c>
      <c r="C39" s="18">
        <f t="shared" si="1"/>
        <v>-10596432</v>
      </c>
      <c r="D39" s="18">
        <f t="shared" si="2"/>
        <v>47202086.958269402</v>
      </c>
      <c r="E39" s="128">
        <f t="shared" ref="E39:E70" si="12">VLOOKUP(A39-($C$2-1),$D$198:$G$219,4)</f>
        <v>6.6769999999999996E-2</v>
      </c>
      <c r="F39" s="225">
        <f t="shared" si="11"/>
        <v>-9234324.8776653092</v>
      </c>
      <c r="G39" s="18">
        <f t="shared" si="4"/>
        <v>48564194.080604091</v>
      </c>
      <c r="H39" s="129">
        <f t="shared" si="5"/>
        <v>0.15976750000000006</v>
      </c>
      <c r="I39" s="18">
        <f t="shared" si="6"/>
        <v>1362107.1223346889</v>
      </c>
      <c r="J39" s="18">
        <f t="shared" si="7"/>
        <v>286042</v>
      </c>
      <c r="L39" s="11">
        <v>2028</v>
      </c>
      <c r="M39" s="11">
        <v>9</v>
      </c>
      <c r="N39" s="18">
        <f t="shared" si="9"/>
        <v>-9193800</v>
      </c>
      <c r="O39" s="248">
        <f t="shared" si="10"/>
        <v>10865365.356256999</v>
      </c>
      <c r="P39" s="18">
        <f t="shared" si="8"/>
        <v>-2281727</v>
      </c>
    </row>
    <row r="40" spans="1:16" x14ac:dyDescent="0.2">
      <c r="A40" s="11">
        <v>2028</v>
      </c>
      <c r="B40" s="11">
        <v>10</v>
      </c>
      <c r="C40" s="18">
        <f t="shared" ref="C40:C71" si="13">-(ROUND($C$1*$C$4/12,0)-C39)</f>
        <v>-10917536</v>
      </c>
      <c r="D40" s="18">
        <f t="shared" si="2"/>
        <v>46880982.958269402</v>
      </c>
      <c r="E40" s="128">
        <f t="shared" si="12"/>
        <v>6.6769999999999996E-2</v>
      </c>
      <c r="F40" s="225">
        <f t="shared" si="11"/>
        <v>-9555925.4702356141</v>
      </c>
      <c r="G40" s="18">
        <f t="shared" si="4"/>
        <v>48242593.488033786</v>
      </c>
      <c r="H40" s="129">
        <f t="shared" si="5"/>
        <v>0.16533166666666677</v>
      </c>
      <c r="I40" s="18">
        <f t="shared" si="6"/>
        <v>1361610.529764384</v>
      </c>
      <c r="J40" s="18">
        <f t="shared" si="7"/>
        <v>285938</v>
      </c>
      <c r="L40" s="11">
        <v>2028</v>
      </c>
      <c r="M40" s="11">
        <v>10</v>
      </c>
      <c r="N40" s="18">
        <f t="shared" si="9"/>
        <v>-9472400</v>
      </c>
      <c r="O40" s="248">
        <f t="shared" si="10"/>
        <v>10586765.356256999</v>
      </c>
      <c r="P40" s="18">
        <f t="shared" si="8"/>
        <v>-2223221</v>
      </c>
    </row>
    <row r="41" spans="1:16" x14ac:dyDescent="0.2">
      <c r="A41" s="11">
        <v>2028</v>
      </c>
      <c r="B41" s="11">
        <v>11</v>
      </c>
      <c r="C41" s="18">
        <f t="shared" si="13"/>
        <v>-11238640</v>
      </c>
      <c r="D41" s="18">
        <f t="shared" si="2"/>
        <v>46559878.958269402</v>
      </c>
      <c r="E41" s="128">
        <f t="shared" si="12"/>
        <v>6.6769999999999996E-2</v>
      </c>
      <c r="F41" s="225">
        <f t="shared" si="11"/>
        <v>-9877526.062805919</v>
      </c>
      <c r="G41" s="18">
        <f t="shared" si="4"/>
        <v>47920992.895463482</v>
      </c>
      <c r="H41" s="129">
        <f t="shared" si="5"/>
        <v>0.17089583333333344</v>
      </c>
      <c r="I41" s="18">
        <f t="shared" si="6"/>
        <v>1361113.9371940792</v>
      </c>
      <c r="J41" s="18">
        <f t="shared" si="7"/>
        <v>285834</v>
      </c>
      <c r="L41" s="11">
        <v>2028</v>
      </c>
      <c r="M41" s="11">
        <v>11</v>
      </c>
      <c r="N41" s="18">
        <f t="shared" si="9"/>
        <v>-9751000</v>
      </c>
      <c r="O41" s="248">
        <f t="shared" si="10"/>
        <v>10308165.356256999</v>
      </c>
      <c r="P41" s="18">
        <f t="shared" si="8"/>
        <v>-2164715</v>
      </c>
    </row>
    <row r="42" spans="1:16" x14ac:dyDescent="0.2">
      <c r="A42" s="11">
        <v>2028</v>
      </c>
      <c r="B42" s="11">
        <v>12</v>
      </c>
      <c r="C42" s="18">
        <f t="shared" si="13"/>
        <v>-11559744</v>
      </c>
      <c r="D42" s="18">
        <f t="shared" si="2"/>
        <v>46238774.958269402</v>
      </c>
      <c r="E42" s="128">
        <f t="shared" si="12"/>
        <v>6.6769999999999996E-2</v>
      </c>
      <c r="F42" s="225">
        <f t="shared" si="11"/>
        <v>-10199126.655376224</v>
      </c>
      <c r="G42" s="18">
        <f t="shared" si="4"/>
        <v>47599392.302893177</v>
      </c>
      <c r="H42" s="129">
        <f t="shared" si="5"/>
        <v>0.17646000000000012</v>
      </c>
      <c r="I42" s="18">
        <f t="shared" si="6"/>
        <v>1360617.3446237743</v>
      </c>
      <c r="J42" s="18">
        <f t="shared" si="7"/>
        <v>285730</v>
      </c>
      <c r="L42" s="11">
        <v>2028</v>
      </c>
      <c r="M42" s="11">
        <v>12</v>
      </c>
      <c r="N42" s="18">
        <f t="shared" si="9"/>
        <v>-10029600</v>
      </c>
      <c r="O42" s="248">
        <f t="shared" si="10"/>
        <v>10029565.356256999</v>
      </c>
      <c r="P42" s="18">
        <f t="shared" si="8"/>
        <v>-2106209</v>
      </c>
    </row>
    <row r="43" spans="1:16" x14ac:dyDescent="0.2">
      <c r="A43" s="11">
        <v>2029</v>
      </c>
      <c r="B43" s="11">
        <v>1</v>
      </c>
      <c r="C43" s="18">
        <f t="shared" si="13"/>
        <v>-11880848</v>
      </c>
      <c r="D43" s="18">
        <f t="shared" si="2"/>
        <v>45917670.958269402</v>
      </c>
      <c r="E43" s="128">
        <f t="shared" si="12"/>
        <v>6.1769999999999999E-2</v>
      </c>
      <c r="F43" s="225">
        <f t="shared" si="11"/>
        <v>-10496644.531713916</v>
      </c>
      <c r="G43" s="18">
        <f t="shared" si="4"/>
        <v>47301874.426555485</v>
      </c>
      <c r="H43" s="129">
        <f t="shared" si="5"/>
        <v>0.18160750000000012</v>
      </c>
      <c r="I43" s="18">
        <f t="shared" si="6"/>
        <v>1384203.4682860821</v>
      </c>
      <c r="J43" s="18">
        <f t="shared" si="7"/>
        <v>290683</v>
      </c>
      <c r="L43" s="11">
        <v>2029</v>
      </c>
      <c r="M43" s="11">
        <v>1</v>
      </c>
      <c r="N43" s="18">
        <f t="shared" si="9"/>
        <v>-10308200</v>
      </c>
      <c r="O43" s="248">
        <f t="shared" si="10"/>
        <v>9750965.3562569991</v>
      </c>
      <c r="P43" s="18">
        <f t="shared" si="8"/>
        <v>-2047703</v>
      </c>
    </row>
    <row r="44" spans="1:16" x14ac:dyDescent="0.2">
      <c r="A44" s="11">
        <v>2029</v>
      </c>
      <c r="B44" s="11">
        <v>2</v>
      </c>
      <c r="C44" s="18">
        <f t="shared" si="13"/>
        <v>-12201952</v>
      </c>
      <c r="D44" s="18">
        <f t="shared" si="2"/>
        <v>45596566.958269402</v>
      </c>
      <c r="E44" s="128">
        <f t="shared" si="12"/>
        <v>6.1769999999999999E-2</v>
      </c>
      <c r="F44" s="225">
        <f t="shared" si="11"/>
        <v>-10794162.408051608</v>
      </c>
      <c r="G44" s="18">
        <f t="shared" si="4"/>
        <v>47004356.550217792</v>
      </c>
      <c r="H44" s="129">
        <f t="shared" si="5"/>
        <v>0.18675500000000014</v>
      </c>
      <c r="I44" s="18">
        <f t="shared" si="6"/>
        <v>1407789.59194839</v>
      </c>
      <c r="J44" s="18">
        <f t="shared" si="7"/>
        <v>295636</v>
      </c>
      <c r="L44" s="11">
        <v>2029</v>
      </c>
      <c r="M44" s="11">
        <v>2</v>
      </c>
      <c r="N44" s="18">
        <f t="shared" si="9"/>
        <v>-10586800</v>
      </c>
      <c r="O44" s="248">
        <f t="shared" si="10"/>
        <v>9472365.3562569991</v>
      </c>
      <c r="P44" s="18">
        <f t="shared" si="8"/>
        <v>-1989197</v>
      </c>
    </row>
    <row r="45" spans="1:16" x14ac:dyDescent="0.2">
      <c r="A45" s="11">
        <v>2029</v>
      </c>
      <c r="B45" s="11">
        <v>3</v>
      </c>
      <c r="C45" s="18">
        <f t="shared" si="13"/>
        <v>-12523056</v>
      </c>
      <c r="D45" s="18">
        <f t="shared" si="2"/>
        <v>45275462.958269402</v>
      </c>
      <c r="E45" s="128">
        <f t="shared" si="12"/>
        <v>6.1769999999999999E-2</v>
      </c>
      <c r="F45" s="225">
        <f t="shared" si="11"/>
        <v>-11091680.2843893</v>
      </c>
      <c r="G45" s="18">
        <f t="shared" si="4"/>
        <v>46706838.6738801</v>
      </c>
      <c r="H45" s="129">
        <f t="shared" si="5"/>
        <v>0.19190250000000014</v>
      </c>
      <c r="I45" s="18">
        <f t="shared" si="6"/>
        <v>1431375.7156106979</v>
      </c>
      <c r="J45" s="18">
        <f t="shared" si="7"/>
        <v>300589</v>
      </c>
      <c r="L45" s="11">
        <v>2029</v>
      </c>
      <c r="M45" s="11">
        <v>3</v>
      </c>
      <c r="N45" s="18">
        <f t="shared" si="9"/>
        <v>-10865400</v>
      </c>
      <c r="O45" s="248">
        <f t="shared" si="10"/>
        <v>9193765.3562569991</v>
      </c>
      <c r="P45" s="18">
        <f t="shared" si="8"/>
        <v>-1930691</v>
      </c>
    </row>
    <row r="46" spans="1:16" x14ac:dyDescent="0.2">
      <c r="A46" s="11">
        <v>2029</v>
      </c>
      <c r="B46" s="11">
        <v>4</v>
      </c>
      <c r="C46" s="18">
        <f t="shared" si="13"/>
        <v>-12844160</v>
      </c>
      <c r="D46" s="18">
        <f t="shared" si="2"/>
        <v>44954358.958269402</v>
      </c>
      <c r="E46" s="128">
        <f t="shared" si="12"/>
        <v>6.1769999999999999E-2</v>
      </c>
      <c r="F46" s="225">
        <f t="shared" si="11"/>
        <v>-11389198.160726992</v>
      </c>
      <c r="G46" s="18">
        <f t="shared" si="4"/>
        <v>46409320.797542408</v>
      </c>
      <c r="H46" s="129">
        <f t="shared" si="5"/>
        <v>0.19705000000000014</v>
      </c>
      <c r="I46" s="18">
        <f t="shared" si="6"/>
        <v>1454961.8392730057</v>
      </c>
      <c r="J46" s="18">
        <f t="shared" si="7"/>
        <v>305542</v>
      </c>
      <c r="L46" s="11">
        <v>2029</v>
      </c>
      <c r="M46" s="11">
        <v>4</v>
      </c>
      <c r="N46" s="18">
        <f t="shared" si="9"/>
        <v>-11144000</v>
      </c>
      <c r="O46" s="248">
        <f t="shared" si="10"/>
        <v>8915165.3562569991</v>
      </c>
      <c r="P46" s="18">
        <f t="shared" si="8"/>
        <v>-1872185</v>
      </c>
    </row>
    <row r="47" spans="1:16" x14ac:dyDescent="0.2">
      <c r="A47" s="11">
        <v>2029</v>
      </c>
      <c r="B47" s="11">
        <v>5</v>
      </c>
      <c r="C47" s="18">
        <f t="shared" si="13"/>
        <v>-13165264</v>
      </c>
      <c r="D47" s="18">
        <f t="shared" si="2"/>
        <v>44633254.958269402</v>
      </c>
      <c r="E47" s="128">
        <f t="shared" si="12"/>
        <v>6.1769999999999999E-2</v>
      </c>
      <c r="F47" s="225">
        <f t="shared" si="11"/>
        <v>-11686716.037064685</v>
      </c>
      <c r="G47" s="18">
        <f t="shared" si="4"/>
        <v>46111802.921204716</v>
      </c>
      <c r="H47" s="129">
        <f t="shared" si="5"/>
        <v>0.20219750000000014</v>
      </c>
      <c r="I47" s="18">
        <f t="shared" si="6"/>
        <v>1478547.9629353136</v>
      </c>
      <c r="J47" s="18">
        <f t="shared" si="7"/>
        <v>310495</v>
      </c>
      <c r="L47" s="11">
        <v>2029</v>
      </c>
      <c r="M47" s="11">
        <v>5</v>
      </c>
      <c r="N47" s="18">
        <f t="shared" si="9"/>
        <v>-11422600</v>
      </c>
      <c r="O47" s="248">
        <f t="shared" si="10"/>
        <v>8636565.3562569991</v>
      </c>
      <c r="P47" s="18">
        <f t="shared" si="8"/>
        <v>-1813679</v>
      </c>
    </row>
    <row r="48" spans="1:16" x14ac:dyDescent="0.2">
      <c r="A48" s="11">
        <v>2029</v>
      </c>
      <c r="B48" s="11">
        <v>6</v>
      </c>
      <c r="C48" s="18">
        <f t="shared" si="13"/>
        <v>-13486368</v>
      </c>
      <c r="D48" s="18">
        <f t="shared" si="2"/>
        <v>44312150.958269402</v>
      </c>
      <c r="E48" s="128">
        <f t="shared" si="12"/>
        <v>6.1769999999999999E-2</v>
      </c>
      <c r="F48" s="225">
        <f t="shared" si="11"/>
        <v>-11984233.913402377</v>
      </c>
      <c r="G48" s="18">
        <f t="shared" si="4"/>
        <v>45814285.044867024</v>
      </c>
      <c r="H48" s="129">
        <f t="shared" si="5"/>
        <v>0.20734500000000017</v>
      </c>
      <c r="I48" s="18">
        <f t="shared" si="6"/>
        <v>1502134.0865976214</v>
      </c>
      <c r="J48" s="18">
        <f t="shared" si="7"/>
        <v>315448</v>
      </c>
      <c r="L48" s="11">
        <v>2029</v>
      </c>
      <c r="M48" s="11">
        <v>6</v>
      </c>
      <c r="N48" s="18">
        <f t="shared" si="9"/>
        <v>-11701200</v>
      </c>
      <c r="O48" s="248">
        <f t="shared" si="10"/>
        <v>8357965.3562569991</v>
      </c>
      <c r="P48" s="18">
        <f t="shared" si="8"/>
        <v>-1755173</v>
      </c>
    </row>
    <row r="49" spans="1:16" x14ac:dyDescent="0.2">
      <c r="A49" s="11">
        <v>2029</v>
      </c>
      <c r="B49" s="11">
        <v>7</v>
      </c>
      <c r="C49" s="18">
        <f t="shared" si="13"/>
        <v>-13807472</v>
      </c>
      <c r="D49" s="18">
        <f t="shared" si="2"/>
        <v>43991046.958269402</v>
      </c>
      <c r="E49" s="128">
        <f t="shared" si="12"/>
        <v>6.1769999999999999E-2</v>
      </c>
      <c r="F49" s="225">
        <f t="shared" si="11"/>
        <v>-12281751.789740069</v>
      </c>
      <c r="G49" s="18">
        <f t="shared" si="4"/>
        <v>45516767.168529332</v>
      </c>
      <c r="H49" s="129">
        <f t="shared" si="5"/>
        <v>0.21249250000000017</v>
      </c>
      <c r="I49" s="18">
        <f t="shared" si="6"/>
        <v>1525720.2102599293</v>
      </c>
      <c r="J49" s="18">
        <f t="shared" si="7"/>
        <v>320401</v>
      </c>
      <c r="L49" s="11">
        <v>2029</v>
      </c>
      <c r="M49" s="11">
        <v>7</v>
      </c>
      <c r="N49" s="18">
        <f t="shared" si="9"/>
        <v>-11979800</v>
      </c>
      <c r="O49" s="248">
        <f t="shared" si="10"/>
        <v>8079365.3562569991</v>
      </c>
      <c r="P49" s="18">
        <f t="shared" si="8"/>
        <v>-1696667</v>
      </c>
    </row>
    <row r="50" spans="1:16" x14ac:dyDescent="0.2">
      <c r="A50" s="11">
        <v>2029</v>
      </c>
      <c r="B50" s="11">
        <v>8</v>
      </c>
      <c r="C50" s="18">
        <f t="shared" si="13"/>
        <v>-14128576</v>
      </c>
      <c r="D50" s="18">
        <f t="shared" si="2"/>
        <v>43669942.958269402</v>
      </c>
      <c r="E50" s="128">
        <f t="shared" si="12"/>
        <v>6.1769999999999999E-2</v>
      </c>
      <c r="F50" s="225">
        <f t="shared" si="11"/>
        <v>-12579269.666077761</v>
      </c>
      <c r="G50" s="18">
        <f t="shared" si="4"/>
        <v>45219249.29219164</v>
      </c>
      <c r="H50" s="129">
        <f t="shared" si="5"/>
        <v>0.21764000000000017</v>
      </c>
      <c r="I50" s="18">
        <f t="shared" si="6"/>
        <v>1549306.3339222372</v>
      </c>
      <c r="J50" s="18">
        <f t="shared" si="7"/>
        <v>325354</v>
      </c>
      <c r="L50" s="11">
        <v>2029</v>
      </c>
      <c r="M50" s="11">
        <v>8</v>
      </c>
      <c r="N50" s="18">
        <f t="shared" si="9"/>
        <v>-12258400</v>
      </c>
      <c r="O50" s="248">
        <f t="shared" si="10"/>
        <v>7800765.3562569991</v>
      </c>
      <c r="P50" s="18">
        <f t="shared" si="8"/>
        <v>-1638161</v>
      </c>
    </row>
    <row r="51" spans="1:16" x14ac:dyDescent="0.2">
      <c r="A51" s="11">
        <v>2029</v>
      </c>
      <c r="B51" s="11">
        <v>9</v>
      </c>
      <c r="C51" s="18">
        <f t="shared" si="13"/>
        <v>-14449680</v>
      </c>
      <c r="D51" s="18">
        <f t="shared" si="2"/>
        <v>43348838.958269402</v>
      </c>
      <c r="E51" s="128">
        <f t="shared" si="12"/>
        <v>6.1769999999999999E-2</v>
      </c>
      <c r="F51" s="225">
        <f t="shared" si="11"/>
        <v>-12876787.542415453</v>
      </c>
      <c r="G51" s="18">
        <f t="shared" si="4"/>
        <v>44921731.415853947</v>
      </c>
      <c r="H51" s="129">
        <f t="shared" si="5"/>
        <v>0.22278750000000019</v>
      </c>
      <c r="I51" s="18">
        <f t="shared" si="6"/>
        <v>1572892.457584545</v>
      </c>
      <c r="J51" s="18">
        <f t="shared" si="7"/>
        <v>330307</v>
      </c>
      <c r="L51" s="11">
        <v>2029</v>
      </c>
      <c r="M51" s="11">
        <v>9</v>
      </c>
      <c r="N51" s="18">
        <f t="shared" si="9"/>
        <v>-12537000</v>
      </c>
      <c r="O51" s="248">
        <f t="shared" si="10"/>
        <v>7522165.3562569991</v>
      </c>
      <c r="P51" s="18">
        <f t="shared" si="8"/>
        <v>-1579655</v>
      </c>
    </row>
    <row r="52" spans="1:16" x14ac:dyDescent="0.2">
      <c r="A52" s="11">
        <v>2029</v>
      </c>
      <c r="B52" s="11">
        <v>10</v>
      </c>
      <c r="C52" s="18">
        <f t="shared" si="13"/>
        <v>-14770784</v>
      </c>
      <c r="D52" s="18">
        <f t="shared" si="2"/>
        <v>43027734.958269402</v>
      </c>
      <c r="E52" s="128">
        <f t="shared" si="12"/>
        <v>6.1769999999999999E-2</v>
      </c>
      <c r="F52" s="225">
        <f t="shared" si="11"/>
        <v>-13174305.418753145</v>
      </c>
      <c r="G52" s="18">
        <f t="shared" si="4"/>
        <v>44624213.539516255</v>
      </c>
      <c r="H52" s="129">
        <f t="shared" si="5"/>
        <v>0.22793500000000019</v>
      </c>
      <c r="I52" s="18">
        <f t="shared" si="6"/>
        <v>1596478.5812468529</v>
      </c>
      <c r="J52" s="18">
        <f t="shared" si="7"/>
        <v>335261</v>
      </c>
      <c r="L52" s="11">
        <v>2029</v>
      </c>
      <c r="M52" s="11">
        <v>10</v>
      </c>
      <c r="N52" s="18">
        <f t="shared" si="9"/>
        <v>-12815600</v>
      </c>
      <c r="O52" s="248">
        <f t="shared" si="10"/>
        <v>7243565.3562569991</v>
      </c>
      <c r="P52" s="18">
        <f t="shared" si="8"/>
        <v>-1521149</v>
      </c>
    </row>
    <row r="53" spans="1:16" x14ac:dyDescent="0.2">
      <c r="A53" s="11">
        <v>2029</v>
      </c>
      <c r="B53" s="11">
        <v>11</v>
      </c>
      <c r="C53" s="18">
        <f t="shared" si="13"/>
        <v>-15091888</v>
      </c>
      <c r="D53" s="18">
        <f t="shared" si="2"/>
        <v>42706630.958269402</v>
      </c>
      <c r="E53" s="128">
        <f t="shared" si="12"/>
        <v>6.1769999999999999E-2</v>
      </c>
      <c r="F53" s="225">
        <f t="shared" si="11"/>
        <v>-13471823.295090837</v>
      </c>
      <c r="G53" s="18">
        <f t="shared" si="4"/>
        <v>44326695.663178563</v>
      </c>
      <c r="H53" s="129">
        <f t="shared" si="5"/>
        <v>0.23308250000000019</v>
      </c>
      <c r="I53" s="18">
        <f t="shared" si="6"/>
        <v>1620064.7049091607</v>
      </c>
      <c r="J53" s="18">
        <f t="shared" si="7"/>
        <v>340214</v>
      </c>
      <c r="L53" s="11">
        <v>2029</v>
      </c>
      <c r="M53" s="11">
        <v>11</v>
      </c>
      <c r="N53" s="18">
        <f t="shared" si="9"/>
        <v>-13094200</v>
      </c>
      <c r="O53" s="248">
        <f t="shared" si="10"/>
        <v>6964965.3562569991</v>
      </c>
      <c r="P53" s="18">
        <f t="shared" si="8"/>
        <v>-1462643</v>
      </c>
    </row>
    <row r="54" spans="1:16" x14ac:dyDescent="0.2">
      <c r="A54" s="11">
        <v>2029</v>
      </c>
      <c r="B54" s="11">
        <v>12</v>
      </c>
      <c r="C54" s="18">
        <f t="shared" si="13"/>
        <v>-15412992</v>
      </c>
      <c r="D54" s="18">
        <f t="shared" si="2"/>
        <v>42385526.958269402</v>
      </c>
      <c r="E54" s="128">
        <f t="shared" si="12"/>
        <v>6.1769999999999999E-2</v>
      </c>
      <c r="F54" s="225">
        <f t="shared" si="11"/>
        <v>-13769341.17142853</v>
      </c>
      <c r="G54" s="18">
        <f t="shared" si="4"/>
        <v>44029177.786840871</v>
      </c>
      <c r="H54" s="129">
        <f t="shared" si="5"/>
        <v>0.23823000000000019</v>
      </c>
      <c r="I54" s="18">
        <f t="shared" si="6"/>
        <v>1643650.8285714686</v>
      </c>
      <c r="J54" s="18">
        <f t="shared" si="7"/>
        <v>345167</v>
      </c>
      <c r="L54" s="11">
        <v>2029</v>
      </c>
      <c r="M54" s="11">
        <v>12</v>
      </c>
      <c r="N54" s="18">
        <f t="shared" si="9"/>
        <v>-13372800</v>
      </c>
      <c r="O54" s="248">
        <f t="shared" si="10"/>
        <v>6686365.3562569991</v>
      </c>
      <c r="P54" s="18">
        <f t="shared" si="8"/>
        <v>-1404137</v>
      </c>
    </row>
    <row r="55" spans="1:16" x14ac:dyDescent="0.2">
      <c r="A55" s="11">
        <v>2030</v>
      </c>
      <c r="B55" s="11">
        <v>1</v>
      </c>
      <c r="C55" s="18">
        <f t="shared" si="13"/>
        <v>-15734096</v>
      </c>
      <c r="D55" s="18">
        <f t="shared" si="2"/>
        <v>42064422.958269402</v>
      </c>
      <c r="E55" s="128">
        <f t="shared" si="12"/>
        <v>5.713E-2</v>
      </c>
      <c r="F55" s="225">
        <f t="shared" si="11"/>
        <v>-14044510.287102357</v>
      </c>
      <c r="G55" s="18">
        <f t="shared" si="4"/>
        <v>43754008.671167046</v>
      </c>
      <c r="H55" s="129">
        <f t="shared" si="5"/>
        <v>0.24299083333333349</v>
      </c>
      <c r="I55" s="18">
        <f t="shared" si="6"/>
        <v>1689585.7128976434</v>
      </c>
      <c r="J55" s="18">
        <f t="shared" si="7"/>
        <v>354813</v>
      </c>
      <c r="L55" s="11">
        <v>2030</v>
      </c>
      <c r="M55" s="11">
        <v>1</v>
      </c>
      <c r="N55" s="18">
        <f t="shared" si="9"/>
        <v>-13651400</v>
      </c>
      <c r="O55" s="248">
        <f t="shared" si="10"/>
        <v>6407765.3562569991</v>
      </c>
      <c r="P55" s="18">
        <f t="shared" si="8"/>
        <v>-1345631</v>
      </c>
    </row>
    <row r="56" spans="1:16" x14ac:dyDescent="0.2">
      <c r="A56" s="11">
        <v>2030</v>
      </c>
      <c r="B56" s="11">
        <v>2</v>
      </c>
      <c r="C56" s="18">
        <f t="shared" si="13"/>
        <v>-16055200</v>
      </c>
      <c r="D56" s="18">
        <f t="shared" si="2"/>
        <v>41743318.958269402</v>
      </c>
      <c r="E56" s="128">
        <f t="shared" si="12"/>
        <v>5.713E-2</v>
      </c>
      <c r="F56" s="225">
        <f t="shared" si="11"/>
        <v>-14319679.402776184</v>
      </c>
      <c r="G56" s="18">
        <f t="shared" si="4"/>
        <v>43478839.555493221</v>
      </c>
      <c r="H56" s="129">
        <f t="shared" si="5"/>
        <v>0.24775166666666679</v>
      </c>
      <c r="I56" s="18">
        <f t="shared" si="6"/>
        <v>1735520.5972238183</v>
      </c>
      <c r="J56" s="18">
        <f t="shared" si="7"/>
        <v>364459</v>
      </c>
      <c r="L56" s="11">
        <v>2030</v>
      </c>
      <c r="M56" s="11">
        <v>2</v>
      </c>
      <c r="N56" s="18">
        <f t="shared" si="9"/>
        <v>-13930000</v>
      </c>
      <c r="O56" s="248">
        <f t="shared" si="10"/>
        <v>6129165.3562569991</v>
      </c>
      <c r="P56" s="18">
        <f t="shared" si="8"/>
        <v>-1287125</v>
      </c>
    </row>
    <row r="57" spans="1:16" x14ac:dyDescent="0.2">
      <c r="A57" s="11">
        <v>2030</v>
      </c>
      <c r="B57" s="11">
        <v>3</v>
      </c>
      <c r="C57" s="18">
        <f t="shared" si="13"/>
        <v>-16376304</v>
      </c>
      <c r="D57" s="18">
        <f t="shared" si="2"/>
        <v>41422214.958269402</v>
      </c>
      <c r="E57" s="128">
        <f t="shared" si="12"/>
        <v>5.713E-2</v>
      </c>
      <c r="F57" s="225">
        <f t="shared" si="11"/>
        <v>-14594848.518450011</v>
      </c>
      <c r="G57" s="18">
        <f t="shared" si="4"/>
        <v>43203670.439819396</v>
      </c>
      <c r="H57" s="129">
        <f t="shared" si="5"/>
        <v>0.25251250000000008</v>
      </c>
      <c r="I57" s="18">
        <f t="shared" si="6"/>
        <v>1781455.4815499932</v>
      </c>
      <c r="J57" s="18">
        <f t="shared" si="7"/>
        <v>374106</v>
      </c>
      <c r="L57" s="11">
        <v>2030</v>
      </c>
      <c r="M57" s="11">
        <v>3</v>
      </c>
      <c r="N57" s="18">
        <f t="shared" si="9"/>
        <v>-14208600</v>
      </c>
      <c r="O57" s="248">
        <f t="shared" si="10"/>
        <v>5850565.3562569991</v>
      </c>
      <c r="P57" s="18">
        <f t="shared" si="8"/>
        <v>-1228619</v>
      </c>
    </row>
    <row r="58" spans="1:16" x14ac:dyDescent="0.2">
      <c r="A58" s="11">
        <v>2030</v>
      </c>
      <c r="B58" s="11">
        <v>4</v>
      </c>
      <c r="C58" s="18">
        <f t="shared" si="13"/>
        <v>-16697408</v>
      </c>
      <c r="D58" s="18">
        <f t="shared" si="2"/>
        <v>41101110.958269402</v>
      </c>
      <c r="E58" s="128">
        <f t="shared" si="12"/>
        <v>5.713E-2</v>
      </c>
      <c r="F58" s="225">
        <f t="shared" si="11"/>
        <v>-14870017.634123838</v>
      </c>
      <c r="G58" s="18">
        <f t="shared" si="4"/>
        <v>42928501.324145563</v>
      </c>
      <c r="H58" s="129">
        <f t="shared" si="5"/>
        <v>0.25727333333333352</v>
      </c>
      <c r="I58" s="18">
        <f t="shared" si="6"/>
        <v>1827390.3658761606</v>
      </c>
      <c r="J58" s="18">
        <f t="shared" si="7"/>
        <v>383752</v>
      </c>
      <c r="L58" s="11">
        <v>2030</v>
      </c>
      <c r="M58" s="11">
        <v>4</v>
      </c>
      <c r="N58" s="18">
        <f t="shared" si="9"/>
        <v>-14487200</v>
      </c>
      <c r="O58" s="248">
        <f t="shared" si="10"/>
        <v>5571965.3562569991</v>
      </c>
      <c r="P58" s="18">
        <f t="shared" si="8"/>
        <v>-1170113</v>
      </c>
    </row>
    <row r="59" spans="1:16" x14ac:dyDescent="0.2">
      <c r="A59" s="11">
        <v>2030</v>
      </c>
      <c r="B59" s="11">
        <v>5</v>
      </c>
      <c r="C59" s="18">
        <f t="shared" si="13"/>
        <v>-17018512</v>
      </c>
      <c r="D59" s="18">
        <f t="shared" si="2"/>
        <v>40780006.958269402</v>
      </c>
      <c r="E59" s="128">
        <f t="shared" si="12"/>
        <v>5.713E-2</v>
      </c>
      <c r="F59" s="225">
        <f t="shared" si="11"/>
        <v>-15145186.749797665</v>
      </c>
      <c r="G59" s="18">
        <f t="shared" si="4"/>
        <v>42653332.208471738</v>
      </c>
      <c r="H59" s="129">
        <f t="shared" si="5"/>
        <v>0.26203416666666679</v>
      </c>
      <c r="I59" s="18">
        <f t="shared" si="6"/>
        <v>1873325.2502023354</v>
      </c>
      <c r="J59" s="18">
        <f t="shared" si="7"/>
        <v>393398</v>
      </c>
      <c r="L59" s="11">
        <v>2030</v>
      </c>
      <c r="M59" s="11">
        <v>5</v>
      </c>
      <c r="N59" s="18">
        <f t="shared" si="9"/>
        <v>-14765800</v>
      </c>
      <c r="O59" s="248">
        <f t="shared" si="10"/>
        <v>5293365.3562569991</v>
      </c>
      <c r="P59" s="18">
        <f t="shared" si="8"/>
        <v>-1111607</v>
      </c>
    </row>
    <row r="60" spans="1:16" x14ac:dyDescent="0.2">
      <c r="A60" s="11">
        <v>2030</v>
      </c>
      <c r="B60" s="11">
        <v>6</v>
      </c>
      <c r="C60" s="18">
        <f t="shared" si="13"/>
        <v>-17339616</v>
      </c>
      <c r="D60" s="18">
        <f t="shared" si="2"/>
        <v>40458902.958269402</v>
      </c>
      <c r="E60" s="128">
        <f t="shared" si="12"/>
        <v>5.713E-2</v>
      </c>
      <c r="F60" s="225">
        <f t="shared" si="11"/>
        <v>-15420355.865471492</v>
      </c>
      <c r="G60" s="18">
        <f t="shared" si="4"/>
        <v>42378163.092797913</v>
      </c>
      <c r="H60" s="129">
        <f t="shared" si="5"/>
        <v>0.26679500000000006</v>
      </c>
      <c r="I60" s="18">
        <f t="shared" si="6"/>
        <v>1919260.1345285103</v>
      </c>
      <c r="J60" s="18">
        <f t="shared" si="7"/>
        <v>403045</v>
      </c>
      <c r="L60" s="11">
        <v>2030</v>
      </c>
      <c r="M60" s="11">
        <v>6</v>
      </c>
      <c r="N60" s="18">
        <f t="shared" si="9"/>
        <v>-15044400</v>
      </c>
      <c r="O60" s="248">
        <f t="shared" si="10"/>
        <v>5014765.3562569991</v>
      </c>
      <c r="P60" s="18">
        <f t="shared" si="8"/>
        <v>-1053101</v>
      </c>
    </row>
    <row r="61" spans="1:16" x14ac:dyDescent="0.2">
      <c r="A61" s="11">
        <v>2030</v>
      </c>
      <c r="B61" s="11">
        <v>7</v>
      </c>
      <c r="C61" s="18">
        <f t="shared" si="13"/>
        <v>-17660720</v>
      </c>
      <c r="D61" s="18">
        <f t="shared" si="2"/>
        <v>40137798.958269402</v>
      </c>
      <c r="E61" s="128">
        <f t="shared" si="12"/>
        <v>5.713E-2</v>
      </c>
      <c r="F61" s="225">
        <f t="shared" si="11"/>
        <v>-15695524.981145319</v>
      </c>
      <c r="G61" s="18">
        <f t="shared" si="4"/>
        <v>42102993.97712408</v>
      </c>
      <c r="H61" s="129">
        <f t="shared" si="5"/>
        <v>0.2715558333333335</v>
      </c>
      <c r="I61" s="18">
        <f t="shared" si="6"/>
        <v>1965195.0188546777</v>
      </c>
      <c r="J61" s="18">
        <f t="shared" si="7"/>
        <v>412691</v>
      </c>
      <c r="L61" s="11">
        <v>2030</v>
      </c>
      <c r="M61" s="11">
        <v>7</v>
      </c>
      <c r="N61" s="18">
        <f t="shared" si="9"/>
        <v>-15323000</v>
      </c>
      <c r="O61" s="248">
        <f t="shared" si="10"/>
        <v>4736165.3562569991</v>
      </c>
      <c r="P61" s="18">
        <f t="shared" si="8"/>
        <v>-994595</v>
      </c>
    </row>
    <row r="62" spans="1:16" x14ac:dyDescent="0.2">
      <c r="A62" s="11">
        <v>2030</v>
      </c>
      <c r="B62" s="11">
        <v>8</v>
      </c>
      <c r="C62" s="18">
        <f t="shared" si="13"/>
        <v>-17981824</v>
      </c>
      <c r="D62" s="18">
        <f t="shared" si="2"/>
        <v>39816694.958269402</v>
      </c>
      <c r="E62" s="128">
        <f t="shared" si="12"/>
        <v>5.713E-2</v>
      </c>
      <c r="F62" s="225">
        <f t="shared" si="11"/>
        <v>-15970694.096819146</v>
      </c>
      <c r="G62" s="18">
        <f t="shared" si="4"/>
        <v>41827824.861450255</v>
      </c>
      <c r="H62" s="129">
        <f t="shared" si="5"/>
        <v>0.27631666666666677</v>
      </c>
      <c r="I62" s="18">
        <f t="shared" si="6"/>
        <v>2011129.9031808525</v>
      </c>
      <c r="J62" s="18">
        <f t="shared" si="7"/>
        <v>422337</v>
      </c>
      <c r="L62" s="11">
        <v>2030</v>
      </c>
      <c r="M62" s="11">
        <v>8</v>
      </c>
      <c r="N62" s="18">
        <f t="shared" si="9"/>
        <v>-15601600</v>
      </c>
      <c r="O62" s="248">
        <f t="shared" si="10"/>
        <v>4457565.3562569991</v>
      </c>
      <c r="P62" s="18">
        <f t="shared" si="8"/>
        <v>-936089</v>
      </c>
    </row>
    <row r="63" spans="1:16" x14ac:dyDescent="0.2">
      <c r="A63" s="11">
        <v>2030</v>
      </c>
      <c r="B63" s="11">
        <v>9</v>
      </c>
      <c r="C63" s="18">
        <f t="shared" si="13"/>
        <v>-18302928</v>
      </c>
      <c r="D63" s="18">
        <f t="shared" si="2"/>
        <v>39495590.958269402</v>
      </c>
      <c r="E63" s="128">
        <f t="shared" si="12"/>
        <v>5.713E-2</v>
      </c>
      <c r="F63" s="225">
        <f t="shared" si="11"/>
        <v>-16245863.212492973</v>
      </c>
      <c r="G63" s="18">
        <f t="shared" si="4"/>
        <v>41552655.74577643</v>
      </c>
      <c r="H63" s="129">
        <f t="shared" si="5"/>
        <v>0.28107750000000009</v>
      </c>
      <c r="I63" s="18">
        <f t="shared" si="6"/>
        <v>2057064.7875070274</v>
      </c>
      <c r="J63" s="18">
        <f t="shared" si="7"/>
        <v>431984</v>
      </c>
      <c r="L63" s="11">
        <v>2030</v>
      </c>
      <c r="M63" s="11">
        <v>9</v>
      </c>
      <c r="N63" s="18">
        <f t="shared" si="9"/>
        <v>-15880200</v>
      </c>
      <c r="O63" s="248">
        <f t="shared" si="10"/>
        <v>4178965.3562569991</v>
      </c>
      <c r="P63" s="18">
        <f t="shared" si="8"/>
        <v>-877583</v>
      </c>
    </row>
    <row r="64" spans="1:16" x14ac:dyDescent="0.2">
      <c r="A64" s="11">
        <v>2030</v>
      </c>
      <c r="B64" s="11">
        <v>10</v>
      </c>
      <c r="C64" s="18">
        <f t="shared" si="13"/>
        <v>-18624032</v>
      </c>
      <c r="D64" s="18">
        <f t="shared" si="2"/>
        <v>39174486.958269402</v>
      </c>
      <c r="E64" s="128">
        <f t="shared" si="12"/>
        <v>5.713E-2</v>
      </c>
      <c r="F64" s="225">
        <f t="shared" si="11"/>
        <v>-16521032.3281668</v>
      </c>
      <c r="G64" s="18">
        <f t="shared" si="4"/>
        <v>41277486.630102605</v>
      </c>
      <c r="H64" s="129">
        <f t="shared" si="5"/>
        <v>0.28583833333333336</v>
      </c>
      <c r="I64" s="18">
        <f t="shared" si="6"/>
        <v>2102999.6718332022</v>
      </c>
      <c r="J64" s="18">
        <f t="shared" si="7"/>
        <v>441630</v>
      </c>
      <c r="L64" s="11">
        <v>2030</v>
      </c>
      <c r="M64" s="11">
        <v>10</v>
      </c>
      <c r="N64" s="18">
        <f t="shared" si="9"/>
        <v>-16158800</v>
      </c>
      <c r="O64" s="248">
        <f t="shared" si="10"/>
        <v>3900365.3562569991</v>
      </c>
      <c r="P64" s="18">
        <f t="shared" si="8"/>
        <v>-819077</v>
      </c>
    </row>
    <row r="65" spans="1:16" x14ac:dyDescent="0.2">
      <c r="A65" s="11">
        <v>2030</v>
      </c>
      <c r="B65" s="11">
        <v>11</v>
      </c>
      <c r="C65" s="18">
        <f t="shared" si="13"/>
        <v>-18945136</v>
      </c>
      <c r="D65" s="18">
        <f t="shared" si="2"/>
        <v>38853382.958269402</v>
      </c>
      <c r="E65" s="128">
        <f t="shared" si="12"/>
        <v>5.713E-2</v>
      </c>
      <c r="F65" s="225">
        <f t="shared" si="11"/>
        <v>-16796201.443840627</v>
      </c>
      <c r="G65" s="18">
        <f t="shared" si="4"/>
        <v>41002317.514428779</v>
      </c>
      <c r="H65" s="129">
        <f t="shared" si="5"/>
        <v>0.29059916666666669</v>
      </c>
      <c r="I65" s="18">
        <f t="shared" si="6"/>
        <v>2148934.5561593771</v>
      </c>
      <c r="J65" s="18">
        <f t="shared" si="7"/>
        <v>451276</v>
      </c>
      <c r="L65" s="11">
        <v>2030</v>
      </c>
      <c r="M65" s="11">
        <v>11</v>
      </c>
      <c r="N65" s="18">
        <f t="shared" si="9"/>
        <v>-16437400</v>
      </c>
      <c r="O65" s="248">
        <f t="shared" si="10"/>
        <v>3621765.3562569991</v>
      </c>
      <c r="P65" s="18">
        <f t="shared" si="8"/>
        <v>-760571</v>
      </c>
    </row>
    <row r="66" spans="1:16" x14ac:dyDescent="0.2">
      <c r="A66" s="11">
        <v>2030</v>
      </c>
      <c r="B66" s="11">
        <v>12</v>
      </c>
      <c r="C66" s="18">
        <f t="shared" si="13"/>
        <v>-19266240</v>
      </c>
      <c r="D66" s="18">
        <f t="shared" si="2"/>
        <v>38532278.958269402</v>
      </c>
      <c r="E66" s="128">
        <f t="shared" si="12"/>
        <v>5.713E-2</v>
      </c>
      <c r="F66" s="225">
        <f t="shared" si="11"/>
        <v>-17071370.559514455</v>
      </c>
      <c r="G66" s="18">
        <f t="shared" si="4"/>
        <v>40727148.398754947</v>
      </c>
      <c r="H66" s="129">
        <f t="shared" si="5"/>
        <v>0.29536000000000007</v>
      </c>
      <c r="I66" s="18">
        <f t="shared" si="6"/>
        <v>2194869.4404855445</v>
      </c>
      <c r="J66" s="18">
        <f t="shared" si="7"/>
        <v>460923</v>
      </c>
      <c r="L66" s="11">
        <v>2030</v>
      </c>
      <c r="M66" s="11">
        <v>12</v>
      </c>
      <c r="N66" s="18">
        <f t="shared" si="9"/>
        <v>-16716000</v>
      </c>
      <c r="O66" s="248">
        <f t="shared" si="10"/>
        <v>3343165.3562569991</v>
      </c>
      <c r="P66" s="18">
        <f t="shared" si="8"/>
        <v>-702065</v>
      </c>
    </row>
    <row r="67" spans="1:16" x14ac:dyDescent="0.2">
      <c r="A67" s="11">
        <v>2031</v>
      </c>
      <c r="B67" s="11">
        <v>1</v>
      </c>
      <c r="C67" s="18">
        <f t="shared" si="13"/>
        <v>-19587344</v>
      </c>
      <c r="D67" s="18">
        <f t="shared" si="2"/>
        <v>38211174.958269402</v>
      </c>
      <c r="E67" s="128">
        <f t="shared" si="12"/>
        <v>5.2850000000000001E-2</v>
      </c>
      <c r="F67" s="225">
        <f t="shared" si="11"/>
        <v>-17325924.870093167</v>
      </c>
      <c r="G67" s="18">
        <f t="shared" si="4"/>
        <v>40472594.088176236</v>
      </c>
      <c r="H67" s="129">
        <f t="shared" si="5"/>
        <v>0.29976416666666672</v>
      </c>
      <c r="I67" s="18">
        <f t="shared" si="6"/>
        <v>2261419.1299068332</v>
      </c>
      <c r="J67" s="18">
        <f t="shared" si="7"/>
        <v>474898</v>
      </c>
      <c r="L67" s="11">
        <v>2031</v>
      </c>
      <c r="M67" s="11">
        <v>1</v>
      </c>
      <c r="N67" s="18">
        <f t="shared" si="9"/>
        <v>-16994600</v>
      </c>
      <c r="O67" s="248">
        <f t="shared" si="10"/>
        <v>3064565.3562569991</v>
      </c>
      <c r="P67" s="18">
        <f t="shared" si="8"/>
        <v>-643559</v>
      </c>
    </row>
    <row r="68" spans="1:16" x14ac:dyDescent="0.2">
      <c r="A68" s="11">
        <v>2031</v>
      </c>
      <c r="B68" s="11">
        <v>2</v>
      </c>
      <c r="C68" s="18">
        <f t="shared" si="13"/>
        <v>-19908448</v>
      </c>
      <c r="D68" s="18">
        <f t="shared" si="2"/>
        <v>37890070.958269402</v>
      </c>
      <c r="E68" s="128">
        <f t="shared" si="12"/>
        <v>5.2850000000000001E-2</v>
      </c>
      <c r="F68" s="225">
        <f t="shared" si="11"/>
        <v>-17580479.180671878</v>
      </c>
      <c r="G68" s="18">
        <f t="shared" si="4"/>
        <v>40218039.777597524</v>
      </c>
      <c r="H68" s="129">
        <f t="shared" si="5"/>
        <v>0.30416833333333343</v>
      </c>
      <c r="I68" s="18">
        <f t="shared" si="6"/>
        <v>2327968.8193281218</v>
      </c>
      <c r="J68" s="18">
        <f t="shared" si="7"/>
        <v>488873</v>
      </c>
      <c r="L68" s="11">
        <v>2031</v>
      </c>
      <c r="M68" s="11">
        <v>2</v>
      </c>
      <c r="N68" s="18">
        <f t="shared" si="9"/>
        <v>-17273200</v>
      </c>
      <c r="O68" s="248">
        <f t="shared" si="10"/>
        <v>2785965.3562569991</v>
      </c>
      <c r="P68" s="18">
        <f t="shared" si="8"/>
        <v>-585053</v>
      </c>
    </row>
    <row r="69" spans="1:16" x14ac:dyDescent="0.2">
      <c r="A69" s="11">
        <v>2031</v>
      </c>
      <c r="B69" s="11">
        <v>3</v>
      </c>
      <c r="C69" s="18">
        <f t="shared" si="13"/>
        <v>-20229552</v>
      </c>
      <c r="D69" s="18">
        <f t="shared" si="2"/>
        <v>37568966.958269402</v>
      </c>
      <c r="E69" s="128">
        <f t="shared" si="12"/>
        <v>5.2850000000000001E-2</v>
      </c>
      <c r="F69" s="225">
        <f t="shared" si="11"/>
        <v>-17835033.491250589</v>
      </c>
      <c r="G69" s="18">
        <f t="shared" si="4"/>
        <v>39963485.467018813</v>
      </c>
      <c r="H69" s="129">
        <f t="shared" si="5"/>
        <v>0.30857250000000008</v>
      </c>
      <c r="I69" s="18">
        <f t="shared" si="6"/>
        <v>2394518.5087494105</v>
      </c>
      <c r="J69" s="18">
        <f t="shared" si="7"/>
        <v>502849</v>
      </c>
      <c r="L69" s="11">
        <v>2031</v>
      </c>
      <c r="M69" s="11">
        <v>3</v>
      </c>
      <c r="N69" s="18">
        <f t="shared" si="9"/>
        <v>-17551800</v>
      </c>
      <c r="O69" s="248">
        <f t="shared" si="10"/>
        <v>2507365.3562569991</v>
      </c>
      <c r="P69" s="18">
        <f t="shared" si="8"/>
        <v>-526547</v>
      </c>
    </row>
    <row r="70" spans="1:16" x14ac:dyDescent="0.2">
      <c r="A70" s="11">
        <v>2031</v>
      </c>
      <c r="B70" s="11">
        <v>4</v>
      </c>
      <c r="C70" s="18">
        <f t="shared" si="13"/>
        <v>-20550656</v>
      </c>
      <c r="D70" s="18">
        <f t="shared" si="2"/>
        <v>37247862.958269402</v>
      </c>
      <c r="E70" s="128">
        <f t="shared" si="12"/>
        <v>5.2850000000000001E-2</v>
      </c>
      <c r="F70" s="225">
        <f t="shared" si="11"/>
        <v>-18089587.801829301</v>
      </c>
      <c r="G70" s="18">
        <f t="shared" si="4"/>
        <v>39708931.156440102</v>
      </c>
      <c r="H70" s="129">
        <f t="shared" si="5"/>
        <v>0.31297666666666674</v>
      </c>
      <c r="I70" s="18">
        <f t="shared" si="6"/>
        <v>2461068.1981706992</v>
      </c>
      <c r="J70" s="18">
        <f t="shared" si="7"/>
        <v>516824</v>
      </c>
      <c r="L70" s="11">
        <v>2031</v>
      </c>
      <c r="M70" s="11">
        <v>4</v>
      </c>
      <c r="N70" s="18">
        <f t="shared" si="9"/>
        <v>-17830400</v>
      </c>
      <c r="O70" s="248">
        <f t="shared" si="10"/>
        <v>2228765.3562569991</v>
      </c>
      <c r="P70" s="18">
        <f t="shared" si="8"/>
        <v>-468041</v>
      </c>
    </row>
    <row r="71" spans="1:16" x14ac:dyDescent="0.2">
      <c r="A71" s="11">
        <v>2031</v>
      </c>
      <c r="B71" s="11">
        <v>5</v>
      </c>
      <c r="C71" s="18">
        <f t="shared" si="13"/>
        <v>-20871760</v>
      </c>
      <c r="D71" s="18">
        <f t="shared" si="2"/>
        <v>36926758.958269402</v>
      </c>
      <c r="E71" s="128">
        <f t="shared" ref="E71:E102" si="14">VLOOKUP(A71-($C$2-1),$D$198:$G$219,4)</f>
        <v>5.2850000000000001E-2</v>
      </c>
      <c r="F71" s="225">
        <f t="shared" si="11"/>
        <v>-18344142.112408012</v>
      </c>
      <c r="G71" s="18">
        <f t="shared" si="4"/>
        <v>39454376.84586139</v>
      </c>
      <c r="H71" s="129">
        <f t="shared" si="5"/>
        <v>0.31738083333333339</v>
      </c>
      <c r="I71" s="18">
        <f t="shared" si="6"/>
        <v>2527617.8875919878</v>
      </c>
      <c r="J71" s="18">
        <f t="shared" si="7"/>
        <v>530800</v>
      </c>
      <c r="L71" s="11">
        <v>2031</v>
      </c>
      <c r="M71" s="11">
        <v>5</v>
      </c>
      <c r="N71" s="18">
        <f t="shared" si="9"/>
        <v>-18109000</v>
      </c>
      <c r="O71" s="248">
        <f t="shared" si="10"/>
        <v>1950165.3562569991</v>
      </c>
      <c r="P71" s="18">
        <f t="shared" si="8"/>
        <v>-409535</v>
      </c>
    </row>
    <row r="72" spans="1:16" x14ac:dyDescent="0.2">
      <c r="A72" s="11">
        <v>2031</v>
      </c>
      <c r="B72" s="11">
        <v>6</v>
      </c>
      <c r="C72" s="18">
        <f t="shared" ref="C72:C103" si="15">-(ROUND($C$1*$C$4/12,0)-C71)</f>
        <v>-21192864</v>
      </c>
      <c r="D72" s="18">
        <f t="shared" ref="D72:D135" si="16">$C$1+C72</f>
        <v>36605654.958269402</v>
      </c>
      <c r="E72" s="128">
        <f t="shared" si="14"/>
        <v>5.2850000000000001E-2</v>
      </c>
      <c r="F72" s="225">
        <f t="shared" si="11"/>
        <v>-18598696.422986723</v>
      </c>
      <c r="G72" s="18">
        <f t="shared" ref="G72:G135" si="17">$C$1+F72</f>
        <v>39199822.535282679</v>
      </c>
      <c r="H72" s="129">
        <f t="shared" ref="H72:H135" si="18">-(G72-$C$1)/$C$1</f>
        <v>0.32178500000000004</v>
      </c>
      <c r="I72" s="18">
        <f t="shared" ref="I72:I135" si="19">G72-D72</f>
        <v>2594167.5770132765</v>
      </c>
      <c r="J72" s="18">
        <f t="shared" ref="J72:J135" si="20">ROUND(I72*$C$3,0)</f>
        <v>544775</v>
      </c>
      <c r="L72" s="11">
        <v>2031</v>
      </c>
      <c r="M72" s="11">
        <v>6</v>
      </c>
      <c r="N72" s="18">
        <f t="shared" si="9"/>
        <v>-18387600</v>
      </c>
      <c r="O72" s="248">
        <f t="shared" si="10"/>
        <v>1671565.3562569991</v>
      </c>
      <c r="P72" s="18">
        <f t="shared" ref="P72:P78" si="21">-ROUND(O72*$N$3,0)</f>
        <v>-351029</v>
      </c>
    </row>
    <row r="73" spans="1:16" x14ac:dyDescent="0.2">
      <c r="A73" s="11">
        <v>2031</v>
      </c>
      <c r="B73" s="11">
        <v>7</v>
      </c>
      <c r="C73" s="18">
        <f t="shared" si="15"/>
        <v>-21513968</v>
      </c>
      <c r="D73" s="18">
        <f t="shared" si="16"/>
        <v>36284550.958269402</v>
      </c>
      <c r="E73" s="128">
        <f t="shared" si="14"/>
        <v>5.2850000000000001E-2</v>
      </c>
      <c r="F73" s="225">
        <f t="shared" si="11"/>
        <v>-18853250.733565435</v>
      </c>
      <c r="G73" s="18">
        <f t="shared" si="17"/>
        <v>38945268.224703968</v>
      </c>
      <c r="H73" s="129">
        <f t="shared" si="18"/>
        <v>0.32618916666666675</v>
      </c>
      <c r="I73" s="18">
        <f t="shared" si="19"/>
        <v>2660717.2664345652</v>
      </c>
      <c r="J73" s="18">
        <f t="shared" si="20"/>
        <v>558751</v>
      </c>
      <c r="L73" s="11">
        <v>2031</v>
      </c>
      <c r="M73" s="11">
        <v>7</v>
      </c>
      <c r="N73" s="18">
        <f t="shared" ref="N73:N78" si="22">-(ROUND($N$1/$N$4,0)-N72)</f>
        <v>-18666200</v>
      </c>
      <c r="O73" s="248">
        <f t="shared" ref="O73:O78" si="23">$N$1+N73</f>
        <v>1392965.3562569991</v>
      </c>
      <c r="P73" s="18">
        <f t="shared" si="21"/>
        <v>-292523</v>
      </c>
    </row>
    <row r="74" spans="1:16" x14ac:dyDescent="0.2">
      <c r="A74" s="11">
        <v>2031</v>
      </c>
      <c r="B74" s="11">
        <v>8</v>
      </c>
      <c r="C74" s="18">
        <f t="shared" si="15"/>
        <v>-21835072</v>
      </c>
      <c r="D74" s="18">
        <f t="shared" si="16"/>
        <v>35963446.958269402</v>
      </c>
      <c r="E74" s="128">
        <f t="shared" si="14"/>
        <v>5.2850000000000001E-2</v>
      </c>
      <c r="F74" s="225">
        <f t="shared" si="11"/>
        <v>-19107805.044144146</v>
      </c>
      <c r="G74" s="18">
        <f t="shared" si="17"/>
        <v>38690713.914125256</v>
      </c>
      <c r="H74" s="129">
        <f t="shared" si="18"/>
        <v>0.33059333333333341</v>
      </c>
      <c r="I74" s="18">
        <f t="shared" si="19"/>
        <v>2727266.9558558539</v>
      </c>
      <c r="J74" s="18">
        <f t="shared" si="20"/>
        <v>572726</v>
      </c>
      <c r="L74" s="11">
        <v>2031</v>
      </c>
      <c r="M74" s="11">
        <v>8</v>
      </c>
      <c r="N74" s="18">
        <f t="shared" si="22"/>
        <v>-18944800</v>
      </c>
      <c r="O74" s="248">
        <f t="shared" si="23"/>
        <v>1114365.3562569991</v>
      </c>
      <c r="P74" s="18">
        <f t="shared" si="21"/>
        <v>-234017</v>
      </c>
    </row>
    <row r="75" spans="1:16" x14ac:dyDescent="0.2">
      <c r="A75" s="11">
        <v>2031</v>
      </c>
      <c r="B75" s="11">
        <v>9</v>
      </c>
      <c r="C75" s="18">
        <f t="shared" si="15"/>
        <v>-22156176</v>
      </c>
      <c r="D75" s="18">
        <f t="shared" si="16"/>
        <v>35642342.958269402</v>
      </c>
      <c r="E75" s="128">
        <f t="shared" si="14"/>
        <v>5.2850000000000001E-2</v>
      </c>
      <c r="F75" s="225">
        <f t="shared" si="11"/>
        <v>-19362359.354722857</v>
      </c>
      <c r="G75" s="18">
        <f t="shared" si="17"/>
        <v>38436159.603546545</v>
      </c>
      <c r="H75" s="129">
        <f t="shared" si="18"/>
        <v>0.33499750000000006</v>
      </c>
      <c r="I75" s="18">
        <f t="shared" si="19"/>
        <v>2793816.6452771425</v>
      </c>
      <c r="J75" s="18">
        <f t="shared" si="20"/>
        <v>586701</v>
      </c>
      <c r="L75" s="11">
        <v>2031</v>
      </c>
      <c r="M75" s="11">
        <v>9</v>
      </c>
      <c r="N75" s="18">
        <f t="shared" si="22"/>
        <v>-19223400</v>
      </c>
      <c r="O75" s="248">
        <f t="shared" si="23"/>
        <v>835765.35625699908</v>
      </c>
      <c r="P75" s="18">
        <f t="shared" si="21"/>
        <v>-175511</v>
      </c>
    </row>
    <row r="76" spans="1:16" x14ac:dyDescent="0.2">
      <c r="A76" s="11">
        <v>2031</v>
      </c>
      <c r="B76" s="11">
        <v>10</v>
      </c>
      <c r="C76" s="18">
        <f t="shared" si="15"/>
        <v>-22477280</v>
      </c>
      <c r="D76" s="18">
        <f t="shared" si="16"/>
        <v>35321238.958269402</v>
      </c>
      <c r="E76" s="128">
        <f t="shared" si="14"/>
        <v>5.2850000000000001E-2</v>
      </c>
      <c r="F76" s="225">
        <f t="shared" si="11"/>
        <v>-19616913.665301569</v>
      </c>
      <c r="G76" s="18">
        <f t="shared" si="17"/>
        <v>38181605.292967834</v>
      </c>
      <c r="H76" s="129">
        <f t="shared" si="18"/>
        <v>0.33940166666666671</v>
      </c>
      <c r="I76" s="18">
        <f t="shared" si="19"/>
        <v>2860366.3346984312</v>
      </c>
      <c r="J76" s="18">
        <f t="shared" si="20"/>
        <v>600677</v>
      </c>
      <c r="L76" s="11">
        <v>2031</v>
      </c>
      <c r="M76" s="11">
        <v>10</v>
      </c>
      <c r="N76" s="18">
        <f t="shared" si="22"/>
        <v>-19502000</v>
      </c>
      <c r="O76" s="248">
        <f t="shared" si="23"/>
        <v>557165.35625699908</v>
      </c>
      <c r="P76" s="18">
        <f t="shared" si="21"/>
        <v>-117005</v>
      </c>
    </row>
    <row r="77" spans="1:16" x14ac:dyDescent="0.2">
      <c r="A77" s="11">
        <v>2031</v>
      </c>
      <c r="B77" s="11">
        <v>11</v>
      </c>
      <c r="C77" s="18">
        <f t="shared" si="15"/>
        <v>-22798384</v>
      </c>
      <c r="D77" s="18">
        <f t="shared" si="16"/>
        <v>35000134.958269402</v>
      </c>
      <c r="E77" s="128">
        <f t="shared" si="14"/>
        <v>5.2850000000000001E-2</v>
      </c>
      <c r="F77" s="225">
        <f t="shared" si="11"/>
        <v>-19871467.97588028</v>
      </c>
      <c r="G77" s="18">
        <f t="shared" si="17"/>
        <v>37927050.982389122</v>
      </c>
      <c r="H77" s="129">
        <f t="shared" si="18"/>
        <v>0.34380583333333337</v>
      </c>
      <c r="I77" s="18">
        <f t="shared" si="19"/>
        <v>2926916.0241197199</v>
      </c>
      <c r="J77" s="18">
        <f t="shared" si="20"/>
        <v>614652</v>
      </c>
      <c r="L77" s="11">
        <v>2031</v>
      </c>
      <c r="M77" s="11">
        <v>11</v>
      </c>
      <c r="N77" s="18">
        <f t="shared" si="22"/>
        <v>-19780600</v>
      </c>
      <c r="O77" s="248">
        <f t="shared" si="23"/>
        <v>278565.35625699908</v>
      </c>
      <c r="P77" s="18">
        <f t="shared" si="21"/>
        <v>-58499</v>
      </c>
    </row>
    <row r="78" spans="1:16" x14ac:dyDescent="0.2">
      <c r="A78" s="11">
        <v>2031</v>
      </c>
      <c r="B78" s="11">
        <v>12</v>
      </c>
      <c r="C78" s="18">
        <f t="shared" si="15"/>
        <v>-23119488</v>
      </c>
      <c r="D78" s="18">
        <f t="shared" si="16"/>
        <v>34679030.958269402</v>
      </c>
      <c r="E78" s="128">
        <f t="shared" si="14"/>
        <v>5.2850000000000001E-2</v>
      </c>
      <c r="F78" s="225">
        <f t="shared" si="11"/>
        <v>-20126022.286458991</v>
      </c>
      <c r="G78" s="18">
        <f t="shared" si="17"/>
        <v>37672496.671810411</v>
      </c>
      <c r="H78" s="129">
        <f t="shared" si="18"/>
        <v>0.34821000000000008</v>
      </c>
      <c r="I78" s="18">
        <f t="shared" si="19"/>
        <v>2993465.7135410085</v>
      </c>
      <c r="J78" s="18">
        <f t="shared" si="20"/>
        <v>628628</v>
      </c>
      <c r="L78" s="11">
        <v>2031</v>
      </c>
      <c r="M78" s="11">
        <v>12</v>
      </c>
      <c r="N78" s="18">
        <f t="shared" si="22"/>
        <v>-20059200</v>
      </c>
      <c r="O78" s="248">
        <f t="shared" si="23"/>
        <v>-34.643743000924587</v>
      </c>
      <c r="P78" s="18">
        <f t="shared" si="21"/>
        <v>7</v>
      </c>
    </row>
    <row r="79" spans="1:16" x14ac:dyDescent="0.2">
      <c r="A79" s="11">
        <v>2032</v>
      </c>
      <c r="B79" s="11">
        <v>1</v>
      </c>
      <c r="C79" s="18">
        <f t="shared" si="15"/>
        <v>-23440592</v>
      </c>
      <c r="D79" s="18">
        <f t="shared" si="16"/>
        <v>34357926.958269402</v>
      </c>
      <c r="E79" s="128">
        <f t="shared" si="14"/>
        <v>4.888E-2</v>
      </c>
      <c r="F79" s="225">
        <f t="shared" si="11"/>
        <v>-20361454.920349009</v>
      </c>
      <c r="G79" s="18">
        <f t="shared" si="17"/>
        <v>37437064.037920393</v>
      </c>
      <c r="H79" s="129">
        <f t="shared" si="18"/>
        <v>0.35228333333333339</v>
      </c>
      <c r="I79" s="18">
        <f t="shared" si="19"/>
        <v>3079137.0796509907</v>
      </c>
      <c r="J79" s="18">
        <f t="shared" si="20"/>
        <v>646619</v>
      </c>
      <c r="N79" s="18"/>
      <c r="O79" s="248"/>
      <c r="P79" s="18"/>
    </row>
    <row r="80" spans="1:16" x14ac:dyDescent="0.2">
      <c r="A80" s="11">
        <v>2032</v>
      </c>
      <c r="B80" s="11">
        <v>2</v>
      </c>
      <c r="C80" s="18">
        <f t="shared" si="15"/>
        <v>-23761696</v>
      </c>
      <c r="D80" s="18">
        <f t="shared" si="16"/>
        <v>34036822.958269402</v>
      </c>
      <c r="E80" s="128">
        <f t="shared" si="14"/>
        <v>4.888E-2</v>
      </c>
      <c r="F80" s="225">
        <f t="shared" si="11"/>
        <v>-20596887.554239027</v>
      </c>
      <c r="G80" s="18">
        <f t="shared" si="17"/>
        <v>37201631.404030375</v>
      </c>
      <c r="H80" s="129">
        <f t="shared" si="18"/>
        <v>0.35635666666666671</v>
      </c>
      <c r="I80" s="18">
        <f t="shared" si="19"/>
        <v>3164808.4457609728</v>
      </c>
      <c r="J80" s="18">
        <f t="shared" si="20"/>
        <v>664610</v>
      </c>
      <c r="N80" s="18"/>
      <c r="O80" s="248"/>
      <c r="P80" s="18"/>
    </row>
    <row r="81" spans="1:16" x14ac:dyDescent="0.2">
      <c r="A81" s="11">
        <v>2032</v>
      </c>
      <c r="B81" s="11">
        <v>3</v>
      </c>
      <c r="C81" s="18">
        <f t="shared" si="15"/>
        <v>-24082800</v>
      </c>
      <c r="D81" s="18">
        <f t="shared" si="16"/>
        <v>33715718.958269402</v>
      </c>
      <c r="E81" s="128">
        <f t="shared" si="14"/>
        <v>4.888E-2</v>
      </c>
      <c r="F81" s="225">
        <f t="shared" si="11"/>
        <v>-20832320.188129045</v>
      </c>
      <c r="G81" s="18">
        <f t="shared" si="17"/>
        <v>36966198.770140357</v>
      </c>
      <c r="H81" s="129">
        <f t="shared" si="18"/>
        <v>0.36043000000000008</v>
      </c>
      <c r="I81" s="18">
        <f t="shared" si="19"/>
        <v>3250479.8118709549</v>
      </c>
      <c r="J81" s="18">
        <f t="shared" si="20"/>
        <v>682601</v>
      </c>
      <c r="N81" s="18"/>
      <c r="O81" s="248"/>
      <c r="P81" s="18"/>
    </row>
    <row r="82" spans="1:16" x14ac:dyDescent="0.2">
      <c r="A82" s="11">
        <v>2032</v>
      </c>
      <c r="B82" s="11">
        <v>4</v>
      </c>
      <c r="C82" s="18">
        <f t="shared" si="15"/>
        <v>-24403904</v>
      </c>
      <c r="D82" s="18">
        <f t="shared" si="16"/>
        <v>33394614.958269402</v>
      </c>
      <c r="E82" s="128">
        <f t="shared" si="14"/>
        <v>4.888E-2</v>
      </c>
      <c r="F82" s="225">
        <f t="shared" si="11"/>
        <v>-21067752.822019063</v>
      </c>
      <c r="G82" s="18">
        <f t="shared" si="17"/>
        <v>36730766.136250339</v>
      </c>
      <c r="H82" s="129">
        <f t="shared" si="18"/>
        <v>0.3645033333333334</v>
      </c>
      <c r="I82" s="18">
        <f t="shared" si="19"/>
        <v>3336151.1779809371</v>
      </c>
      <c r="J82" s="18">
        <f t="shared" si="20"/>
        <v>700592</v>
      </c>
      <c r="N82" s="18"/>
      <c r="O82" s="248"/>
      <c r="P82" s="18"/>
    </row>
    <row r="83" spans="1:16" x14ac:dyDescent="0.2">
      <c r="A83" s="11">
        <v>2032</v>
      </c>
      <c r="B83" s="11">
        <v>5</v>
      </c>
      <c r="C83" s="18">
        <f t="shared" si="15"/>
        <v>-24725008</v>
      </c>
      <c r="D83" s="18">
        <f t="shared" si="16"/>
        <v>33073510.958269402</v>
      </c>
      <c r="E83" s="128">
        <f t="shared" si="14"/>
        <v>4.888E-2</v>
      </c>
      <c r="F83" s="225">
        <f t="shared" si="11"/>
        <v>-21303185.455909081</v>
      </c>
      <c r="G83" s="18">
        <f t="shared" si="17"/>
        <v>36495333.502360322</v>
      </c>
      <c r="H83" s="129">
        <f t="shared" si="18"/>
        <v>0.36857666666666677</v>
      </c>
      <c r="I83" s="18">
        <f t="shared" si="19"/>
        <v>3421822.5440909192</v>
      </c>
      <c r="J83" s="18">
        <f t="shared" si="20"/>
        <v>718583</v>
      </c>
      <c r="N83" s="18"/>
      <c r="O83" s="248"/>
      <c r="P83" s="18"/>
    </row>
    <row r="84" spans="1:16" x14ac:dyDescent="0.2">
      <c r="A84" s="11">
        <v>2032</v>
      </c>
      <c r="B84" s="11">
        <v>6</v>
      </c>
      <c r="C84" s="18">
        <f t="shared" si="15"/>
        <v>-25046112</v>
      </c>
      <c r="D84" s="18">
        <f t="shared" si="16"/>
        <v>32752406.958269402</v>
      </c>
      <c r="E84" s="128">
        <f t="shared" si="14"/>
        <v>4.888E-2</v>
      </c>
      <c r="F84" s="225">
        <f t="shared" ref="F84:F147" si="24">-$C$1*E84/12+F83</f>
        <v>-21538618.089799099</v>
      </c>
      <c r="G84" s="18">
        <f t="shared" si="17"/>
        <v>36259900.868470304</v>
      </c>
      <c r="H84" s="129">
        <f t="shared" si="18"/>
        <v>0.37265000000000009</v>
      </c>
      <c r="I84" s="18">
        <f t="shared" si="19"/>
        <v>3507493.9102009013</v>
      </c>
      <c r="J84" s="18">
        <f t="shared" si="20"/>
        <v>736574</v>
      </c>
      <c r="N84" s="18"/>
      <c r="O84" s="248"/>
      <c r="P84" s="18"/>
    </row>
    <row r="85" spans="1:16" x14ac:dyDescent="0.2">
      <c r="A85" s="11">
        <v>2032</v>
      </c>
      <c r="B85" s="11">
        <v>7</v>
      </c>
      <c r="C85" s="18">
        <f t="shared" si="15"/>
        <v>-25367216</v>
      </c>
      <c r="D85" s="18">
        <f t="shared" si="16"/>
        <v>32431302.958269402</v>
      </c>
      <c r="E85" s="128">
        <f t="shared" si="14"/>
        <v>4.888E-2</v>
      </c>
      <c r="F85" s="225">
        <f t="shared" si="24"/>
        <v>-21774050.723689117</v>
      </c>
      <c r="G85" s="18">
        <f t="shared" si="17"/>
        <v>36024468.234580286</v>
      </c>
      <c r="H85" s="129">
        <f t="shared" si="18"/>
        <v>0.37672333333333347</v>
      </c>
      <c r="I85" s="18">
        <f t="shared" si="19"/>
        <v>3593165.2763108835</v>
      </c>
      <c r="J85" s="18">
        <f t="shared" si="20"/>
        <v>754565</v>
      </c>
      <c r="N85" s="18"/>
      <c r="O85" s="248"/>
      <c r="P85" s="18"/>
    </row>
    <row r="86" spans="1:16" x14ac:dyDescent="0.2">
      <c r="A86" s="11">
        <v>2032</v>
      </c>
      <c r="B86" s="11">
        <v>8</v>
      </c>
      <c r="C86" s="18">
        <f t="shared" si="15"/>
        <v>-25688320</v>
      </c>
      <c r="D86" s="18">
        <f t="shared" si="16"/>
        <v>32110198.958269402</v>
      </c>
      <c r="E86" s="128">
        <f t="shared" si="14"/>
        <v>4.888E-2</v>
      </c>
      <c r="F86" s="225">
        <f t="shared" si="24"/>
        <v>-22009483.357579134</v>
      </c>
      <c r="G86" s="18">
        <f t="shared" si="17"/>
        <v>35789035.600690268</v>
      </c>
      <c r="H86" s="129">
        <f t="shared" si="18"/>
        <v>0.38079666666666678</v>
      </c>
      <c r="I86" s="18">
        <f t="shared" si="19"/>
        <v>3678836.6424208656</v>
      </c>
      <c r="J86" s="18">
        <f t="shared" si="20"/>
        <v>772556</v>
      </c>
      <c r="N86" s="18"/>
      <c r="O86" s="248"/>
      <c r="P86" s="18"/>
    </row>
    <row r="87" spans="1:16" x14ac:dyDescent="0.2">
      <c r="A87" s="11">
        <v>2032</v>
      </c>
      <c r="B87" s="11">
        <v>9</v>
      </c>
      <c r="C87" s="18">
        <f t="shared" si="15"/>
        <v>-26009424</v>
      </c>
      <c r="D87" s="18">
        <f t="shared" si="16"/>
        <v>31789094.958269402</v>
      </c>
      <c r="E87" s="128">
        <f t="shared" si="14"/>
        <v>4.888E-2</v>
      </c>
      <c r="F87" s="225">
        <f t="shared" si="24"/>
        <v>-22244915.991469152</v>
      </c>
      <c r="G87" s="18">
        <f t="shared" si="17"/>
        <v>35553602.96680025</v>
      </c>
      <c r="H87" s="129">
        <f t="shared" si="18"/>
        <v>0.3848700000000001</v>
      </c>
      <c r="I87" s="18">
        <f t="shared" si="19"/>
        <v>3764508.0085308477</v>
      </c>
      <c r="J87" s="18">
        <f t="shared" si="20"/>
        <v>790547</v>
      </c>
      <c r="N87" s="18"/>
      <c r="O87" s="248"/>
      <c r="P87" s="18"/>
    </row>
    <row r="88" spans="1:16" x14ac:dyDescent="0.2">
      <c r="A88" s="11">
        <v>2032</v>
      </c>
      <c r="B88" s="11">
        <v>10</v>
      </c>
      <c r="C88" s="18">
        <f t="shared" si="15"/>
        <v>-26330528</v>
      </c>
      <c r="D88" s="18">
        <f t="shared" si="16"/>
        <v>31467990.958269402</v>
      </c>
      <c r="E88" s="128">
        <f t="shared" si="14"/>
        <v>4.888E-2</v>
      </c>
      <c r="F88" s="225">
        <f t="shared" si="24"/>
        <v>-22480348.62535917</v>
      </c>
      <c r="G88" s="18">
        <f t="shared" si="17"/>
        <v>35318170.332910232</v>
      </c>
      <c r="H88" s="129">
        <f t="shared" si="18"/>
        <v>0.38894333333333347</v>
      </c>
      <c r="I88" s="18">
        <f t="shared" si="19"/>
        <v>3850179.3746408299</v>
      </c>
      <c r="J88" s="18">
        <f t="shared" si="20"/>
        <v>808538</v>
      </c>
      <c r="N88" s="18"/>
      <c r="O88" s="248"/>
      <c r="P88" s="18"/>
    </row>
    <row r="89" spans="1:16" x14ac:dyDescent="0.2">
      <c r="A89" s="11">
        <v>2032</v>
      </c>
      <c r="B89" s="11">
        <v>11</v>
      </c>
      <c r="C89" s="18">
        <f t="shared" si="15"/>
        <v>-26651632</v>
      </c>
      <c r="D89" s="18">
        <f t="shared" si="16"/>
        <v>31146886.958269402</v>
      </c>
      <c r="E89" s="128">
        <f t="shared" si="14"/>
        <v>4.888E-2</v>
      </c>
      <c r="F89" s="225">
        <f t="shared" si="24"/>
        <v>-22715781.259249188</v>
      </c>
      <c r="G89" s="18">
        <f t="shared" si="17"/>
        <v>35082737.699020214</v>
      </c>
      <c r="H89" s="129">
        <f t="shared" si="18"/>
        <v>0.39301666666666679</v>
      </c>
      <c r="I89" s="18">
        <f t="shared" si="19"/>
        <v>3935850.740750812</v>
      </c>
      <c r="J89" s="18">
        <f t="shared" si="20"/>
        <v>826529</v>
      </c>
      <c r="N89" s="18"/>
      <c r="O89" s="248"/>
      <c r="P89" s="18"/>
    </row>
    <row r="90" spans="1:16" x14ac:dyDescent="0.2">
      <c r="A90" s="11">
        <v>2032</v>
      </c>
      <c r="B90" s="11">
        <v>12</v>
      </c>
      <c r="C90" s="18">
        <f t="shared" si="15"/>
        <v>-26972736</v>
      </c>
      <c r="D90" s="18">
        <f t="shared" si="16"/>
        <v>30825782.958269402</v>
      </c>
      <c r="E90" s="128">
        <f t="shared" si="14"/>
        <v>4.888E-2</v>
      </c>
      <c r="F90" s="225">
        <f t="shared" si="24"/>
        <v>-22951213.893139206</v>
      </c>
      <c r="G90" s="18">
        <f t="shared" si="17"/>
        <v>34847305.065130197</v>
      </c>
      <c r="H90" s="129">
        <f t="shared" si="18"/>
        <v>0.39709000000000017</v>
      </c>
      <c r="I90" s="18">
        <f t="shared" si="19"/>
        <v>4021522.1068607941</v>
      </c>
      <c r="J90" s="18">
        <f t="shared" si="20"/>
        <v>844520</v>
      </c>
      <c r="N90" s="18"/>
      <c r="O90" s="248"/>
      <c r="P90" s="18"/>
    </row>
    <row r="91" spans="1:16" x14ac:dyDescent="0.2">
      <c r="A91" s="11">
        <v>2033</v>
      </c>
      <c r="B91" s="11">
        <v>1</v>
      </c>
      <c r="C91" s="18">
        <f t="shared" si="15"/>
        <v>-27293840</v>
      </c>
      <c r="D91" s="18">
        <f t="shared" si="16"/>
        <v>30504678.958269402</v>
      </c>
      <c r="E91" s="128">
        <f t="shared" si="14"/>
        <v>4.5220000000000003E-2</v>
      </c>
      <c r="F91" s="225">
        <f t="shared" si="24"/>
        <v>-23169017.978746951</v>
      </c>
      <c r="G91" s="18">
        <f t="shared" si="17"/>
        <v>34629500.979522452</v>
      </c>
      <c r="H91" s="129">
        <f t="shared" si="18"/>
        <v>0.40085833333333348</v>
      </c>
      <c r="I91" s="18">
        <f t="shared" si="19"/>
        <v>4124822.0212530494</v>
      </c>
      <c r="J91" s="18">
        <f t="shared" si="20"/>
        <v>866213</v>
      </c>
      <c r="N91" s="18"/>
      <c r="O91" s="248"/>
      <c r="P91" s="18"/>
    </row>
    <row r="92" spans="1:16" x14ac:dyDescent="0.2">
      <c r="A92" s="11">
        <v>2033</v>
      </c>
      <c r="B92" s="11">
        <v>2</v>
      </c>
      <c r="C92" s="18">
        <f t="shared" si="15"/>
        <v>-27614944</v>
      </c>
      <c r="D92" s="18">
        <f t="shared" si="16"/>
        <v>30183574.958269402</v>
      </c>
      <c r="E92" s="128">
        <f t="shared" si="14"/>
        <v>4.5220000000000003E-2</v>
      </c>
      <c r="F92" s="225">
        <f t="shared" si="24"/>
        <v>-23386822.064354695</v>
      </c>
      <c r="G92" s="18">
        <f t="shared" si="17"/>
        <v>34411696.893914707</v>
      </c>
      <c r="H92" s="129">
        <f t="shared" si="18"/>
        <v>0.4046266666666668</v>
      </c>
      <c r="I92" s="18">
        <f t="shared" si="19"/>
        <v>4228121.9356453046</v>
      </c>
      <c r="J92" s="18">
        <f t="shared" si="20"/>
        <v>887906</v>
      </c>
      <c r="N92" s="18"/>
      <c r="O92" s="248"/>
      <c r="P92" s="18"/>
    </row>
    <row r="93" spans="1:16" x14ac:dyDescent="0.2">
      <c r="A93" s="11">
        <v>2033</v>
      </c>
      <c r="B93" s="11">
        <v>3</v>
      </c>
      <c r="C93" s="18">
        <f t="shared" si="15"/>
        <v>-27936048</v>
      </c>
      <c r="D93" s="18">
        <f t="shared" si="16"/>
        <v>29862470.958269402</v>
      </c>
      <c r="E93" s="128">
        <f t="shared" si="14"/>
        <v>4.5220000000000003E-2</v>
      </c>
      <c r="F93" s="225">
        <f t="shared" si="24"/>
        <v>-23604626.14996244</v>
      </c>
      <c r="G93" s="18">
        <f t="shared" si="17"/>
        <v>34193892.808306962</v>
      </c>
      <c r="H93" s="129">
        <f t="shared" si="18"/>
        <v>0.40839500000000012</v>
      </c>
      <c r="I93" s="18">
        <f t="shared" si="19"/>
        <v>4331421.8500375599</v>
      </c>
      <c r="J93" s="18">
        <f t="shared" si="20"/>
        <v>909599</v>
      </c>
      <c r="N93" s="18"/>
      <c r="O93" s="248"/>
      <c r="P93" s="18"/>
    </row>
    <row r="94" spans="1:16" x14ac:dyDescent="0.2">
      <c r="A94" s="11">
        <v>2033</v>
      </c>
      <c r="B94" s="11">
        <v>4</v>
      </c>
      <c r="C94" s="18">
        <f t="shared" si="15"/>
        <v>-28257152</v>
      </c>
      <c r="D94" s="18">
        <f t="shared" si="16"/>
        <v>29541366.958269402</v>
      </c>
      <c r="E94" s="128">
        <f t="shared" si="14"/>
        <v>4.5220000000000003E-2</v>
      </c>
      <c r="F94" s="225">
        <f t="shared" si="24"/>
        <v>-23822430.235570185</v>
      </c>
      <c r="G94" s="18">
        <f t="shared" si="17"/>
        <v>33976088.722699217</v>
      </c>
      <c r="H94" s="129">
        <f t="shared" si="18"/>
        <v>0.41216333333333344</v>
      </c>
      <c r="I94" s="18">
        <f t="shared" si="19"/>
        <v>4434721.7644298151</v>
      </c>
      <c r="J94" s="18">
        <f t="shared" si="20"/>
        <v>931292</v>
      </c>
      <c r="N94" s="18"/>
      <c r="O94" s="248"/>
      <c r="P94" s="18"/>
    </row>
    <row r="95" spans="1:16" x14ac:dyDescent="0.2">
      <c r="A95" s="11">
        <v>2033</v>
      </c>
      <c r="B95" s="11">
        <v>5</v>
      </c>
      <c r="C95" s="18">
        <f t="shared" si="15"/>
        <v>-28578256</v>
      </c>
      <c r="D95" s="18">
        <f t="shared" si="16"/>
        <v>29220262.958269402</v>
      </c>
      <c r="E95" s="128">
        <f t="shared" si="14"/>
        <v>4.5220000000000003E-2</v>
      </c>
      <c r="F95" s="225">
        <f t="shared" si="24"/>
        <v>-24040234.32117793</v>
      </c>
      <c r="G95" s="18">
        <f t="shared" si="17"/>
        <v>33758284.637091473</v>
      </c>
      <c r="H95" s="129">
        <f t="shared" si="18"/>
        <v>0.41593166666666676</v>
      </c>
      <c r="I95" s="18">
        <f t="shared" si="19"/>
        <v>4538021.6788220704</v>
      </c>
      <c r="J95" s="18">
        <f t="shared" si="20"/>
        <v>952985</v>
      </c>
      <c r="N95" s="18"/>
      <c r="O95" s="248"/>
      <c r="P95" s="18"/>
    </row>
    <row r="96" spans="1:16" x14ac:dyDescent="0.2">
      <c r="A96" s="11">
        <v>2033</v>
      </c>
      <c r="B96" s="11">
        <v>6</v>
      </c>
      <c r="C96" s="18">
        <f t="shared" si="15"/>
        <v>-28899360</v>
      </c>
      <c r="D96" s="18">
        <f t="shared" si="16"/>
        <v>28899158.958269402</v>
      </c>
      <c r="E96" s="128">
        <f t="shared" si="14"/>
        <v>4.5220000000000003E-2</v>
      </c>
      <c r="F96" s="225">
        <f t="shared" si="24"/>
        <v>-24258038.406785674</v>
      </c>
      <c r="G96" s="18">
        <f t="shared" si="17"/>
        <v>33540480.551483728</v>
      </c>
      <c r="H96" s="129">
        <f t="shared" si="18"/>
        <v>0.41970000000000013</v>
      </c>
      <c r="I96" s="18">
        <f t="shared" si="19"/>
        <v>4641321.5932143256</v>
      </c>
      <c r="J96" s="18">
        <f t="shared" si="20"/>
        <v>974678</v>
      </c>
      <c r="N96" s="18"/>
      <c r="O96" s="248"/>
      <c r="P96" s="18"/>
    </row>
    <row r="97" spans="1:16" x14ac:dyDescent="0.2">
      <c r="A97" s="11">
        <v>2033</v>
      </c>
      <c r="B97" s="11">
        <v>7</v>
      </c>
      <c r="C97" s="18">
        <f t="shared" si="15"/>
        <v>-29220464</v>
      </c>
      <c r="D97" s="18">
        <f t="shared" si="16"/>
        <v>28578054.958269402</v>
      </c>
      <c r="E97" s="128">
        <f t="shared" si="14"/>
        <v>4.5220000000000003E-2</v>
      </c>
      <c r="F97" s="225">
        <f t="shared" si="24"/>
        <v>-24475842.492393419</v>
      </c>
      <c r="G97" s="18">
        <f t="shared" si="17"/>
        <v>33322676.465875983</v>
      </c>
      <c r="H97" s="129">
        <f t="shared" si="18"/>
        <v>0.42346833333333345</v>
      </c>
      <c r="I97" s="18">
        <f t="shared" si="19"/>
        <v>4744621.5076065809</v>
      </c>
      <c r="J97" s="18">
        <f t="shared" si="20"/>
        <v>996371</v>
      </c>
      <c r="N97" s="18"/>
      <c r="O97" s="248"/>
      <c r="P97" s="18"/>
    </row>
    <row r="98" spans="1:16" x14ac:dyDescent="0.2">
      <c r="A98" s="11">
        <v>2033</v>
      </c>
      <c r="B98" s="11">
        <v>8</v>
      </c>
      <c r="C98" s="18">
        <f t="shared" si="15"/>
        <v>-29541568</v>
      </c>
      <c r="D98" s="18">
        <f t="shared" si="16"/>
        <v>28256950.958269402</v>
      </c>
      <c r="E98" s="128">
        <f t="shared" si="14"/>
        <v>4.5220000000000003E-2</v>
      </c>
      <c r="F98" s="225">
        <f t="shared" si="24"/>
        <v>-24693646.578001164</v>
      </c>
      <c r="G98" s="18">
        <f t="shared" si="17"/>
        <v>33104872.380268238</v>
      </c>
      <c r="H98" s="129">
        <f t="shared" si="18"/>
        <v>0.42723666666666676</v>
      </c>
      <c r="I98" s="18">
        <f t="shared" si="19"/>
        <v>4847921.4219988361</v>
      </c>
      <c r="J98" s="18">
        <f t="shared" si="20"/>
        <v>1018063</v>
      </c>
      <c r="N98" s="18"/>
      <c r="O98" s="248"/>
      <c r="P98" s="18"/>
    </row>
    <row r="99" spans="1:16" x14ac:dyDescent="0.2">
      <c r="A99" s="11">
        <v>2033</v>
      </c>
      <c r="B99" s="11">
        <v>9</v>
      </c>
      <c r="C99" s="18">
        <f t="shared" si="15"/>
        <v>-29862672</v>
      </c>
      <c r="D99" s="18">
        <f t="shared" si="16"/>
        <v>27935846.958269402</v>
      </c>
      <c r="E99" s="128">
        <f t="shared" si="14"/>
        <v>4.5220000000000003E-2</v>
      </c>
      <c r="F99" s="225">
        <f t="shared" si="24"/>
        <v>-24911450.663608909</v>
      </c>
      <c r="G99" s="18">
        <f t="shared" si="17"/>
        <v>32887068.294660494</v>
      </c>
      <c r="H99" s="129">
        <f t="shared" si="18"/>
        <v>0.43100500000000008</v>
      </c>
      <c r="I99" s="18">
        <f t="shared" si="19"/>
        <v>4951221.3363910913</v>
      </c>
      <c r="J99" s="18">
        <f t="shared" si="20"/>
        <v>1039756</v>
      </c>
      <c r="N99" s="18"/>
      <c r="O99" s="248"/>
      <c r="P99" s="18"/>
    </row>
    <row r="100" spans="1:16" x14ac:dyDescent="0.2">
      <c r="A100" s="11">
        <v>2033</v>
      </c>
      <c r="B100" s="11">
        <v>10</v>
      </c>
      <c r="C100" s="18">
        <f t="shared" si="15"/>
        <v>-30183776</v>
      </c>
      <c r="D100" s="18">
        <f t="shared" si="16"/>
        <v>27614742.958269402</v>
      </c>
      <c r="E100" s="128">
        <f t="shared" si="14"/>
        <v>4.5220000000000003E-2</v>
      </c>
      <c r="F100" s="225">
        <f t="shared" si="24"/>
        <v>-25129254.749216653</v>
      </c>
      <c r="G100" s="18">
        <f t="shared" si="17"/>
        <v>32669264.209052749</v>
      </c>
      <c r="H100" s="129">
        <f t="shared" si="18"/>
        <v>0.4347733333333334</v>
      </c>
      <c r="I100" s="18">
        <f t="shared" si="19"/>
        <v>5054521.2507833466</v>
      </c>
      <c r="J100" s="18">
        <f t="shared" si="20"/>
        <v>1061449</v>
      </c>
      <c r="N100" s="18"/>
      <c r="O100" s="248"/>
      <c r="P100" s="18"/>
    </row>
    <row r="101" spans="1:16" x14ac:dyDescent="0.2">
      <c r="A101" s="11">
        <v>2033</v>
      </c>
      <c r="B101" s="11">
        <v>11</v>
      </c>
      <c r="C101" s="18">
        <f t="shared" si="15"/>
        <v>-30504880</v>
      </c>
      <c r="D101" s="18">
        <f t="shared" si="16"/>
        <v>27293638.958269402</v>
      </c>
      <c r="E101" s="128">
        <f t="shared" si="14"/>
        <v>4.5220000000000003E-2</v>
      </c>
      <c r="F101" s="225">
        <f t="shared" si="24"/>
        <v>-25347058.834824398</v>
      </c>
      <c r="G101" s="18">
        <f t="shared" si="17"/>
        <v>32451460.123445004</v>
      </c>
      <c r="H101" s="129">
        <f t="shared" si="18"/>
        <v>0.43854166666666672</v>
      </c>
      <c r="I101" s="18">
        <f t="shared" si="19"/>
        <v>5157821.1651756018</v>
      </c>
      <c r="J101" s="18">
        <f t="shared" si="20"/>
        <v>1083142</v>
      </c>
      <c r="N101" s="18"/>
      <c r="O101" s="248"/>
      <c r="P101" s="18"/>
    </row>
    <row r="102" spans="1:16" x14ac:dyDescent="0.2">
      <c r="A102" s="11">
        <v>2033</v>
      </c>
      <c r="B102" s="11">
        <v>12</v>
      </c>
      <c r="C102" s="18">
        <f t="shared" si="15"/>
        <v>-30825984</v>
      </c>
      <c r="D102" s="18">
        <f t="shared" si="16"/>
        <v>26972534.958269402</v>
      </c>
      <c r="E102" s="128">
        <f t="shared" si="14"/>
        <v>4.5220000000000003E-2</v>
      </c>
      <c r="F102" s="225">
        <f t="shared" si="24"/>
        <v>-25564862.920432143</v>
      </c>
      <c r="G102" s="18">
        <f t="shared" si="17"/>
        <v>32233656.037837259</v>
      </c>
      <c r="H102" s="129">
        <f t="shared" si="18"/>
        <v>0.44231000000000004</v>
      </c>
      <c r="I102" s="18">
        <f t="shared" si="19"/>
        <v>5261121.0795678571</v>
      </c>
      <c r="J102" s="18">
        <f t="shared" si="20"/>
        <v>1104835</v>
      </c>
      <c r="N102" s="18"/>
      <c r="O102" s="248"/>
      <c r="P102" s="18"/>
    </row>
    <row r="103" spans="1:16" x14ac:dyDescent="0.2">
      <c r="A103" s="11">
        <v>2034</v>
      </c>
      <c r="B103" s="11">
        <v>1</v>
      </c>
      <c r="C103" s="18">
        <f t="shared" si="15"/>
        <v>-31147088</v>
      </c>
      <c r="D103" s="18">
        <f t="shared" si="16"/>
        <v>26651430.958269402</v>
      </c>
      <c r="E103" s="128">
        <f t="shared" ref="E103:E134" si="25">VLOOKUP(A103-($C$2-1),$D$198:$G$219,4)</f>
        <v>4.462E-2</v>
      </c>
      <c r="F103" s="225">
        <f t="shared" si="24"/>
        <v>-25779777.080091976</v>
      </c>
      <c r="G103" s="18">
        <f t="shared" si="17"/>
        <v>32018741.878177427</v>
      </c>
      <c r="H103" s="129">
        <f t="shared" si="18"/>
        <v>0.44602833333333342</v>
      </c>
      <c r="I103" s="18">
        <f t="shared" si="19"/>
        <v>5367310.9199080244</v>
      </c>
      <c r="J103" s="18">
        <f t="shared" si="20"/>
        <v>1127135</v>
      </c>
      <c r="N103" s="18"/>
      <c r="O103" s="248"/>
      <c r="P103" s="18"/>
    </row>
    <row r="104" spans="1:16" x14ac:dyDescent="0.2">
      <c r="A104" s="11">
        <v>2034</v>
      </c>
      <c r="B104" s="11">
        <v>2</v>
      </c>
      <c r="C104" s="18">
        <f t="shared" ref="C104:C135" si="26">-(ROUND($C$1*$C$4/12,0)-C103)</f>
        <v>-31468192</v>
      </c>
      <c r="D104" s="18">
        <f t="shared" si="16"/>
        <v>26330326.958269402</v>
      </c>
      <c r="E104" s="128">
        <f t="shared" si="25"/>
        <v>4.462E-2</v>
      </c>
      <c r="F104" s="225">
        <f t="shared" si="24"/>
        <v>-25994691.239751808</v>
      </c>
      <c r="G104" s="18">
        <f t="shared" si="17"/>
        <v>31803827.718517594</v>
      </c>
      <c r="H104" s="129">
        <f t="shared" si="18"/>
        <v>0.44974666666666674</v>
      </c>
      <c r="I104" s="18">
        <f t="shared" si="19"/>
        <v>5473500.7602481917</v>
      </c>
      <c r="J104" s="18">
        <f t="shared" si="20"/>
        <v>1149435</v>
      </c>
      <c r="N104" s="18"/>
      <c r="O104" s="248"/>
      <c r="P104" s="18"/>
    </row>
    <row r="105" spans="1:16" x14ac:dyDescent="0.2">
      <c r="A105" s="11">
        <v>2034</v>
      </c>
      <c r="B105" s="11">
        <v>3</v>
      </c>
      <c r="C105" s="18">
        <f t="shared" si="26"/>
        <v>-31789296</v>
      </c>
      <c r="D105" s="18">
        <f t="shared" si="16"/>
        <v>26009222.958269402</v>
      </c>
      <c r="E105" s="128">
        <f t="shared" si="25"/>
        <v>4.462E-2</v>
      </c>
      <c r="F105" s="225">
        <f t="shared" si="24"/>
        <v>-26209605.399411641</v>
      </c>
      <c r="G105" s="18">
        <f t="shared" si="17"/>
        <v>31588913.558857761</v>
      </c>
      <c r="H105" s="129">
        <f t="shared" si="18"/>
        <v>0.45346500000000012</v>
      </c>
      <c r="I105" s="18">
        <f t="shared" si="19"/>
        <v>5579690.6005883589</v>
      </c>
      <c r="J105" s="18">
        <f t="shared" si="20"/>
        <v>1171735</v>
      </c>
      <c r="N105" s="18"/>
      <c r="O105" s="248"/>
      <c r="P105" s="18"/>
    </row>
    <row r="106" spans="1:16" x14ac:dyDescent="0.2">
      <c r="A106" s="11">
        <v>2034</v>
      </c>
      <c r="B106" s="11">
        <v>4</v>
      </c>
      <c r="C106" s="18">
        <f t="shared" si="26"/>
        <v>-32110400</v>
      </c>
      <c r="D106" s="18">
        <f t="shared" si="16"/>
        <v>25688118.958269402</v>
      </c>
      <c r="E106" s="128">
        <f t="shared" si="25"/>
        <v>4.462E-2</v>
      </c>
      <c r="F106" s="225">
        <f t="shared" si="24"/>
        <v>-26424519.559071474</v>
      </c>
      <c r="G106" s="18">
        <f t="shared" si="17"/>
        <v>31373999.399197929</v>
      </c>
      <c r="H106" s="129">
        <f t="shared" si="18"/>
        <v>0.45718333333333344</v>
      </c>
      <c r="I106" s="18">
        <f t="shared" si="19"/>
        <v>5685880.4409285262</v>
      </c>
      <c r="J106" s="18">
        <f t="shared" si="20"/>
        <v>1194035</v>
      </c>
      <c r="N106" s="18"/>
      <c r="O106" s="248"/>
      <c r="P106" s="18"/>
    </row>
    <row r="107" spans="1:16" x14ac:dyDescent="0.2">
      <c r="A107" s="11">
        <v>2034</v>
      </c>
      <c r="B107" s="11">
        <v>5</v>
      </c>
      <c r="C107" s="18">
        <f t="shared" si="26"/>
        <v>-32431504</v>
      </c>
      <c r="D107" s="18">
        <f t="shared" si="16"/>
        <v>25367014.958269402</v>
      </c>
      <c r="E107" s="128">
        <f t="shared" si="25"/>
        <v>4.462E-2</v>
      </c>
      <c r="F107" s="225">
        <f t="shared" si="24"/>
        <v>-26639433.718731306</v>
      </c>
      <c r="G107" s="18">
        <f t="shared" si="17"/>
        <v>31159085.239538096</v>
      </c>
      <c r="H107" s="129">
        <f t="shared" si="18"/>
        <v>0.46090166666666682</v>
      </c>
      <c r="I107" s="18">
        <f t="shared" si="19"/>
        <v>5792070.2812686935</v>
      </c>
      <c r="J107" s="18">
        <f t="shared" si="20"/>
        <v>1216335</v>
      </c>
      <c r="N107" s="18"/>
      <c r="O107" s="248"/>
      <c r="P107" s="18"/>
    </row>
    <row r="108" spans="1:16" x14ac:dyDescent="0.2">
      <c r="A108" s="11">
        <v>2034</v>
      </c>
      <c r="B108" s="11">
        <v>6</v>
      </c>
      <c r="C108" s="18">
        <f t="shared" si="26"/>
        <v>-32752608</v>
      </c>
      <c r="D108" s="18">
        <f t="shared" si="16"/>
        <v>25045910.958269402</v>
      </c>
      <c r="E108" s="128">
        <f t="shared" si="25"/>
        <v>4.462E-2</v>
      </c>
      <c r="F108" s="225">
        <f t="shared" si="24"/>
        <v>-26854347.878391139</v>
      </c>
      <c r="G108" s="18">
        <f t="shared" si="17"/>
        <v>30944171.079878263</v>
      </c>
      <c r="H108" s="129">
        <f t="shared" si="18"/>
        <v>0.46462000000000014</v>
      </c>
      <c r="I108" s="18">
        <f t="shared" si="19"/>
        <v>5898260.1216088608</v>
      </c>
      <c r="J108" s="18">
        <f t="shared" si="20"/>
        <v>1238635</v>
      </c>
      <c r="N108" s="18"/>
      <c r="O108" s="248"/>
      <c r="P108" s="18"/>
    </row>
    <row r="109" spans="1:16" x14ac:dyDescent="0.2">
      <c r="A109" s="11">
        <v>2034</v>
      </c>
      <c r="B109" s="11">
        <v>7</v>
      </c>
      <c r="C109" s="18">
        <f t="shared" si="26"/>
        <v>-33073712</v>
      </c>
      <c r="D109" s="18">
        <f t="shared" si="16"/>
        <v>24724806.958269402</v>
      </c>
      <c r="E109" s="128">
        <f t="shared" si="25"/>
        <v>4.462E-2</v>
      </c>
      <c r="F109" s="225">
        <f t="shared" si="24"/>
        <v>-27069262.038050972</v>
      </c>
      <c r="G109" s="18">
        <f t="shared" si="17"/>
        <v>30729256.92021843</v>
      </c>
      <c r="H109" s="129">
        <f t="shared" si="18"/>
        <v>0.46833833333333352</v>
      </c>
      <c r="I109" s="18">
        <f t="shared" si="19"/>
        <v>6004449.9619490281</v>
      </c>
      <c r="J109" s="18">
        <f t="shared" si="20"/>
        <v>1260934</v>
      </c>
      <c r="N109" s="18"/>
      <c r="O109" s="248"/>
      <c r="P109" s="18"/>
    </row>
    <row r="110" spans="1:16" x14ac:dyDescent="0.2">
      <c r="A110" s="11">
        <v>2034</v>
      </c>
      <c r="B110" s="11">
        <v>8</v>
      </c>
      <c r="C110" s="18">
        <f t="shared" si="26"/>
        <v>-33394816</v>
      </c>
      <c r="D110" s="18">
        <f t="shared" si="16"/>
        <v>24403702.958269402</v>
      </c>
      <c r="E110" s="128">
        <f t="shared" si="25"/>
        <v>4.462E-2</v>
      </c>
      <c r="F110" s="225">
        <f t="shared" si="24"/>
        <v>-27284176.197710805</v>
      </c>
      <c r="G110" s="18">
        <f t="shared" si="17"/>
        <v>30514342.760558598</v>
      </c>
      <c r="H110" s="129">
        <f t="shared" si="18"/>
        <v>0.47205666666666685</v>
      </c>
      <c r="I110" s="18">
        <f t="shared" si="19"/>
        <v>6110639.8022891954</v>
      </c>
      <c r="J110" s="18">
        <f t="shared" si="20"/>
        <v>1283234</v>
      </c>
      <c r="N110" s="18"/>
      <c r="O110" s="248"/>
      <c r="P110" s="18"/>
    </row>
    <row r="111" spans="1:16" x14ac:dyDescent="0.2">
      <c r="A111" s="11">
        <v>2034</v>
      </c>
      <c r="B111" s="11">
        <v>9</v>
      </c>
      <c r="C111" s="18">
        <f t="shared" si="26"/>
        <v>-33715920</v>
      </c>
      <c r="D111" s="18">
        <f t="shared" si="16"/>
        <v>24082598.958269402</v>
      </c>
      <c r="E111" s="128">
        <f t="shared" si="25"/>
        <v>4.462E-2</v>
      </c>
      <c r="F111" s="225">
        <f t="shared" si="24"/>
        <v>-27499090.357370637</v>
      </c>
      <c r="G111" s="18">
        <f t="shared" si="17"/>
        <v>30299428.600898765</v>
      </c>
      <c r="H111" s="129">
        <f t="shared" si="18"/>
        <v>0.47577500000000023</v>
      </c>
      <c r="I111" s="18">
        <f t="shared" si="19"/>
        <v>6216829.6426293626</v>
      </c>
      <c r="J111" s="18">
        <f t="shared" si="20"/>
        <v>1305534</v>
      </c>
      <c r="N111" s="18"/>
      <c r="O111" s="248"/>
      <c r="P111" s="18"/>
    </row>
    <row r="112" spans="1:16" x14ac:dyDescent="0.2">
      <c r="A112" s="11">
        <v>2034</v>
      </c>
      <c r="B112" s="11">
        <v>10</v>
      </c>
      <c r="C112" s="18">
        <f t="shared" si="26"/>
        <v>-34037024</v>
      </c>
      <c r="D112" s="18">
        <f t="shared" si="16"/>
        <v>23761494.958269402</v>
      </c>
      <c r="E112" s="128">
        <f t="shared" si="25"/>
        <v>4.462E-2</v>
      </c>
      <c r="F112" s="225">
        <f t="shared" si="24"/>
        <v>-27714004.51703047</v>
      </c>
      <c r="G112" s="18">
        <f t="shared" si="17"/>
        <v>30084514.441238932</v>
      </c>
      <c r="H112" s="129">
        <f t="shared" si="18"/>
        <v>0.47949333333333355</v>
      </c>
      <c r="I112" s="18">
        <f t="shared" si="19"/>
        <v>6323019.4829695299</v>
      </c>
      <c r="J112" s="18">
        <f t="shared" si="20"/>
        <v>1327834</v>
      </c>
      <c r="N112" s="18"/>
      <c r="O112" s="248"/>
      <c r="P112" s="18"/>
    </row>
    <row r="113" spans="1:16" x14ac:dyDescent="0.2">
      <c r="A113" s="11">
        <v>2034</v>
      </c>
      <c r="B113" s="11">
        <v>11</v>
      </c>
      <c r="C113" s="18">
        <f t="shared" si="26"/>
        <v>-34358128</v>
      </c>
      <c r="D113" s="18">
        <f t="shared" si="16"/>
        <v>23440390.958269402</v>
      </c>
      <c r="E113" s="128">
        <f t="shared" si="25"/>
        <v>4.462E-2</v>
      </c>
      <c r="F113" s="225">
        <f t="shared" si="24"/>
        <v>-27928918.676690303</v>
      </c>
      <c r="G113" s="18">
        <f t="shared" si="17"/>
        <v>29869600.2815791</v>
      </c>
      <c r="H113" s="129">
        <f t="shared" si="18"/>
        <v>0.48321166666666693</v>
      </c>
      <c r="I113" s="18">
        <f t="shared" si="19"/>
        <v>6429209.3233096972</v>
      </c>
      <c r="J113" s="18">
        <f t="shared" si="20"/>
        <v>1350134</v>
      </c>
      <c r="N113" s="18"/>
      <c r="O113" s="248"/>
      <c r="P113" s="18"/>
    </row>
    <row r="114" spans="1:16" x14ac:dyDescent="0.2">
      <c r="A114" s="11">
        <v>2034</v>
      </c>
      <c r="B114" s="11">
        <v>12</v>
      </c>
      <c r="C114" s="18">
        <f t="shared" si="26"/>
        <v>-34679232</v>
      </c>
      <c r="D114" s="18">
        <f t="shared" si="16"/>
        <v>23119286.958269402</v>
      </c>
      <c r="E114" s="128">
        <f t="shared" si="25"/>
        <v>4.462E-2</v>
      </c>
      <c r="F114" s="225">
        <f t="shared" si="24"/>
        <v>-28143832.836350136</v>
      </c>
      <c r="G114" s="18">
        <f t="shared" si="17"/>
        <v>29654686.121919267</v>
      </c>
      <c r="H114" s="129">
        <f t="shared" si="18"/>
        <v>0.48693000000000025</v>
      </c>
      <c r="I114" s="18">
        <f t="shared" si="19"/>
        <v>6535399.1636498645</v>
      </c>
      <c r="J114" s="18">
        <f t="shared" si="20"/>
        <v>1372434</v>
      </c>
      <c r="N114" s="18"/>
      <c r="O114" s="248"/>
      <c r="P114" s="18"/>
    </row>
    <row r="115" spans="1:16" x14ac:dyDescent="0.2">
      <c r="A115" s="11">
        <v>2035</v>
      </c>
      <c r="B115" s="11">
        <v>1</v>
      </c>
      <c r="C115" s="18">
        <f t="shared" si="26"/>
        <v>-35000336</v>
      </c>
      <c r="D115" s="18">
        <f t="shared" si="16"/>
        <v>22798182.958269402</v>
      </c>
      <c r="E115" s="128">
        <f t="shared" si="25"/>
        <v>4.4609999999999997E-2</v>
      </c>
      <c r="F115" s="225">
        <f t="shared" si="24"/>
        <v>-28358698.8305775</v>
      </c>
      <c r="G115" s="18">
        <f t="shared" si="17"/>
        <v>29439820.127691902</v>
      </c>
      <c r="H115" s="129">
        <f t="shared" si="18"/>
        <v>0.49064750000000024</v>
      </c>
      <c r="I115" s="18">
        <f t="shared" si="19"/>
        <v>6641637.1694224998</v>
      </c>
      <c r="J115" s="18">
        <f t="shared" si="20"/>
        <v>1394744</v>
      </c>
      <c r="N115" s="18"/>
      <c r="O115" s="248"/>
      <c r="P115" s="18"/>
    </row>
    <row r="116" spans="1:16" x14ac:dyDescent="0.2">
      <c r="A116" s="11">
        <v>2035</v>
      </c>
      <c r="B116" s="11">
        <v>2</v>
      </c>
      <c r="C116" s="18">
        <f t="shared" si="26"/>
        <v>-35321440</v>
      </c>
      <c r="D116" s="18">
        <f t="shared" si="16"/>
        <v>22477078.958269402</v>
      </c>
      <c r="E116" s="128">
        <f t="shared" si="25"/>
        <v>4.4609999999999997E-2</v>
      </c>
      <c r="F116" s="225">
        <f t="shared" si="24"/>
        <v>-28573564.824804865</v>
      </c>
      <c r="G116" s="18">
        <f t="shared" si="17"/>
        <v>29224954.133464538</v>
      </c>
      <c r="H116" s="129">
        <f t="shared" si="18"/>
        <v>0.49436500000000022</v>
      </c>
      <c r="I116" s="18">
        <f t="shared" si="19"/>
        <v>6747875.1751951352</v>
      </c>
      <c r="J116" s="18">
        <f t="shared" si="20"/>
        <v>1417054</v>
      </c>
      <c r="N116" s="18"/>
      <c r="O116" s="248"/>
      <c r="P116" s="18"/>
    </row>
    <row r="117" spans="1:16" x14ac:dyDescent="0.2">
      <c r="A117" s="11">
        <v>2035</v>
      </c>
      <c r="B117" s="11">
        <v>3</v>
      </c>
      <c r="C117" s="18">
        <f t="shared" si="26"/>
        <v>-35642544</v>
      </c>
      <c r="D117" s="18">
        <f t="shared" si="16"/>
        <v>22155974.958269402</v>
      </c>
      <c r="E117" s="128">
        <f t="shared" si="25"/>
        <v>4.4609999999999997E-2</v>
      </c>
      <c r="F117" s="225">
        <f t="shared" si="24"/>
        <v>-28788430.819032229</v>
      </c>
      <c r="G117" s="18">
        <f t="shared" si="17"/>
        <v>29010088.139237173</v>
      </c>
      <c r="H117" s="129">
        <f t="shared" si="18"/>
        <v>0.49808250000000015</v>
      </c>
      <c r="I117" s="18">
        <f t="shared" si="19"/>
        <v>6854113.1809677705</v>
      </c>
      <c r="J117" s="18">
        <f t="shared" si="20"/>
        <v>1439364</v>
      </c>
      <c r="N117" s="18"/>
      <c r="O117" s="248"/>
      <c r="P117" s="18"/>
    </row>
    <row r="118" spans="1:16" x14ac:dyDescent="0.2">
      <c r="A118" s="11">
        <v>2035</v>
      </c>
      <c r="B118" s="11">
        <v>4</v>
      </c>
      <c r="C118" s="18">
        <f t="shared" si="26"/>
        <v>-35963648</v>
      </c>
      <c r="D118" s="18">
        <f t="shared" si="16"/>
        <v>21834870.958269402</v>
      </c>
      <c r="E118" s="128">
        <f t="shared" si="25"/>
        <v>4.4609999999999997E-2</v>
      </c>
      <c r="F118" s="225">
        <f t="shared" si="24"/>
        <v>-29003296.813259594</v>
      </c>
      <c r="G118" s="18">
        <f t="shared" si="17"/>
        <v>28795222.145009808</v>
      </c>
      <c r="H118" s="129">
        <f t="shared" si="18"/>
        <v>0.50180000000000013</v>
      </c>
      <c r="I118" s="18">
        <f t="shared" si="19"/>
        <v>6960351.1867404059</v>
      </c>
      <c r="J118" s="18">
        <f t="shared" si="20"/>
        <v>1461674</v>
      </c>
      <c r="N118" s="18"/>
      <c r="O118" s="248"/>
      <c r="P118" s="18"/>
    </row>
    <row r="119" spans="1:16" x14ac:dyDescent="0.2">
      <c r="A119" s="11">
        <v>2035</v>
      </c>
      <c r="B119" s="11">
        <v>5</v>
      </c>
      <c r="C119" s="18">
        <f t="shared" si="26"/>
        <v>-36284752</v>
      </c>
      <c r="D119" s="18">
        <f t="shared" si="16"/>
        <v>21513766.958269402</v>
      </c>
      <c r="E119" s="128">
        <f t="shared" si="25"/>
        <v>4.4609999999999997E-2</v>
      </c>
      <c r="F119" s="225">
        <f t="shared" si="24"/>
        <v>-29218162.807486959</v>
      </c>
      <c r="G119" s="18">
        <f t="shared" si="17"/>
        <v>28580356.150782444</v>
      </c>
      <c r="H119" s="129">
        <f t="shared" si="18"/>
        <v>0.50551750000000006</v>
      </c>
      <c r="I119" s="18">
        <f t="shared" si="19"/>
        <v>7066589.1925130412</v>
      </c>
      <c r="J119" s="18">
        <f t="shared" si="20"/>
        <v>1483984</v>
      </c>
      <c r="N119" s="18"/>
      <c r="O119" s="248"/>
      <c r="P119" s="18"/>
    </row>
    <row r="120" spans="1:16" x14ac:dyDescent="0.2">
      <c r="A120" s="11">
        <v>2035</v>
      </c>
      <c r="B120" s="11">
        <v>6</v>
      </c>
      <c r="C120" s="18">
        <f t="shared" si="26"/>
        <v>-36605856</v>
      </c>
      <c r="D120" s="18">
        <f t="shared" si="16"/>
        <v>21192662.958269402</v>
      </c>
      <c r="E120" s="128">
        <f t="shared" si="25"/>
        <v>4.4609999999999997E-2</v>
      </c>
      <c r="F120" s="225">
        <f t="shared" si="24"/>
        <v>-29433028.801714323</v>
      </c>
      <c r="G120" s="18">
        <f t="shared" si="17"/>
        <v>28365490.156555079</v>
      </c>
      <c r="H120" s="129">
        <f t="shared" si="18"/>
        <v>0.5092350000000001</v>
      </c>
      <c r="I120" s="18">
        <f t="shared" si="19"/>
        <v>7172827.1982856765</v>
      </c>
      <c r="J120" s="18">
        <f t="shared" si="20"/>
        <v>1506294</v>
      </c>
      <c r="N120" s="18"/>
      <c r="O120" s="248"/>
      <c r="P120" s="18"/>
    </row>
    <row r="121" spans="1:16" x14ac:dyDescent="0.2">
      <c r="A121" s="11">
        <v>2035</v>
      </c>
      <c r="B121" s="11">
        <v>7</v>
      </c>
      <c r="C121" s="18">
        <f t="shared" si="26"/>
        <v>-36926960</v>
      </c>
      <c r="D121" s="18">
        <f t="shared" si="16"/>
        <v>20871558.958269402</v>
      </c>
      <c r="E121" s="128">
        <f t="shared" si="25"/>
        <v>4.4609999999999997E-2</v>
      </c>
      <c r="F121" s="225">
        <f t="shared" si="24"/>
        <v>-29647894.795941688</v>
      </c>
      <c r="G121" s="18">
        <f t="shared" si="17"/>
        <v>28150624.162327714</v>
      </c>
      <c r="H121" s="129">
        <f t="shared" si="18"/>
        <v>0.51295250000000003</v>
      </c>
      <c r="I121" s="18">
        <f t="shared" si="19"/>
        <v>7279065.2040583119</v>
      </c>
      <c r="J121" s="18">
        <f t="shared" si="20"/>
        <v>1528604</v>
      </c>
      <c r="N121" s="18"/>
      <c r="O121" s="248"/>
      <c r="P121" s="18"/>
    </row>
    <row r="122" spans="1:16" x14ac:dyDescent="0.2">
      <c r="A122" s="11">
        <v>2035</v>
      </c>
      <c r="B122" s="11">
        <v>8</v>
      </c>
      <c r="C122" s="18">
        <f t="shared" si="26"/>
        <v>-37248064</v>
      </c>
      <c r="D122" s="18">
        <f t="shared" si="16"/>
        <v>20550454.958269402</v>
      </c>
      <c r="E122" s="128">
        <f t="shared" si="25"/>
        <v>4.4609999999999997E-2</v>
      </c>
      <c r="F122" s="225">
        <f t="shared" si="24"/>
        <v>-29862760.790169053</v>
      </c>
      <c r="G122" s="18">
        <f t="shared" si="17"/>
        <v>27935758.16810035</v>
      </c>
      <c r="H122" s="129">
        <f t="shared" si="18"/>
        <v>0.51666999999999996</v>
      </c>
      <c r="I122" s="18">
        <f t="shared" si="19"/>
        <v>7385303.2098309472</v>
      </c>
      <c r="J122" s="18">
        <f t="shared" si="20"/>
        <v>1550914</v>
      </c>
      <c r="N122" s="18"/>
      <c r="O122" s="248"/>
      <c r="P122" s="18"/>
    </row>
    <row r="123" spans="1:16" x14ac:dyDescent="0.2">
      <c r="A123" s="11">
        <v>2035</v>
      </c>
      <c r="B123" s="11">
        <v>9</v>
      </c>
      <c r="C123" s="18">
        <f t="shared" si="26"/>
        <v>-37569168</v>
      </c>
      <c r="D123" s="18">
        <f t="shared" si="16"/>
        <v>20229350.958269402</v>
      </c>
      <c r="E123" s="128">
        <f t="shared" si="25"/>
        <v>4.4609999999999997E-2</v>
      </c>
      <c r="F123" s="225">
        <f t="shared" si="24"/>
        <v>-30077626.784396417</v>
      </c>
      <c r="G123" s="18">
        <f t="shared" si="17"/>
        <v>27720892.173872985</v>
      </c>
      <c r="H123" s="129">
        <f t="shared" si="18"/>
        <v>0.5203875</v>
      </c>
      <c r="I123" s="18">
        <f t="shared" si="19"/>
        <v>7491541.2156035826</v>
      </c>
      <c r="J123" s="18">
        <f t="shared" si="20"/>
        <v>1573224</v>
      </c>
      <c r="N123" s="18"/>
      <c r="O123" s="248"/>
      <c r="P123" s="18"/>
    </row>
    <row r="124" spans="1:16" x14ac:dyDescent="0.2">
      <c r="A124" s="11">
        <v>2035</v>
      </c>
      <c r="B124" s="11">
        <v>10</v>
      </c>
      <c r="C124" s="18">
        <f t="shared" si="26"/>
        <v>-37890272</v>
      </c>
      <c r="D124" s="18">
        <f t="shared" si="16"/>
        <v>19908246.958269402</v>
      </c>
      <c r="E124" s="128">
        <f t="shared" si="25"/>
        <v>4.4609999999999997E-2</v>
      </c>
      <c r="F124" s="225">
        <f t="shared" si="24"/>
        <v>-30292492.778623782</v>
      </c>
      <c r="G124" s="18">
        <f t="shared" si="17"/>
        <v>27506026.17964562</v>
      </c>
      <c r="H124" s="129">
        <f t="shared" si="18"/>
        <v>0.52410499999999993</v>
      </c>
      <c r="I124" s="18">
        <f t="shared" si="19"/>
        <v>7597779.2213762179</v>
      </c>
      <c r="J124" s="18">
        <f t="shared" si="20"/>
        <v>1595534</v>
      </c>
      <c r="N124" s="18"/>
      <c r="O124" s="248"/>
      <c r="P124" s="18"/>
    </row>
    <row r="125" spans="1:16" x14ac:dyDescent="0.2">
      <c r="A125" s="11">
        <v>2035</v>
      </c>
      <c r="B125" s="11">
        <v>11</v>
      </c>
      <c r="C125" s="18">
        <f t="shared" si="26"/>
        <v>-38211376</v>
      </c>
      <c r="D125" s="18">
        <f t="shared" si="16"/>
        <v>19587142.958269402</v>
      </c>
      <c r="E125" s="128">
        <f t="shared" si="25"/>
        <v>4.4609999999999997E-2</v>
      </c>
      <c r="F125" s="225">
        <f t="shared" si="24"/>
        <v>-30507358.772851147</v>
      </c>
      <c r="G125" s="18">
        <f t="shared" si="17"/>
        <v>27291160.185418256</v>
      </c>
      <c r="H125" s="129">
        <f t="shared" si="18"/>
        <v>0.52782249999999986</v>
      </c>
      <c r="I125" s="18">
        <f t="shared" si="19"/>
        <v>7704017.2271488532</v>
      </c>
      <c r="J125" s="18">
        <f t="shared" si="20"/>
        <v>1617844</v>
      </c>
      <c r="N125" s="18"/>
      <c r="O125" s="248"/>
      <c r="P125" s="18"/>
    </row>
    <row r="126" spans="1:16" x14ac:dyDescent="0.2">
      <c r="A126" s="11">
        <v>2035</v>
      </c>
      <c r="B126" s="11">
        <v>12</v>
      </c>
      <c r="C126" s="18">
        <f t="shared" si="26"/>
        <v>-38532480</v>
      </c>
      <c r="D126" s="18">
        <f t="shared" si="16"/>
        <v>19266038.958269402</v>
      </c>
      <c r="E126" s="128">
        <f t="shared" si="25"/>
        <v>4.4609999999999997E-2</v>
      </c>
      <c r="F126" s="225">
        <f t="shared" si="24"/>
        <v>-30722224.767078511</v>
      </c>
      <c r="G126" s="18">
        <f t="shared" si="17"/>
        <v>27076294.191190891</v>
      </c>
      <c r="H126" s="129">
        <f t="shared" si="18"/>
        <v>0.5315399999999999</v>
      </c>
      <c r="I126" s="18">
        <f t="shared" si="19"/>
        <v>7810255.2329214886</v>
      </c>
      <c r="J126" s="18">
        <f t="shared" si="20"/>
        <v>1640154</v>
      </c>
      <c r="N126" s="18"/>
      <c r="O126" s="248"/>
      <c r="P126" s="18"/>
    </row>
    <row r="127" spans="1:16" x14ac:dyDescent="0.2">
      <c r="A127" s="11">
        <v>2036</v>
      </c>
      <c r="B127" s="11">
        <v>1</v>
      </c>
      <c r="C127" s="18">
        <f t="shared" si="26"/>
        <v>-38853584</v>
      </c>
      <c r="D127" s="18">
        <f t="shared" si="16"/>
        <v>18944934.958269402</v>
      </c>
      <c r="E127" s="128">
        <f t="shared" si="25"/>
        <v>4.462E-2</v>
      </c>
      <c r="F127" s="225">
        <f t="shared" si="24"/>
        <v>-30937138.926738344</v>
      </c>
      <c r="G127" s="18">
        <f t="shared" si="17"/>
        <v>26861380.031531058</v>
      </c>
      <c r="H127" s="129">
        <f t="shared" si="18"/>
        <v>0.53525833333333328</v>
      </c>
      <c r="I127" s="18">
        <f t="shared" si="19"/>
        <v>7916445.0732616559</v>
      </c>
      <c r="J127" s="18">
        <f t="shared" si="20"/>
        <v>1662453</v>
      </c>
      <c r="N127" s="18"/>
      <c r="O127" s="248"/>
      <c r="P127" s="18"/>
    </row>
    <row r="128" spans="1:16" x14ac:dyDescent="0.2">
      <c r="A128" s="11">
        <v>2036</v>
      </c>
      <c r="B128" s="11">
        <v>2</v>
      </c>
      <c r="C128" s="18">
        <f t="shared" si="26"/>
        <v>-39174688</v>
      </c>
      <c r="D128" s="18">
        <f t="shared" si="16"/>
        <v>18623830.958269402</v>
      </c>
      <c r="E128" s="128">
        <f t="shared" si="25"/>
        <v>4.462E-2</v>
      </c>
      <c r="F128" s="225">
        <f t="shared" si="24"/>
        <v>-31152053.086398177</v>
      </c>
      <c r="G128" s="18">
        <f t="shared" si="17"/>
        <v>26646465.871871226</v>
      </c>
      <c r="H128" s="129">
        <f t="shared" si="18"/>
        <v>0.53897666666666655</v>
      </c>
      <c r="I128" s="18">
        <f t="shared" si="19"/>
        <v>8022634.9136018232</v>
      </c>
      <c r="J128" s="18">
        <f t="shared" si="20"/>
        <v>1684753</v>
      </c>
      <c r="N128" s="18"/>
      <c r="O128" s="248"/>
      <c r="P128" s="18"/>
    </row>
    <row r="129" spans="1:16" x14ac:dyDescent="0.2">
      <c r="A129" s="11">
        <v>2036</v>
      </c>
      <c r="B129" s="11">
        <v>3</v>
      </c>
      <c r="C129" s="18">
        <f t="shared" si="26"/>
        <v>-39495792</v>
      </c>
      <c r="D129" s="18">
        <f t="shared" si="16"/>
        <v>18302726.958269402</v>
      </c>
      <c r="E129" s="128">
        <f t="shared" si="25"/>
        <v>4.462E-2</v>
      </c>
      <c r="F129" s="225">
        <f t="shared" si="24"/>
        <v>-31366967.24605801</v>
      </c>
      <c r="G129" s="18">
        <f t="shared" si="17"/>
        <v>26431551.712211393</v>
      </c>
      <c r="H129" s="129">
        <f t="shared" si="18"/>
        <v>0.54269499999999993</v>
      </c>
      <c r="I129" s="18">
        <f t="shared" si="19"/>
        <v>8128824.7539419904</v>
      </c>
      <c r="J129" s="18">
        <f t="shared" si="20"/>
        <v>1707053</v>
      </c>
      <c r="N129" s="18"/>
      <c r="O129" s="248"/>
      <c r="P129" s="18"/>
    </row>
    <row r="130" spans="1:16" x14ac:dyDescent="0.2">
      <c r="A130" s="11">
        <v>2036</v>
      </c>
      <c r="B130" s="11">
        <v>4</v>
      </c>
      <c r="C130" s="18">
        <f t="shared" si="26"/>
        <v>-39816896</v>
      </c>
      <c r="D130" s="18">
        <f t="shared" si="16"/>
        <v>17981622.958269402</v>
      </c>
      <c r="E130" s="128">
        <f t="shared" si="25"/>
        <v>4.462E-2</v>
      </c>
      <c r="F130" s="225">
        <f t="shared" si="24"/>
        <v>-31581881.405717842</v>
      </c>
      <c r="G130" s="18">
        <f t="shared" si="17"/>
        <v>26216637.55255156</v>
      </c>
      <c r="H130" s="129">
        <f t="shared" si="18"/>
        <v>0.54641333333333331</v>
      </c>
      <c r="I130" s="18">
        <f t="shared" si="19"/>
        <v>8235014.5942821577</v>
      </c>
      <c r="J130" s="18">
        <f t="shared" si="20"/>
        <v>1729353</v>
      </c>
      <c r="N130" s="18"/>
      <c r="O130" s="248"/>
      <c r="P130" s="18"/>
    </row>
    <row r="131" spans="1:16" x14ac:dyDescent="0.2">
      <c r="A131" s="11">
        <v>2036</v>
      </c>
      <c r="B131" s="11">
        <v>5</v>
      </c>
      <c r="C131" s="18">
        <f t="shared" si="26"/>
        <v>-40138000</v>
      </c>
      <c r="D131" s="18">
        <f t="shared" si="16"/>
        <v>17660518.958269402</v>
      </c>
      <c r="E131" s="128">
        <f t="shared" si="25"/>
        <v>4.462E-2</v>
      </c>
      <c r="F131" s="225">
        <f t="shared" si="24"/>
        <v>-31796795.565377675</v>
      </c>
      <c r="G131" s="18">
        <f t="shared" si="17"/>
        <v>26001723.392891727</v>
      </c>
      <c r="H131" s="129">
        <f t="shared" si="18"/>
        <v>0.55013166666666669</v>
      </c>
      <c r="I131" s="18">
        <f t="shared" si="19"/>
        <v>8341204.434622325</v>
      </c>
      <c r="J131" s="18">
        <f t="shared" si="20"/>
        <v>1751653</v>
      </c>
      <c r="N131" s="18"/>
      <c r="O131" s="248"/>
      <c r="P131" s="18"/>
    </row>
    <row r="132" spans="1:16" x14ac:dyDescent="0.2">
      <c r="A132" s="11">
        <v>2036</v>
      </c>
      <c r="B132" s="11">
        <v>6</v>
      </c>
      <c r="C132" s="18">
        <f t="shared" si="26"/>
        <v>-40459104</v>
      </c>
      <c r="D132" s="18">
        <f t="shared" si="16"/>
        <v>17339414.958269402</v>
      </c>
      <c r="E132" s="128">
        <f t="shared" si="25"/>
        <v>4.462E-2</v>
      </c>
      <c r="F132" s="225">
        <f t="shared" si="24"/>
        <v>-32011709.725037508</v>
      </c>
      <c r="G132" s="18">
        <f t="shared" si="17"/>
        <v>25786809.233231895</v>
      </c>
      <c r="H132" s="129">
        <f t="shared" si="18"/>
        <v>0.55384999999999995</v>
      </c>
      <c r="I132" s="18">
        <f t="shared" si="19"/>
        <v>8447394.2749624923</v>
      </c>
      <c r="J132" s="18">
        <f t="shared" si="20"/>
        <v>1773953</v>
      </c>
      <c r="N132" s="18"/>
      <c r="O132" s="248"/>
      <c r="P132" s="18"/>
    </row>
    <row r="133" spans="1:16" x14ac:dyDescent="0.2">
      <c r="A133" s="11">
        <v>2036</v>
      </c>
      <c r="B133" s="11">
        <v>7</v>
      </c>
      <c r="C133" s="18">
        <f t="shared" si="26"/>
        <v>-40780208</v>
      </c>
      <c r="D133" s="18">
        <f t="shared" si="16"/>
        <v>17018310.958269402</v>
      </c>
      <c r="E133" s="128">
        <f t="shared" si="25"/>
        <v>4.462E-2</v>
      </c>
      <c r="F133" s="225">
        <f t="shared" si="24"/>
        <v>-32226623.88469734</v>
      </c>
      <c r="G133" s="18">
        <f t="shared" si="17"/>
        <v>25571895.073572062</v>
      </c>
      <c r="H133" s="129">
        <f t="shared" si="18"/>
        <v>0.55756833333333333</v>
      </c>
      <c r="I133" s="18">
        <f t="shared" si="19"/>
        <v>8553584.1153026596</v>
      </c>
      <c r="J133" s="18">
        <f t="shared" si="20"/>
        <v>1796253</v>
      </c>
      <c r="N133" s="18"/>
      <c r="O133" s="248"/>
      <c r="P133" s="18"/>
    </row>
    <row r="134" spans="1:16" x14ac:dyDescent="0.2">
      <c r="A134" s="11">
        <v>2036</v>
      </c>
      <c r="B134" s="11">
        <v>8</v>
      </c>
      <c r="C134" s="18">
        <f t="shared" si="26"/>
        <v>-41101312</v>
      </c>
      <c r="D134" s="18">
        <f t="shared" si="16"/>
        <v>16697206.958269402</v>
      </c>
      <c r="E134" s="128">
        <f t="shared" si="25"/>
        <v>4.462E-2</v>
      </c>
      <c r="F134" s="225">
        <f t="shared" si="24"/>
        <v>-32441538.044357173</v>
      </c>
      <c r="G134" s="18">
        <f t="shared" si="17"/>
        <v>25356980.913912229</v>
      </c>
      <c r="H134" s="129">
        <f t="shared" si="18"/>
        <v>0.56128666666666671</v>
      </c>
      <c r="I134" s="18">
        <f t="shared" si="19"/>
        <v>8659773.9556428269</v>
      </c>
      <c r="J134" s="18">
        <f t="shared" si="20"/>
        <v>1818553</v>
      </c>
      <c r="N134" s="18"/>
      <c r="O134" s="248"/>
      <c r="P134" s="18"/>
    </row>
    <row r="135" spans="1:16" x14ac:dyDescent="0.2">
      <c r="A135" s="11">
        <v>2036</v>
      </c>
      <c r="B135" s="11">
        <v>9</v>
      </c>
      <c r="C135" s="18">
        <f t="shared" si="26"/>
        <v>-41422416</v>
      </c>
      <c r="D135" s="18">
        <f t="shared" si="16"/>
        <v>16376102.958269402</v>
      </c>
      <c r="E135" s="128">
        <f t="shared" ref="E135:E166" si="27">VLOOKUP(A135-($C$2-1),$D$198:$G$219,4)</f>
        <v>4.462E-2</v>
      </c>
      <c r="F135" s="225">
        <f t="shared" si="24"/>
        <v>-32656452.204017006</v>
      </c>
      <c r="G135" s="18">
        <f t="shared" si="17"/>
        <v>25142066.754252397</v>
      </c>
      <c r="H135" s="129">
        <f t="shared" si="18"/>
        <v>0.56500500000000009</v>
      </c>
      <c r="I135" s="18">
        <f t="shared" si="19"/>
        <v>8765963.7959829941</v>
      </c>
      <c r="J135" s="18">
        <f t="shared" si="20"/>
        <v>1840852</v>
      </c>
      <c r="N135" s="18"/>
      <c r="O135" s="248"/>
      <c r="P135" s="18"/>
    </row>
    <row r="136" spans="1:16" x14ac:dyDescent="0.2">
      <c r="A136" s="11">
        <v>2036</v>
      </c>
      <c r="B136" s="11">
        <v>10</v>
      </c>
      <c r="C136" s="18">
        <f t="shared" ref="C136:C167" si="28">-(ROUND($C$1*$C$4/12,0)-C135)</f>
        <v>-41743520</v>
      </c>
      <c r="D136" s="18">
        <f t="shared" ref="D136:D186" si="29">$C$1+C136</f>
        <v>16054998.958269402</v>
      </c>
      <c r="E136" s="128">
        <f t="shared" si="27"/>
        <v>4.462E-2</v>
      </c>
      <c r="F136" s="225">
        <f t="shared" si="24"/>
        <v>-32871366.363676839</v>
      </c>
      <c r="G136" s="18">
        <f t="shared" ref="G136:G186" si="30">$C$1+F136</f>
        <v>24927152.594592564</v>
      </c>
      <c r="H136" s="129">
        <f t="shared" ref="H136:H186" si="31">-(G136-$C$1)/$C$1</f>
        <v>0.56872333333333336</v>
      </c>
      <c r="I136" s="18">
        <f t="shared" ref="I136:I186" si="32">G136-D136</f>
        <v>8872153.6363231614</v>
      </c>
      <c r="J136" s="18">
        <f t="shared" ref="J136:J186" si="33">ROUND(I136*$C$3,0)</f>
        <v>1863152</v>
      </c>
      <c r="N136" s="18"/>
      <c r="O136" s="248"/>
      <c r="P136" s="18"/>
    </row>
    <row r="137" spans="1:16" x14ac:dyDescent="0.2">
      <c r="A137" s="11">
        <v>2036</v>
      </c>
      <c r="B137" s="11">
        <v>11</v>
      </c>
      <c r="C137" s="18">
        <f t="shared" si="28"/>
        <v>-42064624</v>
      </c>
      <c r="D137" s="18">
        <f t="shared" si="29"/>
        <v>15733894.958269402</v>
      </c>
      <c r="E137" s="128">
        <f t="shared" si="27"/>
        <v>4.462E-2</v>
      </c>
      <c r="F137" s="225">
        <f t="shared" si="24"/>
        <v>-33086280.523336671</v>
      </c>
      <c r="G137" s="18">
        <f t="shared" si="30"/>
        <v>24712238.434932731</v>
      </c>
      <c r="H137" s="129">
        <f t="shared" si="31"/>
        <v>0.57244166666666674</v>
      </c>
      <c r="I137" s="18">
        <f t="shared" si="32"/>
        <v>8978343.4766633287</v>
      </c>
      <c r="J137" s="18">
        <f t="shared" si="33"/>
        <v>1885452</v>
      </c>
      <c r="N137" s="18"/>
      <c r="O137" s="248"/>
      <c r="P137" s="18"/>
    </row>
    <row r="138" spans="1:16" x14ac:dyDescent="0.2">
      <c r="A138" s="11">
        <v>2036</v>
      </c>
      <c r="B138" s="11">
        <v>12</v>
      </c>
      <c r="C138" s="18">
        <f t="shared" si="28"/>
        <v>-42385728</v>
      </c>
      <c r="D138" s="18">
        <f t="shared" si="29"/>
        <v>15412790.958269402</v>
      </c>
      <c r="E138" s="128">
        <f t="shared" si="27"/>
        <v>4.462E-2</v>
      </c>
      <c r="F138" s="225">
        <f t="shared" si="24"/>
        <v>-33301194.682996504</v>
      </c>
      <c r="G138" s="18">
        <f t="shared" si="30"/>
        <v>24497324.275272898</v>
      </c>
      <c r="H138" s="129">
        <f t="shared" si="31"/>
        <v>0.57616000000000012</v>
      </c>
      <c r="I138" s="18">
        <f t="shared" si="32"/>
        <v>9084533.317003496</v>
      </c>
      <c r="J138" s="18">
        <f t="shared" si="33"/>
        <v>1907752</v>
      </c>
      <c r="N138" s="18"/>
      <c r="O138" s="248"/>
      <c r="P138" s="18"/>
    </row>
    <row r="139" spans="1:16" x14ac:dyDescent="0.2">
      <c r="A139" s="11">
        <v>2037</v>
      </c>
      <c r="B139" s="11">
        <v>1</v>
      </c>
      <c r="C139" s="18">
        <f t="shared" si="28"/>
        <v>-42706832</v>
      </c>
      <c r="D139" s="18">
        <f t="shared" si="29"/>
        <v>15091686.958269402</v>
      </c>
      <c r="E139" s="128">
        <f t="shared" si="27"/>
        <v>4.4609999999999997E-2</v>
      </c>
      <c r="F139" s="225">
        <f t="shared" si="24"/>
        <v>-33516060.677223869</v>
      </c>
      <c r="G139" s="18">
        <f t="shared" si="30"/>
        <v>24282458.281045534</v>
      </c>
      <c r="H139" s="129">
        <f t="shared" si="31"/>
        <v>0.57987750000000005</v>
      </c>
      <c r="I139" s="18">
        <f t="shared" si="32"/>
        <v>9190771.3227761313</v>
      </c>
      <c r="J139" s="18">
        <f t="shared" si="33"/>
        <v>1930062</v>
      </c>
      <c r="N139" s="18"/>
      <c r="O139" s="248"/>
      <c r="P139" s="18"/>
    </row>
    <row r="140" spans="1:16" x14ac:dyDescent="0.2">
      <c r="A140" s="11">
        <v>2037</v>
      </c>
      <c r="B140" s="11">
        <v>2</v>
      </c>
      <c r="C140" s="18">
        <f t="shared" si="28"/>
        <v>-43027936</v>
      </c>
      <c r="D140" s="18">
        <f t="shared" si="29"/>
        <v>14770582.958269402</v>
      </c>
      <c r="E140" s="128">
        <f t="shared" si="27"/>
        <v>4.4609999999999997E-2</v>
      </c>
      <c r="F140" s="225">
        <f t="shared" si="24"/>
        <v>-33730926.671451233</v>
      </c>
      <c r="G140" s="18">
        <f t="shared" si="30"/>
        <v>24067592.286818169</v>
      </c>
      <c r="H140" s="129">
        <f t="shared" si="31"/>
        <v>0.58359499999999997</v>
      </c>
      <c r="I140" s="18">
        <f t="shared" si="32"/>
        <v>9297009.3285487667</v>
      </c>
      <c r="J140" s="18">
        <f t="shared" si="33"/>
        <v>1952372</v>
      </c>
      <c r="N140" s="18"/>
      <c r="O140" s="248"/>
      <c r="P140" s="18"/>
    </row>
    <row r="141" spans="1:16" x14ac:dyDescent="0.2">
      <c r="A141" s="11">
        <v>2037</v>
      </c>
      <c r="B141" s="11">
        <v>3</v>
      </c>
      <c r="C141" s="18">
        <f t="shared" si="28"/>
        <v>-43349040</v>
      </c>
      <c r="D141" s="18">
        <f t="shared" si="29"/>
        <v>14449478.958269402</v>
      </c>
      <c r="E141" s="128">
        <f t="shared" si="27"/>
        <v>4.4609999999999997E-2</v>
      </c>
      <c r="F141" s="225">
        <f t="shared" si="24"/>
        <v>-33945792.665678598</v>
      </c>
      <c r="G141" s="18">
        <f t="shared" si="30"/>
        <v>23852726.292590804</v>
      </c>
      <c r="H141" s="129">
        <f t="shared" si="31"/>
        <v>0.58731250000000002</v>
      </c>
      <c r="I141" s="18">
        <f t="shared" si="32"/>
        <v>9403247.334321402</v>
      </c>
      <c r="J141" s="18">
        <f t="shared" si="33"/>
        <v>1974682</v>
      </c>
      <c r="N141" s="18"/>
      <c r="O141" s="248"/>
      <c r="P141" s="18"/>
    </row>
    <row r="142" spans="1:16" x14ac:dyDescent="0.2">
      <c r="A142" s="11">
        <v>2037</v>
      </c>
      <c r="B142" s="11">
        <v>4</v>
      </c>
      <c r="C142" s="18">
        <f t="shared" si="28"/>
        <v>-43670144</v>
      </c>
      <c r="D142" s="18">
        <f t="shared" si="29"/>
        <v>14128374.958269402</v>
      </c>
      <c r="E142" s="128">
        <f t="shared" si="27"/>
        <v>4.4609999999999997E-2</v>
      </c>
      <c r="F142" s="225">
        <f t="shared" si="24"/>
        <v>-34160658.659905963</v>
      </c>
      <c r="G142" s="18">
        <f t="shared" si="30"/>
        <v>23637860.29836344</v>
      </c>
      <c r="H142" s="129">
        <f t="shared" si="31"/>
        <v>0.59102999999999994</v>
      </c>
      <c r="I142" s="18">
        <f t="shared" si="32"/>
        <v>9509485.3400940374</v>
      </c>
      <c r="J142" s="18">
        <f t="shared" si="33"/>
        <v>1996992</v>
      </c>
      <c r="N142" s="18"/>
      <c r="O142" s="248"/>
      <c r="P142" s="18"/>
    </row>
    <row r="143" spans="1:16" x14ac:dyDescent="0.2">
      <c r="A143" s="11">
        <v>2037</v>
      </c>
      <c r="B143" s="11">
        <v>5</v>
      </c>
      <c r="C143" s="18">
        <f t="shared" si="28"/>
        <v>-43991248</v>
      </c>
      <c r="D143" s="18">
        <f t="shared" si="29"/>
        <v>13807270.958269402</v>
      </c>
      <c r="E143" s="128">
        <f t="shared" si="27"/>
        <v>4.4609999999999997E-2</v>
      </c>
      <c r="F143" s="225">
        <f t="shared" si="24"/>
        <v>-34375524.654133327</v>
      </c>
      <c r="G143" s="18">
        <f t="shared" si="30"/>
        <v>23422994.304136075</v>
      </c>
      <c r="H143" s="129">
        <f t="shared" si="31"/>
        <v>0.59474749999999998</v>
      </c>
      <c r="I143" s="18">
        <f t="shared" si="32"/>
        <v>9615723.3458666727</v>
      </c>
      <c r="J143" s="18">
        <f t="shared" si="33"/>
        <v>2019302</v>
      </c>
      <c r="N143" s="18"/>
      <c r="O143" s="248"/>
      <c r="P143" s="18"/>
    </row>
    <row r="144" spans="1:16" x14ac:dyDescent="0.2">
      <c r="A144" s="11">
        <v>2037</v>
      </c>
      <c r="B144" s="11">
        <v>6</v>
      </c>
      <c r="C144" s="18">
        <f t="shared" si="28"/>
        <v>-44312352</v>
      </c>
      <c r="D144" s="18">
        <f t="shared" si="29"/>
        <v>13486166.958269402</v>
      </c>
      <c r="E144" s="128">
        <f t="shared" si="27"/>
        <v>4.4609999999999997E-2</v>
      </c>
      <c r="F144" s="225">
        <f t="shared" si="24"/>
        <v>-34590390.648360692</v>
      </c>
      <c r="G144" s="18">
        <f t="shared" si="30"/>
        <v>23208128.30990871</v>
      </c>
      <c r="H144" s="129">
        <f t="shared" si="31"/>
        <v>0.59846499999999991</v>
      </c>
      <c r="I144" s="18">
        <f t="shared" si="32"/>
        <v>9721961.351639308</v>
      </c>
      <c r="J144" s="18">
        <f t="shared" si="33"/>
        <v>2041612</v>
      </c>
      <c r="N144" s="18"/>
      <c r="O144" s="248"/>
      <c r="P144" s="18"/>
    </row>
    <row r="145" spans="1:16" x14ac:dyDescent="0.2">
      <c r="A145" s="11">
        <v>2037</v>
      </c>
      <c r="B145" s="11">
        <v>7</v>
      </c>
      <c r="C145" s="18">
        <f t="shared" si="28"/>
        <v>-44633456</v>
      </c>
      <c r="D145" s="18">
        <f t="shared" si="29"/>
        <v>13165062.958269402</v>
      </c>
      <c r="E145" s="128">
        <f t="shared" si="27"/>
        <v>4.4609999999999997E-2</v>
      </c>
      <c r="F145" s="225">
        <f t="shared" si="24"/>
        <v>-34805256.642588057</v>
      </c>
      <c r="G145" s="18">
        <f t="shared" si="30"/>
        <v>22993262.315681346</v>
      </c>
      <c r="H145" s="129">
        <f t="shared" si="31"/>
        <v>0.60218249999999984</v>
      </c>
      <c r="I145" s="18">
        <f t="shared" si="32"/>
        <v>9828199.3574119434</v>
      </c>
      <c r="J145" s="18">
        <f t="shared" si="33"/>
        <v>2063922</v>
      </c>
      <c r="N145" s="18"/>
      <c r="O145" s="248"/>
      <c r="P145" s="18"/>
    </row>
    <row r="146" spans="1:16" x14ac:dyDescent="0.2">
      <c r="A146" s="11">
        <v>2037</v>
      </c>
      <c r="B146" s="11">
        <v>8</v>
      </c>
      <c r="C146" s="18">
        <f t="shared" si="28"/>
        <v>-44954560</v>
      </c>
      <c r="D146" s="18">
        <f t="shared" si="29"/>
        <v>12843958.958269402</v>
      </c>
      <c r="E146" s="128">
        <f t="shared" si="27"/>
        <v>4.4609999999999997E-2</v>
      </c>
      <c r="F146" s="225">
        <f t="shared" si="24"/>
        <v>-35020122.636815421</v>
      </c>
      <c r="G146" s="18">
        <f t="shared" si="30"/>
        <v>22778396.321453981</v>
      </c>
      <c r="H146" s="129">
        <f t="shared" si="31"/>
        <v>0.60589999999999988</v>
      </c>
      <c r="I146" s="18">
        <f t="shared" si="32"/>
        <v>9934437.3631845787</v>
      </c>
      <c r="J146" s="18">
        <f t="shared" si="33"/>
        <v>2086232</v>
      </c>
      <c r="N146" s="18"/>
      <c r="O146" s="248"/>
      <c r="P146" s="18"/>
    </row>
    <row r="147" spans="1:16" x14ac:dyDescent="0.2">
      <c r="A147" s="11">
        <v>2037</v>
      </c>
      <c r="B147" s="11">
        <v>9</v>
      </c>
      <c r="C147" s="18">
        <f t="shared" si="28"/>
        <v>-45275664</v>
      </c>
      <c r="D147" s="18">
        <f t="shared" si="29"/>
        <v>12522854.958269402</v>
      </c>
      <c r="E147" s="128">
        <f t="shared" si="27"/>
        <v>4.4609999999999997E-2</v>
      </c>
      <c r="F147" s="225">
        <f t="shared" si="24"/>
        <v>-35234988.631042786</v>
      </c>
      <c r="G147" s="18">
        <f t="shared" si="30"/>
        <v>22563530.327226616</v>
      </c>
      <c r="H147" s="129">
        <f t="shared" si="31"/>
        <v>0.60961749999999981</v>
      </c>
      <c r="I147" s="18">
        <f t="shared" si="32"/>
        <v>10040675.368957214</v>
      </c>
      <c r="J147" s="18">
        <f t="shared" si="33"/>
        <v>2108542</v>
      </c>
      <c r="N147" s="18"/>
      <c r="O147" s="248"/>
      <c r="P147" s="18"/>
    </row>
    <row r="148" spans="1:16" x14ac:dyDescent="0.2">
      <c r="A148" s="11">
        <v>2037</v>
      </c>
      <c r="B148" s="11">
        <v>10</v>
      </c>
      <c r="C148" s="18">
        <f t="shared" si="28"/>
        <v>-45596768</v>
      </c>
      <c r="D148" s="18">
        <f t="shared" si="29"/>
        <v>12201750.958269402</v>
      </c>
      <c r="E148" s="128">
        <f t="shared" si="27"/>
        <v>4.4609999999999997E-2</v>
      </c>
      <c r="F148" s="225">
        <f t="shared" ref="F148:F186" si="34">-$C$1*E148/12+F147</f>
        <v>-35449854.625270151</v>
      </c>
      <c r="G148" s="18">
        <f t="shared" si="30"/>
        <v>22348664.332999252</v>
      </c>
      <c r="H148" s="129">
        <f t="shared" si="31"/>
        <v>0.61333499999999974</v>
      </c>
      <c r="I148" s="18">
        <f t="shared" si="32"/>
        <v>10146913.374729849</v>
      </c>
      <c r="J148" s="18">
        <f t="shared" si="33"/>
        <v>2130852</v>
      </c>
      <c r="N148" s="18"/>
      <c r="O148" s="248"/>
      <c r="P148" s="18"/>
    </row>
    <row r="149" spans="1:16" x14ac:dyDescent="0.2">
      <c r="A149" s="11">
        <v>2037</v>
      </c>
      <c r="B149" s="11">
        <v>11</v>
      </c>
      <c r="C149" s="18">
        <f t="shared" si="28"/>
        <v>-45917872</v>
      </c>
      <c r="D149" s="18">
        <f t="shared" si="29"/>
        <v>11880646.958269402</v>
      </c>
      <c r="E149" s="128">
        <f t="shared" si="27"/>
        <v>4.4609999999999997E-2</v>
      </c>
      <c r="F149" s="225">
        <f t="shared" si="34"/>
        <v>-35664720.619497515</v>
      </c>
      <c r="G149" s="18">
        <f t="shared" si="30"/>
        <v>22133798.338771887</v>
      </c>
      <c r="H149" s="129">
        <f t="shared" si="31"/>
        <v>0.61705249999999978</v>
      </c>
      <c r="I149" s="18">
        <f t="shared" si="32"/>
        <v>10253151.380502485</v>
      </c>
      <c r="J149" s="18">
        <f t="shared" si="33"/>
        <v>2153162</v>
      </c>
      <c r="N149" s="18"/>
      <c r="O149" s="248"/>
      <c r="P149" s="18"/>
    </row>
    <row r="150" spans="1:16" x14ac:dyDescent="0.2">
      <c r="A150" s="11">
        <v>2037</v>
      </c>
      <c r="B150" s="11">
        <v>12</v>
      </c>
      <c r="C150" s="18">
        <f t="shared" si="28"/>
        <v>-46238976</v>
      </c>
      <c r="D150" s="18">
        <f t="shared" si="29"/>
        <v>11559542.958269402</v>
      </c>
      <c r="E150" s="128">
        <f t="shared" si="27"/>
        <v>4.4609999999999997E-2</v>
      </c>
      <c r="F150" s="225">
        <f t="shared" si="34"/>
        <v>-35879586.61372488</v>
      </c>
      <c r="G150" s="18">
        <f t="shared" si="30"/>
        <v>21918932.344544522</v>
      </c>
      <c r="H150" s="129">
        <f t="shared" si="31"/>
        <v>0.62076999999999971</v>
      </c>
      <c r="I150" s="18">
        <f t="shared" si="32"/>
        <v>10359389.38627512</v>
      </c>
      <c r="J150" s="18">
        <f t="shared" si="33"/>
        <v>2175472</v>
      </c>
      <c r="N150" s="18"/>
      <c r="O150" s="248"/>
      <c r="P150" s="18"/>
    </row>
    <row r="151" spans="1:16" x14ac:dyDescent="0.2">
      <c r="A151" s="11">
        <v>2038</v>
      </c>
      <c r="B151" s="11">
        <v>1</v>
      </c>
      <c r="C151" s="18">
        <f t="shared" si="28"/>
        <v>-46560080</v>
      </c>
      <c r="D151" s="18">
        <f t="shared" si="29"/>
        <v>11238438.958269402</v>
      </c>
      <c r="E151" s="128">
        <f t="shared" si="27"/>
        <v>4.462E-2</v>
      </c>
      <c r="F151" s="225">
        <f t="shared" si="34"/>
        <v>-36094500.773384713</v>
      </c>
      <c r="G151" s="18">
        <f t="shared" si="30"/>
        <v>21704018.18488469</v>
      </c>
      <c r="H151" s="129">
        <f t="shared" si="31"/>
        <v>0.62448833333333309</v>
      </c>
      <c r="I151" s="18">
        <f t="shared" si="32"/>
        <v>10465579.226615287</v>
      </c>
      <c r="J151" s="18">
        <f t="shared" si="33"/>
        <v>2197772</v>
      </c>
      <c r="N151" s="18"/>
      <c r="O151" s="248"/>
      <c r="P151" s="18"/>
    </row>
    <row r="152" spans="1:16" x14ac:dyDescent="0.2">
      <c r="A152" s="11">
        <v>2038</v>
      </c>
      <c r="B152" s="11">
        <v>2</v>
      </c>
      <c r="C152" s="18">
        <f t="shared" si="28"/>
        <v>-46881184</v>
      </c>
      <c r="D152" s="18">
        <f t="shared" si="29"/>
        <v>10917334.958269402</v>
      </c>
      <c r="E152" s="128">
        <f t="shared" si="27"/>
        <v>4.462E-2</v>
      </c>
      <c r="F152" s="225">
        <f t="shared" si="34"/>
        <v>-36309414.933044545</v>
      </c>
      <c r="G152" s="18">
        <f t="shared" si="30"/>
        <v>21489104.025224857</v>
      </c>
      <c r="H152" s="129">
        <f t="shared" si="31"/>
        <v>0.62820666666666636</v>
      </c>
      <c r="I152" s="18">
        <f t="shared" si="32"/>
        <v>10571769.066955455</v>
      </c>
      <c r="J152" s="18">
        <f t="shared" si="33"/>
        <v>2220072</v>
      </c>
      <c r="N152" s="18"/>
      <c r="O152" s="248"/>
      <c r="P152" s="18"/>
    </row>
    <row r="153" spans="1:16" x14ac:dyDescent="0.2">
      <c r="A153" s="11">
        <v>2038</v>
      </c>
      <c r="B153" s="11">
        <v>3</v>
      </c>
      <c r="C153" s="18">
        <f t="shared" si="28"/>
        <v>-47202288</v>
      </c>
      <c r="D153" s="18">
        <f t="shared" si="29"/>
        <v>10596230.958269402</v>
      </c>
      <c r="E153" s="128">
        <f t="shared" si="27"/>
        <v>4.462E-2</v>
      </c>
      <c r="F153" s="225">
        <f t="shared" si="34"/>
        <v>-36524329.092704378</v>
      </c>
      <c r="G153" s="18">
        <f t="shared" si="30"/>
        <v>21274189.865565024</v>
      </c>
      <c r="H153" s="129">
        <f t="shared" si="31"/>
        <v>0.63192499999999974</v>
      </c>
      <c r="I153" s="18">
        <f t="shared" si="32"/>
        <v>10677958.907295622</v>
      </c>
      <c r="J153" s="18">
        <f t="shared" si="33"/>
        <v>2242371</v>
      </c>
      <c r="N153" s="18"/>
      <c r="O153" s="248"/>
      <c r="P153" s="18"/>
    </row>
    <row r="154" spans="1:16" x14ac:dyDescent="0.2">
      <c r="A154" s="11">
        <v>2038</v>
      </c>
      <c r="B154" s="11">
        <v>4</v>
      </c>
      <c r="C154" s="18">
        <f t="shared" si="28"/>
        <v>-47523392</v>
      </c>
      <c r="D154" s="18">
        <f t="shared" si="29"/>
        <v>10275126.958269402</v>
      </c>
      <c r="E154" s="128">
        <f t="shared" si="27"/>
        <v>4.462E-2</v>
      </c>
      <c r="F154" s="225">
        <f t="shared" si="34"/>
        <v>-36739243.252364211</v>
      </c>
      <c r="G154" s="18">
        <f t="shared" si="30"/>
        <v>21059275.705905192</v>
      </c>
      <c r="H154" s="129">
        <f t="shared" si="31"/>
        <v>0.63564333333333312</v>
      </c>
      <c r="I154" s="18">
        <f t="shared" si="32"/>
        <v>10784148.747635789</v>
      </c>
      <c r="J154" s="18">
        <f t="shared" si="33"/>
        <v>2264671</v>
      </c>
      <c r="N154" s="18"/>
      <c r="O154" s="248"/>
      <c r="P154" s="18"/>
    </row>
    <row r="155" spans="1:16" x14ac:dyDescent="0.2">
      <c r="A155" s="11">
        <v>2038</v>
      </c>
      <c r="B155" s="11">
        <v>5</v>
      </c>
      <c r="C155" s="18">
        <f t="shared" si="28"/>
        <v>-47844496</v>
      </c>
      <c r="D155" s="18">
        <f t="shared" si="29"/>
        <v>9954022.9582694024</v>
      </c>
      <c r="E155" s="128">
        <f t="shared" si="27"/>
        <v>4.462E-2</v>
      </c>
      <c r="F155" s="225">
        <f t="shared" si="34"/>
        <v>-36954157.412024044</v>
      </c>
      <c r="G155" s="18">
        <f t="shared" si="30"/>
        <v>20844361.546245359</v>
      </c>
      <c r="H155" s="129">
        <f t="shared" si="31"/>
        <v>0.63936166666666649</v>
      </c>
      <c r="I155" s="18">
        <f t="shared" si="32"/>
        <v>10890338.587975956</v>
      </c>
      <c r="J155" s="18">
        <f t="shared" si="33"/>
        <v>2286971</v>
      </c>
      <c r="N155" s="18"/>
      <c r="O155" s="248"/>
      <c r="P155" s="18"/>
    </row>
    <row r="156" spans="1:16" x14ac:dyDescent="0.2">
      <c r="A156" s="11">
        <v>2038</v>
      </c>
      <c r="B156" s="11">
        <v>6</v>
      </c>
      <c r="C156" s="18">
        <f t="shared" si="28"/>
        <v>-48165600</v>
      </c>
      <c r="D156" s="18">
        <f t="shared" si="29"/>
        <v>9632918.9582694024</v>
      </c>
      <c r="E156" s="128">
        <f t="shared" si="27"/>
        <v>4.462E-2</v>
      </c>
      <c r="F156" s="225">
        <f t="shared" si="34"/>
        <v>-37169071.571683876</v>
      </c>
      <c r="G156" s="18">
        <f t="shared" si="30"/>
        <v>20629447.386585526</v>
      </c>
      <c r="H156" s="129">
        <f t="shared" si="31"/>
        <v>0.64307999999999976</v>
      </c>
      <c r="I156" s="18">
        <f t="shared" si="32"/>
        <v>10996528.428316124</v>
      </c>
      <c r="J156" s="18">
        <f t="shared" si="33"/>
        <v>2309271</v>
      </c>
      <c r="N156" s="18"/>
      <c r="O156" s="248"/>
      <c r="P156" s="18"/>
    </row>
    <row r="157" spans="1:16" x14ac:dyDescent="0.2">
      <c r="A157" s="11">
        <v>2038</v>
      </c>
      <c r="B157" s="11">
        <v>7</v>
      </c>
      <c r="C157" s="18">
        <f t="shared" si="28"/>
        <v>-48486704</v>
      </c>
      <c r="D157" s="18">
        <f t="shared" si="29"/>
        <v>9311814.9582694024</v>
      </c>
      <c r="E157" s="128">
        <f t="shared" si="27"/>
        <v>4.462E-2</v>
      </c>
      <c r="F157" s="225">
        <f t="shared" si="34"/>
        <v>-37383985.731343709</v>
      </c>
      <c r="G157" s="18">
        <f t="shared" si="30"/>
        <v>20414533.226925693</v>
      </c>
      <c r="H157" s="129">
        <f t="shared" si="31"/>
        <v>0.64679833333333314</v>
      </c>
      <c r="I157" s="18">
        <f t="shared" si="32"/>
        <v>11102718.268656291</v>
      </c>
      <c r="J157" s="18">
        <f t="shared" si="33"/>
        <v>2331571</v>
      </c>
      <c r="N157" s="18"/>
      <c r="O157" s="248"/>
      <c r="P157" s="18"/>
    </row>
    <row r="158" spans="1:16" x14ac:dyDescent="0.2">
      <c r="A158" s="11">
        <v>2038</v>
      </c>
      <c r="B158" s="11">
        <v>8</v>
      </c>
      <c r="C158" s="18">
        <f t="shared" si="28"/>
        <v>-48807808</v>
      </c>
      <c r="D158" s="18">
        <f t="shared" si="29"/>
        <v>8990710.9582694024</v>
      </c>
      <c r="E158" s="128">
        <f t="shared" si="27"/>
        <v>4.462E-2</v>
      </c>
      <c r="F158" s="225">
        <f t="shared" si="34"/>
        <v>-37598899.891003542</v>
      </c>
      <c r="G158" s="18">
        <f t="shared" si="30"/>
        <v>20199619.067265861</v>
      </c>
      <c r="H158" s="129">
        <f t="shared" si="31"/>
        <v>0.65051666666666652</v>
      </c>
      <c r="I158" s="18">
        <f t="shared" si="32"/>
        <v>11208908.108996458</v>
      </c>
      <c r="J158" s="18">
        <f t="shared" si="33"/>
        <v>2353871</v>
      </c>
      <c r="N158" s="18"/>
      <c r="O158" s="248"/>
      <c r="P158" s="18"/>
    </row>
    <row r="159" spans="1:16" x14ac:dyDescent="0.2">
      <c r="A159" s="11">
        <v>2038</v>
      </c>
      <c r="B159" s="11">
        <v>9</v>
      </c>
      <c r="C159" s="18">
        <f t="shared" si="28"/>
        <v>-49128912</v>
      </c>
      <c r="D159" s="18">
        <f t="shared" si="29"/>
        <v>8669606.9582694024</v>
      </c>
      <c r="E159" s="128">
        <f t="shared" si="27"/>
        <v>4.462E-2</v>
      </c>
      <c r="F159" s="225">
        <f t="shared" si="34"/>
        <v>-37813814.050663374</v>
      </c>
      <c r="G159" s="18">
        <f t="shared" si="30"/>
        <v>19984704.907606028</v>
      </c>
      <c r="H159" s="129">
        <f t="shared" si="31"/>
        <v>0.6542349999999999</v>
      </c>
      <c r="I159" s="18">
        <f t="shared" si="32"/>
        <v>11315097.949336626</v>
      </c>
      <c r="J159" s="18">
        <f t="shared" si="33"/>
        <v>2376171</v>
      </c>
      <c r="N159" s="18"/>
      <c r="O159" s="248"/>
      <c r="P159" s="18"/>
    </row>
    <row r="160" spans="1:16" x14ac:dyDescent="0.2">
      <c r="A160" s="11">
        <v>2038</v>
      </c>
      <c r="B160" s="11">
        <v>10</v>
      </c>
      <c r="C160" s="18">
        <f t="shared" si="28"/>
        <v>-49450016</v>
      </c>
      <c r="D160" s="18">
        <f t="shared" si="29"/>
        <v>8348502.9582694024</v>
      </c>
      <c r="E160" s="128">
        <f t="shared" si="27"/>
        <v>4.462E-2</v>
      </c>
      <c r="F160" s="225">
        <f t="shared" si="34"/>
        <v>-38028728.210323207</v>
      </c>
      <c r="G160" s="18">
        <f t="shared" si="30"/>
        <v>19769790.747946195</v>
      </c>
      <c r="H160" s="129">
        <f t="shared" si="31"/>
        <v>0.65795333333333317</v>
      </c>
      <c r="I160" s="18">
        <f t="shared" si="32"/>
        <v>11421287.789676793</v>
      </c>
      <c r="J160" s="18">
        <f t="shared" si="33"/>
        <v>2398470</v>
      </c>
      <c r="N160" s="18"/>
      <c r="O160" s="248"/>
      <c r="P160" s="18"/>
    </row>
    <row r="161" spans="1:16" x14ac:dyDescent="0.2">
      <c r="A161" s="11">
        <v>2038</v>
      </c>
      <c r="B161" s="11">
        <v>11</v>
      </c>
      <c r="C161" s="18">
        <f t="shared" si="28"/>
        <v>-49771120</v>
      </c>
      <c r="D161" s="18">
        <f t="shared" si="29"/>
        <v>8027398.9582694024</v>
      </c>
      <c r="E161" s="128">
        <f t="shared" si="27"/>
        <v>4.462E-2</v>
      </c>
      <c r="F161" s="225">
        <f t="shared" si="34"/>
        <v>-38243642.36998304</v>
      </c>
      <c r="G161" s="18">
        <f t="shared" si="30"/>
        <v>19554876.588286363</v>
      </c>
      <c r="H161" s="129">
        <f t="shared" si="31"/>
        <v>0.66167166666666655</v>
      </c>
      <c r="I161" s="18">
        <f t="shared" si="32"/>
        <v>11527477.63001696</v>
      </c>
      <c r="J161" s="18">
        <f t="shared" si="33"/>
        <v>2420770</v>
      </c>
      <c r="N161" s="18"/>
      <c r="O161" s="248"/>
      <c r="P161" s="18"/>
    </row>
    <row r="162" spans="1:16" x14ac:dyDescent="0.2">
      <c r="A162" s="11">
        <v>2038</v>
      </c>
      <c r="B162" s="11">
        <v>12</v>
      </c>
      <c r="C162" s="18">
        <f t="shared" si="28"/>
        <v>-50092224</v>
      </c>
      <c r="D162" s="18">
        <f t="shared" si="29"/>
        <v>7706294.9582694024</v>
      </c>
      <c r="E162" s="128">
        <f t="shared" si="27"/>
        <v>4.462E-2</v>
      </c>
      <c r="F162" s="225">
        <f t="shared" si="34"/>
        <v>-38458556.529642873</v>
      </c>
      <c r="G162" s="18">
        <f t="shared" si="30"/>
        <v>19339962.42862653</v>
      </c>
      <c r="H162" s="129">
        <f t="shared" si="31"/>
        <v>0.66538999999999993</v>
      </c>
      <c r="I162" s="18">
        <f t="shared" si="32"/>
        <v>11633667.470357127</v>
      </c>
      <c r="J162" s="18">
        <f t="shared" si="33"/>
        <v>2443070</v>
      </c>
      <c r="N162" s="18"/>
      <c r="O162" s="248"/>
      <c r="P162" s="18"/>
    </row>
    <row r="163" spans="1:16" x14ac:dyDescent="0.2">
      <c r="A163" s="11">
        <v>2039</v>
      </c>
      <c r="B163" s="11">
        <v>1</v>
      </c>
      <c r="C163" s="18">
        <f t="shared" si="28"/>
        <v>-50413328</v>
      </c>
      <c r="D163" s="18">
        <f t="shared" si="29"/>
        <v>7385190.9582694024</v>
      </c>
      <c r="E163" s="128">
        <f t="shared" si="27"/>
        <v>4.4609999999999997E-2</v>
      </c>
      <c r="F163" s="225">
        <f t="shared" si="34"/>
        <v>-38673422.523870237</v>
      </c>
      <c r="G163" s="18">
        <f t="shared" si="30"/>
        <v>19125096.434399165</v>
      </c>
      <c r="H163" s="129">
        <f t="shared" si="31"/>
        <v>0.66910749999999986</v>
      </c>
      <c r="I163" s="18">
        <f t="shared" si="32"/>
        <v>11739905.476129763</v>
      </c>
      <c r="J163" s="18">
        <f t="shared" si="33"/>
        <v>2465380</v>
      </c>
      <c r="N163" s="18"/>
      <c r="O163" s="248"/>
      <c r="P163" s="18"/>
    </row>
    <row r="164" spans="1:16" x14ac:dyDescent="0.2">
      <c r="A164" s="11">
        <v>2039</v>
      </c>
      <c r="B164" s="11">
        <v>2</v>
      </c>
      <c r="C164" s="18">
        <f t="shared" si="28"/>
        <v>-50734432</v>
      </c>
      <c r="D164" s="18">
        <f t="shared" si="29"/>
        <v>7064086.9582694024</v>
      </c>
      <c r="E164" s="128">
        <f t="shared" si="27"/>
        <v>4.4609999999999997E-2</v>
      </c>
      <c r="F164" s="225">
        <f t="shared" si="34"/>
        <v>-38888288.518097602</v>
      </c>
      <c r="G164" s="18">
        <f t="shared" si="30"/>
        <v>18910230.440171801</v>
      </c>
      <c r="H164" s="129">
        <f t="shared" si="31"/>
        <v>0.6728249999999999</v>
      </c>
      <c r="I164" s="18">
        <f t="shared" si="32"/>
        <v>11846143.481902398</v>
      </c>
      <c r="J164" s="18">
        <f t="shared" si="33"/>
        <v>2487690</v>
      </c>
      <c r="N164" s="18"/>
      <c r="O164" s="248"/>
      <c r="P164" s="18"/>
    </row>
    <row r="165" spans="1:16" x14ac:dyDescent="0.2">
      <c r="A165" s="11">
        <v>2039</v>
      </c>
      <c r="B165" s="11">
        <v>3</v>
      </c>
      <c r="C165" s="18">
        <f t="shared" si="28"/>
        <v>-51055536</v>
      </c>
      <c r="D165" s="18">
        <f t="shared" si="29"/>
        <v>6742982.9582694024</v>
      </c>
      <c r="E165" s="128">
        <f t="shared" si="27"/>
        <v>4.4609999999999997E-2</v>
      </c>
      <c r="F165" s="225">
        <f t="shared" si="34"/>
        <v>-39103154.512324966</v>
      </c>
      <c r="G165" s="18">
        <f t="shared" si="30"/>
        <v>18695364.445944436</v>
      </c>
      <c r="H165" s="129">
        <f t="shared" si="31"/>
        <v>0.67654249999999982</v>
      </c>
      <c r="I165" s="18">
        <f t="shared" si="32"/>
        <v>11952381.487675034</v>
      </c>
      <c r="J165" s="18">
        <f t="shared" si="33"/>
        <v>2510000</v>
      </c>
      <c r="N165" s="18"/>
      <c r="O165" s="248"/>
      <c r="P165" s="18"/>
    </row>
    <row r="166" spans="1:16" x14ac:dyDescent="0.2">
      <c r="A166" s="11">
        <v>2039</v>
      </c>
      <c r="B166" s="11">
        <v>4</v>
      </c>
      <c r="C166" s="18">
        <f t="shared" si="28"/>
        <v>-51376640</v>
      </c>
      <c r="D166" s="18">
        <f t="shared" si="29"/>
        <v>6421878.9582694024</v>
      </c>
      <c r="E166" s="128">
        <f t="shared" si="27"/>
        <v>4.4609999999999997E-2</v>
      </c>
      <c r="F166" s="225">
        <f t="shared" si="34"/>
        <v>-39318020.506552331</v>
      </c>
      <c r="G166" s="18">
        <f t="shared" si="30"/>
        <v>18480498.451717071</v>
      </c>
      <c r="H166" s="129">
        <f t="shared" si="31"/>
        <v>0.68025999999999975</v>
      </c>
      <c r="I166" s="18">
        <f t="shared" si="32"/>
        <v>12058619.493447669</v>
      </c>
      <c r="J166" s="18">
        <f t="shared" si="33"/>
        <v>2532310</v>
      </c>
      <c r="N166" s="18"/>
      <c r="O166" s="248"/>
      <c r="P166" s="18"/>
    </row>
    <row r="167" spans="1:16" x14ac:dyDescent="0.2">
      <c r="A167" s="11">
        <v>2039</v>
      </c>
      <c r="B167" s="11">
        <v>5</v>
      </c>
      <c r="C167" s="18">
        <f t="shared" si="28"/>
        <v>-51697744</v>
      </c>
      <c r="D167" s="18">
        <f t="shared" si="29"/>
        <v>6100774.9582694024</v>
      </c>
      <c r="E167" s="128">
        <f t="shared" ref="E167:E186" si="35">VLOOKUP(A167-($C$2-1),$D$198:$G$219,4)</f>
        <v>4.4609999999999997E-2</v>
      </c>
      <c r="F167" s="225">
        <f t="shared" si="34"/>
        <v>-39532886.500779696</v>
      </c>
      <c r="G167" s="18">
        <f t="shared" si="30"/>
        <v>18265632.457489707</v>
      </c>
      <c r="H167" s="129">
        <f t="shared" si="31"/>
        <v>0.68397749999999979</v>
      </c>
      <c r="I167" s="18">
        <f t="shared" si="32"/>
        <v>12164857.499220304</v>
      </c>
      <c r="J167" s="18">
        <f t="shared" si="33"/>
        <v>2554620</v>
      </c>
      <c r="N167" s="18"/>
      <c r="O167" s="248"/>
      <c r="P167" s="18"/>
    </row>
    <row r="168" spans="1:16" x14ac:dyDescent="0.2">
      <c r="A168" s="11">
        <v>2039</v>
      </c>
      <c r="B168" s="11">
        <v>6</v>
      </c>
      <c r="C168" s="18">
        <f t="shared" ref="C168:C186" si="36">-(ROUND($C$1*$C$4/12,0)-C167)</f>
        <v>-52018848</v>
      </c>
      <c r="D168" s="18">
        <f t="shared" si="29"/>
        <v>5779670.9582694024</v>
      </c>
      <c r="E168" s="128">
        <f t="shared" si="35"/>
        <v>4.4609999999999997E-2</v>
      </c>
      <c r="F168" s="225">
        <f t="shared" si="34"/>
        <v>-39747752.49500706</v>
      </c>
      <c r="G168" s="18">
        <f t="shared" si="30"/>
        <v>18050766.463262342</v>
      </c>
      <c r="H168" s="129">
        <f t="shared" si="31"/>
        <v>0.68769499999999972</v>
      </c>
      <c r="I168" s="18">
        <f t="shared" si="32"/>
        <v>12271095.50499294</v>
      </c>
      <c r="J168" s="18">
        <f t="shared" si="33"/>
        <v>2576930</v>
      </c>
      <c r="N168" s="18"/>
      <c r="O168" s="248"/>
      <c r="P168" s="18"/>
    </row>
    <row r="169" spans="1:16" x14ac:dyDescent="0.2">
      <c r="A169" s="11">
        <v>2039</v>
      </c>
      <c r="B169" s="11">
        <v>7</v>
      </c>
      <c r="C169" s="18">
        <f t="shared" si="36"/>
        <v>-52339952</v>
      </c>
      <c r="D169" s="18">
        <f t="shared" si="29"/>
        <v>5458566.9582694024</v>
      </c>
      <c r="E169" s="128">
        <f t="shared" si="35"/>
        <v>4.4609999999999997E-2</v>
      </c>
      <c r="F169" s="225">
        <f t="shared" si="34"/>
        <v>-39962618.489234425</v>
      </c>
      <c r="G169" s="18">
        <f t="shared" si="30"/>
        <v>17835900.469034977</v>
      </c>
      <c r="H169" s="129">
        <f t="shared" si="31"/>
        <v>0.69141249999999965</v>
      </c>
      <c r="I169" s="18">
        <f t="shared" si="32"/>
        <v>12377333.510765575</v>
      </c>
      <c r="J169" s="18">
        <f t="shared" si="33"/>
        <v>2599240</v>
      </c>
      <c r="N169" s="18"/>
      <c r="O169" s="248"/>
      <c r="P169" s="18"/>
    </row>
    <row r="170" spans="1:16" x14ac:dyDescent="0.2">
      <c r="A170" s="11">
        <v>2039</v>
      </c>
      <c r="B170" s="11">
        <v>8</v>
      </c>
      <c r="C170" s="18">
        <f t="shared" si="36"/>
        <v>-52661056</v>
      </c>
      <c r="D170" s="18">
        <f t="shared" si="29"/>
        <v>5137462.9582694024</v>
      </c>
      <c r="E170" s="128">
        <f t="shared" si="35"/>
        <v>4.4609999999999997E-2</v>
      </c>
      <c r="F170" s="225">
        <f t="shared" si="34"/>
        <v>-40177484.48346179</v>
      </c>
      <c r="G170" s="18">
        <f t="shared" si="30"/>
        <v>17621034.474807613</v>
      </c>
      <c r="H170" s="129">
        <f t="shared" si="31"/>
        <v>0.69512999999999969</v>
      </c>
      <c r="I170" s="18">
        <f t="shared" si="32"/>
        <v>12483571.51653821</v>
      </c>
      <c r="J170" s="18">
        <f t="shared" si="33"/>
        <v>2621550</v>
      </c>
      <c r="N170" s="18"/>
      <c r="O170" s="248"/>
      <c r="P170" s="18"/>
    </row>
    <row r="171" spans="1:16" x14ac:dyDescent="0.2">
      <c r="A171" s="11">
        <v>2039</v>
      </c>
      <c r="B171" s="11">
        <v>9</v>
      </c>
      <c r="C171" s="18">
        <f t="shared" si="36"/>
        <v>-52982160</v>
      </c>
      <c r="D171" s="18">
        <f t="shared" si="29"/>
        <v>4816358.9582694024</v>
      </c>
      <c r="E171" s="128">
        <f t="shared" si="35"/>
        <v>4.4609999999999997E-2</v>
      </c>
      <c r="F171" s="225">
        <f t="shared" si="34"/>
        <v>-40392350.477689154</v>
      </c>
      <c r="G171" s="18">
        <f t="shared" si="30"/>
        <v>17406168.480580248</v>
      </c>
      <c r="H171" s="129">
        <f t="shared" si="31"/>
        <v>0.69884749999999962</v>
      </c>
      <c r="I171" s="18">
        <f t="shared" si="32"/>
        <v>12589809.522310846</v>
      </c>
      <c r="J171" s="18">
        <f t="shared" si="33"/>
        <v>2643860</v>
      </c>
      <c r="N171" s="18"/>
      <c r="O171" s="248"/>
      <c r="P171" s="18"/>
    </row>
    <row r="172" spans="1:16" x14ac:dyDescent="0.2">
      <c r="A172" s="11">
        <v>2039</v>
      </c>
      <c r="B172" s="11">
        <v>10</v>
      </c>
      <c r="C172" s="18">
        <f t="shared" si="36"/>
        <v>-53303264</v>
      </c>
      <c r="D172" s="18">
        <f t="shared" si="29"/>
        <v>4495254.9582694024</v>
      </c>
      <c r="E172" s="128">
        <f t="shared" si="35"/>
        <v>4.4609999999999997E-2</v>
      </c>
      <c r="F172" s="225">
        <f t="shared" si="34"/>
        <v>-40607216.471916519</v>
      </c>
      <c r="G172" s="18">
        <f t="shared" si="30"/>
        <v>17191302.486352883</v>
      </c>
      <c r="H172" s="129">
        <f t="shared" si="31"/>
        <v>0.70256499999999955</v>
      </c>
      <c r="I172" s="18">
        <f t="shared" si="32"/>
        <v>12696047.528083481</v>
      </c>
      <c r="J172" s="18">
        <f t="shared" si="33"/>
        <v>2666170</v>
      </c>
      <c r="N172" s="18"/>
      <c r="O172" s="248"/>
      <c r="P172" s="18"/>
    </row>
    <row r="173" spans="1:16" x14ac:dyDescent="0.2">
      <c r="A173" s="11">
        <v>2039</v>
      </c>
      <c r="B173" s="11">
        <v>11</v>
      </c>
      <c r="C173" s="18">
        <f t="shared" si="36"/>
        <v>-53624368</v>
      </c>
      <c r="D173" s="18">
        <f t="shared" si="29"/>
        <v>4174150.9582694024</v>
      </c>
      <c r="E173" s="128">
        <f t="shared" si="35"/>
        <v>4.4609999999999997E-2</v>
      </c>
      <c r="F173" s="225">
        <f t="shared" si="34"/>
        <v>-40822082.466143884</v>
      </c>
      <c r="G173" s="18">
        <f t="shared" si="30"/>
        <v>16976436.492125519</v>
      </c>
      <c r="H173" s="129">
        <f t="shared" si="31"/>
        <v>0.70628249999999959</v>
      </c>
      <c r="I173" s="18">
        <f t="shared" si="32"/>
        <v>12802285.533856116</v>
      </c>
      <c r="J173" s="18">
        <f t="shared" si="33"/>
        <v>2688480</v>
      </c>
      <c r="N173" s="18"/>
      <c r="O173" s="248"/>
      <c r="P173" s="18"/>
    </row>
    <row r="174" spans="1:16" x14ac:dyDescent="0.2">
      <c r="A174" s="11">
        <v>2039</v>
      </c>
      <c r="B174" s="11">
        <v>12</v>
      </c>
      <c r="C174" s="18">
        <f t="shared" si="36"/>
        <v>-53945472</v>
      </c>
      <c r="D174" s="18">
        <f t="shared" si="29"/>
        <v>3853046.9582694024</v>
      </c>
      <c r="E174" s="128">
        <f t="shared" si="35"/>
        <v>4.4609999999999997E-2</v>
      </c>
      <c r="F174" s="225">
        <f t="shared" si="34"/>
        <v>-41036948.460371248</v>
      </c>
      <c r="G174" s="18">
        <f t="shared" si="30"/>
        <v>16761570.497898154</v>
      </c>
      <c r="H174" s="129">
        <f t="shared" si="31"/>
        <v>0.70999999999999952</v>
      </c>
      <c r="I174" s="18">
        <f t="shared" si="32"/>
        <v>12908523.539628752</v>
      </c>
      <c r="J174" s="18">
        <f t="shared" si="33"/>
        <v>2710790</v>
      </c>
      <c r="N174" s="18"/>
      <c r="O174" s="248"/>
      <c r="P174" s="18"/>
    </row>
    <row r="175" spans="1:16" x14ac:dyDescent="0.2">
      <c r="A175" s="11">
        <v>2040</v>
      </c>
      <c r="B175" s="11">
        <v>1</v>
      </c>
      <c r="C175" s="18">
        <f t="shared" si="36"/>
        <v>-54266576</v>
      </c>
      <c r="D175" s="18">
        <f t="shared" si="29"/>
        <v>3531942.9582694024</v>
      </c>
      <c r="E175" s="128">
        <f t="shared" si="35"/>
        <v>4.462E-2</v>
      </c>
      <c r="F175" s="225">
        <f t="shared" si="34"/>
        <v>-41251862.620031081</v>
      </c>
      <c r="G175" s="18">
        <f t="shared" si="30"/>
        <v>16546656.338238321</v>
      </c>
      <c r="H175" s="129">
        <f t="shared" si="31"/>
        <v>0.7137183333333329</v>
      </c>
      <c r="I175" s="18">
        <f t="shared" si="32"/>
        <v>13014713.379968919</v>
      </c>
      <c r="J175" s="18">
        <f t="shared" si="33"/>
        <v>2733090</v>
      </c>
      <c r="N175" s="18"/>
      <c r="O175" s="248"/>
      <c r="P175" s="18"/>
    </row>
    <row r="176" spans="1:16" x14ac:dyDescent="0.2">
      <c r="A176" s="11">
        <v>2040</v>
      </c>
      <c r="B176" s="11">
        <v>2</v>
      </c>
      <c r="C176" s="18">
        <f t="shared" si="36"/>
        <v>-54587680</v>
      </c>
      <c r="D176" s="18">
        <f t="shared" si="29"/>
        <v>3210838.9582694024</v>
      </c>
      <c r="E176" s="128">
        <f t="shared" si="35"/>
        <v>4.462E-2</v>
      </c>
      <c r="F176" s="225">
        <f t="shared" si="34"/>
        <v>-41466776.779690914</v>
      </c>
      <c r="G176" s="18">
        <f t="shared" si="30"/>
        <v>16331742.178578489</v>
      </c>
      <c r="H176" s="129">
        <f t="shared" si="31"/>
        <v>0.71743666666666628</v>
      </c>
      <c r="I176" s="18">
        <f t="shared" si="32"/>
        <v>13120903.220309086</v>
      </c>
      <c r="J176" s="18">
        <f t="shared" si="33"/>
        <v>2755390</v>
      </c>
      <c r="N176" s="18"/>
      <c r="O176" s="248"/>
      <c r="P176" s="18"/>
    </row>
    <row r="177" spans="1:16" x14ac:dyDescent="0.2">
      <c r="A177" s="11">
        <v>2040</v>
      </c>
      <c r="B177" s="11">
        <v>3</v>
      </c>
      <c r="C177" s="18">
        <f t="shared" si="36"/>
        <v>-54908784</v>
      </c>
      <c r="D177" s="18">
        <f t="shared" si="29"/>
        <v>2889734.9582694024</v>
      </c>
      <c r="E177" s="128">
        <f t="shared" si="35"/>
        <v>4.462E-2</v>
      </c>
      <c r="F177" s="225">
        <f t="shared" si="34"/>
        <v>-41681690.939350747</v>
      </c>
      <c r="G177" s="18">
        <f t="shared" si="30"/>
        <v>16116828.018918656</v>
      </c>
      <c r="H177" s="129">
        <f t="shared" si="31"/>
        <v>0.72115499999999955</v>
      </c>
      <c r="I177" s="18">
        <f t="shared" si="32"/>
        <v>13227093.060649253</v>
      </c>
      <c r="J177" s="18">
        <f t="shared" si="33"/>
        <v>2777690</v>
      </c>
      <c r="N177" s="18"/>
      <c r="O177" s="248"/>
      <c r="P177" s="18"/>
    </row>
    <row r="178" spans="1:16" x14ac:dyDescent="0.2">
      <c r="A178" s="11">
        <v>2040</v>
      </c>
      <c r="B178" s="11">
        <v>4</v>
      </c>
      <c r="C178" s="18">
        <f t="shared" si="36"/>
        <v>-55229888</v>
      </c>
      <c r="D178" s="18">
        <f t="shared" si="29"/>
        <v>2568630.9582694024</v>
      </c>
      <c r="E178" s="128">
        <f t="shared" si="35"/>
        <v>4.462E-2</v>
      </c>
      <c r="F178" s="225">
        <f t="shared" si="34"/>
        <v>-41896605.099010579</v>
      </c>
      <c r="G178" s="18">
        <f t="shared" si="30"/>
        <v>15901913.859258823</v>
      </c>
      <c r="H178" s="129">
        <f t="shared" si="31"/>
        <v>0.72487333333333293</v>
      </c>
      <c r="I178" s="18">
        <f t="shared" si="32"/>
        <v>13333282.900989421</v>
      </c>
      <c r="J178" s="18">
        <f t="shared" si="33"/>
        <v>2799989</v>
      </c>
      <c r="N178" s="18"/>
      <c r="O178" s="248"/>
      <c r="P178" s="18"/>
    </row>
    <row r="179" spans="1:16" x14ac:dyDescent="0.2">
      <c r="A179" s="11">
        <v>2040</v>
      </c>
      <c r="B179" s="11">
        <v>5</v>
      </c>
      <c r="C179" s="18">
        <f t="shared" si="36"/>
        <v>-55550992</v>
      </c>
      <c r="D179" s="18">
        <f t="shared" si="29"/>
        <v>2247526.9582694024</v>
      </c>
      <c r="E179" s="128">
        <f t="shared" si="35"/>
        <v>4.462E-2</v>
      </c>
      <c r="F179" s="225">
        <f t="shared" si="34"/>
        <v>-42111519.258670412</v>
      </c>
      <c r="G179" s="18">
        <f t="shared" si="30"/>
        <v>15686999.69959899</v>
      </c>
      <c r="H179" s="129">
        <f t="shared" si="31"/>
        <v>0.7285916666666663</v>
      </c>
      <c r="I179" s="18">
        <f t="shared" si="32"/>
        <v>13439472.741329588</v>
      </c>
      <c r="J179" s="18">
        <f t="shared" si="33"/>
        <v>2822289</v>
      </c>
      <c r="N179" s="18"/>
      <c r="O179" s="248"/>
      <c r="P179" s="18"/>
    </row>
    <row r="180" spans="1:16" x14ac:dyDescent="0.2">
      <c r="A180" s="11">
        <v>2040</v>
      </c>
      <c r="B180" s="11">
        <v>6</v>
      </c>
      <c r="C180" s="18">
        <f t="shared" si="36"/>
        <v>-55872096</v>
      </c>
      <c r="D180" s="18">
        <f t="shared" si="29"/>
        <v>1926422.9582694024</v>
      </c>
      <c r="E180" s="128">
        <f t="shared" si="35"/>
        <v>4.462E-2</v>
      </c>
      <c r="F180" s="225">
        <f t="shared" si="34"/>
        <v>-42326433.418330245</v>
      </c>
      <c r="G180" s="18">
        <f t="shared" si="30"/>
        <v>15472085.539939158</v>
      </c>
      <c r="H180" s="129">
        <f t="shared" si="31"/>
        <v>0.73230999999999968</v>
      </c>
      <c r="I180" s="18">
        <f t="shared" si="32"/>
        <v>13545662.581669755</v>
      </c>
      <c r="J180" s="18">
        <f t="shared" si="33"/>
        <v>2844589</v>
      </c>
      <c r="N180" s="18"/>
      <c r="O180" s="248"/>
      <c r="P180" s="18"/>
    </row>
    <row r="181" spans="1:16" x14ac:dyDescent="0.2">
      <c r="A181" s="11">
        <v>2040</v>
      </c>
      <c r="B181" s="11">
        <v>7</v>
      </c>
      <c r="C181" s="18">
        <f t="shared" si="36"/>
        <v>-56193200</v>
      </c>
      <c r="D181" s="18">
        <f t="shared" si="29"/>
        <v>1605318.9582694024</v>
      </c>
      <c r="E181" s="128">
        <f t="shared" si="35"/>
        <v>4.462E-2</v>
      </c>
      <c r="F181" s="225">
        <f t="shared" si="34"/>
        <v>-42541347.577990077</v>
      </c>
      <c r="G181" s="18">
        <f t="shared" si="30"/>
        <v>15257171.380279325</v>
      </c>
      <c r="H181" s="129">
        <f t="shared" si="31"/>
        <v>0.73602833333333295</v>
      </c>
      <c r="I181" s="18">
        <f t="shared" si="32"/>
        <v>13651852.422009923</v>
      </c>
      <c r="J181" s="18">
        <f t="shared" si="33"/>
        <v>2866889</v>
      </c>
      <c r="N181" s="18"/>
      <c r="O181" s="248"/>
      <c r="P181" s="18"/>
    </row>
    <row r="182" spans="1:16" x14ac:dyDescent="0.2">
      <c r="A182" s="11">
        <v>2040</v>
      </c>
      <c r="B182" s="11">
        <v>8</v>
      </c>
      <c r="C182" s="18">
        <f t="shared" si="36"/>
        <v>-56514304</v>
      </c>
      <c r="D182" s="18">
        <f t="shared" si="29"/>
        <v>1284214.9582694024</v>
      </c>
      <c r="E182" s="128">
        <f t="shared" si="35"/>
        <v>4.462E-2</v>
      </c>
      <c r="F182" s="225">
        <f t="shared" si="34"/>
        <v>-42756261.73764991</v>
      </c>
      <c r="G182" s="18">
        <f t="shared" si="30"/>
        <v>15042257.220619492</v>
      </c>
      <c r="H182" s="129">
        <f t="shared" si="31"/>
        <v>0.73974666666666633</v>
      </c>
      <c r="I182" s="18">
        <f t="shared" si="32"/>
        <v>13758042.26235009</v>
      </c>
      <c r="J182" s="18">
        <f t="shared" si="33"/>
        <v>2889189</v>
      </c>
      <c r="N182" s="18"/>
      <c r="O182" s="248"/>
      <c r="P182" s="18"/>
    </row>
    <row r="183" spans="1:16" x14ac:dyDescent="0.2">
      <c r="A183" s="11">
        <v>2040</v>
      </c>
      <c r="B183" s="11">
        <v>9</v>
      </c>
      <c r="C183" s="18">
        <f t="shared" si="36"/>
        <v>-56835408</v>
      </c>
      <c r="D183" s="18">
        <f t="shared" si="29"/>
        <v>963110.95826940238</v>
      </c>
      <c r="E183" s="128">
        <f t="shared" si="35"/>
        <v>4.462E-2</v>
      </c>
      <c r="F183" s="225">
        <f t="shared" si="34"/>
        <v>-42971175.897309743</v>
      </c>
      <c r="G183" s="18">
        <f t="shared" si="30"/>
        <v>14827343.06095966</v>
      </c>
      <c r="H183" s="129">
        <f t="shared" si="31"/>
        <v>0.74346499999999971</v>
      </c>
      <c r="I183" s="18">
        <f t="shared" si="32"/>
        <v>13864232.102690257</v>
      </c>
      <c r="J183" s="18">
        <f t="shared" si="33"/>
        <v>2911489</v>
      </c>
      <c r="N183" s="18"/>
      <c r="O183" s="248"/>
      <c r="P183" s="18"/>
    </row>
    <row r="184" spans="1:16" x14ac:dyDescent="0.2">
      <c r="A184" s="11">
        <v>2040</v>
      </c>
      <c r="B184" s="11">
        <v>10</v>
      </c>
      <c r="C184" s="18">
        <f t="shared" si="36"/>
        <v>-57156512</v>
      </c>
      <c r="D184" s="18">
        <f t="shared" si="29"/>
        <v>642006.95826940238</v>
      </c>
      <c r="E184" s="128">
        <f t="shared" si="35"/>
        <v>4.462E-2</v>
      </c>
      <c r="F184" s="225">
        <f t="shared" si="34"/>
        <v>-43186090.056969576</v>
      </c>
      <c r="G184" s="18">
        <f t="shared" si="30"/>
        <v>14612428.901299827</v>
      </c>
      <c r="H184" s="129">
        <f t="shared" si="31"/>
        <v>0.74718333333333298</v>
      </c>
      <c r="I184" s="18">
        <f t="shared" si="32"/>
        <v>13970421.943030424</v>
      </c>
      <c r="J184" s="18">
        <f t="shared" si="33"/>
        <v>2933789</v>
      </c>
      <c r="N184" s="18"/>
      <c r="O184" s="248"/>
      <c r="P184" s="18"/>
    </row>
    <row r="185" spans="1:16" x14ac:dyDescent="0.2">
      <c r="A185" s="11">
        <v>2040</v>
      </c>
      <c r="B185" s="11">
        <v>11</v>
      </c>
      <c r="C185" s="18">
        <f t="shared" si="36"/>
        <v>-57477616</v>
      </c>
      <c r="D185" s="18">
        <f t="shared" si="29"/>
        <v>320902.95826940238</v>
      </c>
      <c r="E185" s="128">
        <f t="shared" si="35"/>
        <v>4.462E-2</v>
      </c>
      <c r="F185" s="225">
        <f t="shared" si="34"/>
        <v>-43401004.216629408</v>
      </c>
      <c r="G185" s="18">
        <f t="shared" si="30"/>
        <v>14397514.741639994</v>
      </c>
      <c r="H185" s="129">
        <f t="shared" si="31"/>
        <v>0.75090166666666636</v>
      </c>
      <c r="I185" s="18">
        <f t="shared" si="32"/>
        <v>14076611.783370592</v>
      </c>
      <c r="J185" s="18">
        <f t="shared" si="33"/>
        <v>2956088</v>
      </c>
      <c r="N185" s="18"/>
      <c r="O185" s="248"/>
      <c r="P185" s="18"/>
    </row>
    <row r="186" spans="1:16" x14ac:dyDescent="0.2">
      <c r="A186" s="11">
        <v>2040</v>
      </c>
      <c r="B186" s="11">
        <v>12</v>
      </c>
      <c r="C186" s="18">
        <f t="shared" si="36"/>
        <v>-57798720</v>
      </c>
      <c r="D186" s="18">
        <f t="shared" si="29"/>
        <v>-201.04173059761524</v>
      </c>
      <c r="E186" s="128">
        <f t="shared" si="35"/>
        <v>4.462E-2</v>
      </c>
      <c r="F186" s="225">
        <f t="shared" si="34"/>
        <v>-43615918.376289241</v>
      </c>
      <c r="G186" s="18">
        <f t="shared" si="30"/>
        <v>14182600.581980161</v>
      </c>
      <c r="H186" s="129">
        <f t="shared" si="31"/>
        <v>0.75461999999999974</v>
      </c>
      <c r="I186" s="18">
        <f t="shared" si="32"/>
        <v>14182801.623710759</v>
      </c>
      <c r="J186" s="18">
        <f t="shared" si="33"/>
        <v>2978388</v>
      </c>
      <c r="N186" s="18"/>
      <c r="O186" s="248"/>
      <c r="P186" s="18"/>
    </row>
    <row r="187" spans="1:16" s="13" customFormat="1" x14ac:dyDescent="0.2">
      <c r="C187" s="18"/>
      <c r="D187" s="18"/>
      <c r="E187" s="128"/>
      <c r="F187" s="18"/>
      <c r="G187" s="18"/>
      <c r="H187" s="129"/>
      <c r="I187" s="18"/>
      <c r="J187" s="18"/>
      <c r="N187" s="18"/>
      <c r="O187" s="18"/>
      <c r="P187" s="18"/>
    </row>
    <row r="188" spans="1:16" s="13" customFormat="1" x14ac:dyDescent="0.2">
      <c r="C188" s="18"/>
      <c r="D188" s="18"/>
      <c r="E188" s="128"/>
      <c r="F188" s="18"/>
      <c r="G188" s="18"/>
      <c r="H188" s="129"/>
      <c r="I188" s="18"/>
      <c r="J188" s="18"/>
      <c r="N188" s="18"/>
      <c r="O188" s="18"/>
      <c r="P188" s="18"/>
    </row>
    <row r="189" spans="1:16" s="13" customFormat="1" x14ac:dyDescent="0.2">
      <c r="E189" s="130"/>
      <c r="H189" s="130"/>
    </row>
    <row r="197" spans="1:7" ht="13.5" thickBot="1" x14ac:dyDescent="0.25"/>
    <row r="198" spans="1:7" ht="15" x14ac:dyDescent="0.25">
      <c r="A198" s="35" t="s">
        <v>20</v>
      </c>
      <c r="B198" s="36"/>
      <c r="C198" s="36"/>
      <c r="D198" s="37">
        <v>1</v>
      </c>
      <c r="E198" s="48"/>
      <c r="F198" s="36"/>
      <c r="G198" s="38">
        <v>3.7499999999999999E-2</v>
      </c>
    </row>
    <row r="199" spans="1:7" ht="15" x14ac:dyDescent="0.25">
      <c r="A199" s="39"/>
      <c r="B199" s="40"/>
      <c r="C199" s="40"/>
      <c r="D199" s="1">
        <v>2</v>
      </c>
      <c r="E199" s="49"/>
      <c r="F199" s="40"/>
      <c r="G199" s="41">
        <v>7.2190000000000004E-2</v>
      </c>
    </row>
    <row r="200" spans="1:7" ht="15" x14ac:dyDescent="0.25">
      <c r="A200" s="42"/>
      <c r="B200" s="40"/>
      <c r="C200" s="40"/>
      <c r="D200" s="2">
        <v>3</v>
      </c>
      <c r="E200" s="50"/>
      <c r="F200" s="40"/>
      <c r="G200" s="41">
        <v>6.6769999999999996E-2</v>
      </c>
    </row>
    <row r="201" spans="1:7" ht="15" x14ac:dyDescent="0.25">
      <c r="A201" s="42"/>
      <c r="B201" s="40"/>
      <c r="C201" s="40"/>
      <c r="D201" s="2">
        <v>4</v>
      </c>
      <c r="E201" s="50"/>
      <c r="F201" s="40"/>
      <c r="G201" s="41">
        <v>6.1769999999999999E-2</v>
      </c>
    </row>
    <row r="202" spans="1:7" ht="15" x14ac:dyDescent="0.25">
      <c r="A202" s="42"/>
      <c r="B202" s="40"/>
      <c r="C202" s="40"/>
      <c r="D202" s="2">
        <v>5</v>
      </c>
      <c r="E202" s="50"/>
      <c r="F202" s="40"/>
      <c r="G202" s="41">
        <v>5.713E-2</v>
      </c>
    </row>
    <row r="203" spans="1:7" ht="15" x14ac:dyDescent="0.25">
      <c r="A203" s="42"/>
      <c r="B203" s="40"/>
      <c r="C203" s="40"/>
      <c r="D203" s="2">
        <v>6</v>
      </c>
      <c r="E203" s="50"/>
      <c r="F203" s="40"/>
      <c r="G203" s="41">
        <v>5.2850000000000001E-2</v>
      </c>
    </row>
    <row r="204" spans="1:7" ht="15" x14ac:dyDescent="0.25">
      <c r="A204" s="42"/>
      <c r="B204" s="40"/>
      <c r="C204" s="40"/>
      <c r="D204" s="2">
        <v>7</v>
      </c>
      <c r="E204" s="50"/>
      <c r="F204" s="40"/>
      <c r="G204" s="41">
        <v>4.888E-2</v>
      </c>
    </row>
    <row r="205" spans="1:7" ht="15" x14ac:dyDescent="0.25">
      <c r="A205" s="42"/>
      <c r="B205" s="40"/>
      <c r="C205" s="40"/>
      <c r="D205" s="2">
        <v>8</v>
      </c>
      <c r="E205" s="50"/>
      <c r="F205" s="40"/>
      <c r="G205" s="41">
        <v>4.5220000000000003E-2</v>
      </c>
    </row>
    <row r="206" spans="1:7" ht="15" x14ac:dyDescent="0.25">
      <c r="A206" s="42"/>
      <c r="B206" s="40"/>
      <c r="C206" s="40"/>
      <c r="D206" s="2">
        <v>9</v>
      </c>
      <c r="E206" s="50"/>
      <c r="F206" s="40"/>
      <c r="G206" s="41">
        <v>4.462E-2</v>
      </c>
    </row>
    <row r="207" spans="1:7" ht="15" x14ac:dyDescent="0.25">
      <c r="A207" s="42"/>
      <c r="B207" s="40"/>
      <c r="C207" s="40"/>
      <c r="D207" s="2">
        <v>10</v>
      </c>
      <c r="E207" s="50"/>
      <c r="F207" s="40"/>
      <c r="G207" s="41">
        <v>4.4609999999999997E-2</v>
      </c>
    </row>
    <row r="208" spans="1:7" ht="15" x14ac:dyDescent="0.25">
      <c r="A208" s="42"/>
      <c r="B208" s="40"/>
      <c r="C208" s="40"/>
      <c r="D208" s="2">
        <v>11</v>
      </c>
      <c r="E208" s="50"/>
      <c r="F208" s="40"/>
      <c r="G208" s="41">
        <v>4.462E-2</v>
      </c>
    </row>
    <row r="209" spans="1:7" ht="15" x14ac:dyDescent="0.25">
      <c r="A209" s="42"/>
      <c r="B209" s="40"/>
      <c r="C209" s="40"/>
      <c r="D209" s="2">
        <v>12</v>
      </c>
      <c r="E209" s="50"/>
      <c r="F209" s="40"/>
      <c r="G209" s="41">
        <v>4.4609999999999997E-2</v>
      </c>
    </row>
    <row r="210" spans="1:7" ht="15" x14ac:dyDescent="0.25">
      <c r="A210" s="42"/>
      <c r="B210" s="40"/>
      <c r="C210" s="40"/>
      <c r="D210" s="2">
        <v>13</v>
      </c>
      <c r="E210" s="50"/>
      <c r="F210" s="40"/>
      <c r="G210" s="41">
        <v>4.462E-2</v>
      </c>
    </row>
    <row r="211" spans="1:7" ht="15" x14ac:dyDescent="0.25">
      <c r="A211" s="42"/>
      <c r="B211" s="40"/>
      <c r="C211" s="40"/>
      <c r="D211" s="2">
        <v>14</v>
      </c>
      <c r="E211" s="50"/>
      <c r="F211" s="40"/>
      <c r="G211" s="41">
        <v>4.4609999999999997E-2</v>
      </c>
    </row>
    <row r="212" spans="1:7" ht="15" x14ac:dyDescent="0.25">
      <c r="A212" s="42"/>
      <c r="B212" s="40"/>
      <c r="C212" s="40"/>
      <c r="D212" s="2">
        <v>15</v>
      </c>
      <c r="E212" s="50"/>
      <c r="F212" s="40"/>
      <c r="G212" s="41">
        <v>4.462E-2</v>
      </c>
    </row>
    <row r="213" spans="1:7" ht="15" x14ac:dyDescent="0.25">
      <c r="A213" s="42"/>
      <c r="B213" s="40"/>
      <c r="C213" s="40"/>
      <c r="D213" s="2">
        <v>16</v>
      </c>
      <c r="E213" s="50"/>
      <c r="F213" s="40"/>
      <c r="G213" s="41">
        <v>4.4609999999999997E-2</v>
      </c>
    </row>
    <row r="214" spans="1:7" ht="15" x14ac:dyDescent="0.25">
      <c r="A214" s="42"/>
      <c r="B214" s="40"/>
      <c r="C214" s="40"/>
      <c r="D214" s="2">
        <v>17</v>
      </c>
      <c r="E214" s="50"/>
      <c r="F214" s="40"/>
      <c r="G214" s="41">
        <v>4.462E-2</v>
      </c>
    </row>
    <row r="215" spans="1:7" ht="15" x14ac:dyDescent="0.25">
      <c r="A215" s="42"/>
      <c r="B215" s="40"/>
      <c r="C215" s="40"/>
      <c r="D215" s="2">
        <v>18</v>
      </c>
      <c r="E215" s="50"/>
      <c r="F215" s="40"/>
      <c r="G215" s="41">
        <v>4.4609999999999997E-2</v>
      </c>
    </row>
    <row r="216" spans="1:7" ht="15" x14ac:dyDescent="0.25">
      <c r="A216" s="42"/>
      <c r="B216" s="40"/>
      <c r="C216" s="40"/>
      <c r="D216" s="2">
        <v>19</v>
      </c>
      <c r="E216" s="50"/>
      <c r="F216" s="40"/>
      <c r="G216" s="41">
        <v>4.462E-2</v>
      </c>
    </row>
    <row r="217" spans="1:7" ht="15" x14ac:dyDescent="0.25">
      <c r="A217" s="42"/>
      <c r="B217" s="40"/>
      <c r="C217" s="40"/>
      <c r="D217" s="2">
        <v>20</v>
      </c>
      <c r="E217" s="50"/>
      <c r="F217" s="40"/>
      <c r="G217" s="41">
        <v>4.4609999999999997E-2</v>
      </c>
    </row>
    <row r="218" spans="1:7" ht="15" x14ac:dyDescent="0.25">
      <c r="A218" s="42"/>
      <c r="B218" s="40"/>
      <c r="C218" s="40"/>
      <c r="D218" s="2">
        <v>21</v>
      </c>
      <c r="E218" s="50"/>
      <c r="F218" s="40"/>
      <c r="G218" s="41">
        <v>2.231E-2</v>
      </c>
    </row>
    <row r="219" spans="1:7" ht="15.75" thickBot="1" x14ac:dyDescent="0.3">
      <c r="A219" s="43"/>
      <c r="B219" s="44"/>
      <c r="C219" s="44"/>
      <c r="D219" s="45">
        <v>22</v>
      </c>
      <c r="E219" s="51"/>
      <c r="F219" s="44"/>
      <c r="G219" s="46"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A9557-5EA3-4ABD-AC15-C670A6722163}">
  <dimension ref="A1:K11"/>
  <sheetViews>
    <sheetView workbookViewId="0">
      <selection activeCell="B13" sqref="B13"/>
    </sheetView>
  </sheetViews>
  <sheetFormatPr defaultRowHeight="15" x14ac:dyDescent="0.25"/>
  <cols>
    <col min="1" max="1" width="23.5703125" customWidth="1"/>
    <col min="2" max="2" width="13.5703125" bestFit="1" customWidth="1"/>
    <col min="12" max="12" width="10.85546875" bestFit="1" customWidth="1"/>
    <col min="13" max="13" width="10.140625" bestFit="1" customWidth="1"/>
    <col min="14" max="14" width="10.85546875" bestFit="1" customWidth="1"/>
  </cols>
  <sheetData>
    <row r="1" spans="1:11" ht="15.75" thickBot="1" x14ac:dyDescent="0.3">
      <c r="A1" s="235" t="s">
        <v>226</v>
      </c>
    </row>
    <row r="2" spans="1:11" ht="15.75" thickBot="1" x14ac:dyDescent="0.3">
      <c r="A2" s="232" t="s">
        <v>7</v>
      </c>
      <c r="B2" s="233">
        <v>2026</v>
      </c>
      <c r="C2" s="234">
        <v>2027</v>
      </c>
      <c r="D2" s="234">
        <v>2028</v>
      </c>
      <c r="E2" s="234">
        <v>2029</v>
      </c>
      <c r="F2" s="234">
        <v>2030</v>
      </c>
      <c r="G2" s="234">
        <v>2031</v>
      </c>
      <c r="H2" s="234">
        <v>2032</v>
      </c>
      <c r="I2" s="234">
        <v>2033</v>
      </c>
      <c r="J2" s="234">
        <v>2034</v>
      </c>
      <c r="K2" s="234">
        <v>2035</v>
      </c>
    </row>
    <row r="3" spans="1:11" ht="15.75" thickBot="1" x14ac:dyDescent="0.3">
      <c r="A3" s="235" t="s">
        <v>219</v>
      </c>
      <c r="B3" s="236">
        <v>250</v>
      </c>
      <c r="C3" s="237">
        <v>250</v>
      </c>
      <c r="D3" s="237">
        <v>250</v>
      </c>
      <c r="E3" s="237">
        <v>250</v>
      </c>
      <c r="F3" s="237">
        <v>250</v>
      </c>
      <c r="G3" s="237">
        <v>250</v>
      </c>
      <c r="H3" s="237">
        <v>250</v>
      </c>
      <c r="I3" s="237">
        <v>250</v>
      </c>
      <c r="J3" s="237">
        <v>250</v>
      </c>
      <c r="K3" s="237">
        <v>250</v>
      </c>
    </row>
    <row r="4" spans="1:11" ht="15.75" thickBot="1" x14ac:dyDescent="0.3">
      <c r="A4" s="238" t="s">
        <v>220</v>
      </c>
      <c r="B4" s="239">
        <v>1000</v>
      </c>
      <c r="C4" s="240">
        <v>1000</v>
      </c>
      <c r="D4" s="240">
        <v>1000</v>
      </c>
      <c r="E4" s="240">
        <v>1000</v>
      </c>
      <c r="F4" s="240">
        <v>1000</v>
      </c>
      <c r="G4" s="240">
        <v>1000</v>
      </c>
      <c r="H4" s="240">
        <v>1000</v>
      </c>
      <c r="I4" s="240">
        <v>1000</v>
      </c>
      <c r="J4" s="240">
        <v>1000</v>
      </c>
      <c r="K4" s="240">
        <v>1000</v>
      </c>
    </row>
    <row r="5" spans="1:11" ht="15.75" thickBot="1" x14ac:dyDescent="0.3">
      <c r="A5" s="241" t="s">
        <v>221</v>
      </c>
      <c r="B5" s="236">
        <v>100</v>
      </c>
      <c r="C5" s="237">
        <v>75</v>
      </c>
      <c r="D5" s="237">
        <v>75</v>
      </c>
      <c r="E5" s="237">
        <v>50</v>
      </c>
      <c r="F5" s="237">
        <v>50</v>
      </c>
      <c r="G5" s="237">
        <v>50</v>
      </c>
      <c r="H5" s="237">
        <v>50</v>
      </c>
      <c r="I5" s="237">
        <v>50</v>
      </c>
      <c r="J5" s="237">
        <v>50</v>
      </c>
      <c r="K5" s="237">
        <v>50</v>
      </c>
    </row>
    <row r="6" spans="1:11" ht="15.75" thickBot="1" x14ac:dyDescent="0.3">
      <c r="A6" s="241" t="s">
        <v>222</v>
      </c>
      <c r="B6" s="236">
        <v>0</v>
      </c>
      <c r="C6" s="237">
        <v>100</v>
      </c>
      <c r="D6" s="237">
        <v>0</v>
      </c>
      <c r="E6" s="237">
        <v>0</v>
      </c>
      <c r="F6" s="237">
        <v>100</v>
      </c>
      <c r="G6" s="237">
        <v>0</v>
      </c>
      <c r="H6" s="237">
        <v>0</v>
      </c>
      <c r="I6" s="237">
        <v>0</v>
      </c>
      <c r="J6" s="237">
        <v>0</v>
      </c>
      <c r="K6" s="237">
        <v>0</v>
      </c>
    </row>
    <row r="7" spans="1:11" ht="15.75" thickBot="1" x14ac:dyDescent="0.3">
      <c r="A7" s="238" t="s">
        <v>223</v>
      </c>
      <c r="B7" s="242">
        <f t="shared" ref="B7:K7" si="0">SUM(B3:B6)</f>
        <v>1350</v>
      </c>
      <c r="C7" s="242">
        <f t="shared" si="0"/>
        <v>1425</v>
      </c>
      <c r="D7" s="242">
        <f t="shared" si="0"/>
        <v>1325</v>
      </c>
      <c r="E7" s="242">
        <f t="shared" si="0"/>
        <v>1300</v>
      </c>
      <c r="F7" s="242">
        <f t="shared" si="0"/>
        <v>1400</v>
      </c>
      <c r="G7" s="242">
        <f t="shared" si="0"/>
        <v>1300</v>
      </c>
      <c r="H7" s="242">
        <f t="shared" si="0"/>
        <v>1300</v>
      </c>
      <c r="I7" s="242">
        <f t="shared" si="0"/>
        <v>1300</v>
      </c>
      <c r="J7" s="242">
        <f t="shared" si="0"/>
        <v>1300</v>
      </c>
      <c r="K7" s="242">
        <f t="shared" si="0"/>
        <v>1300</v>
      </c>
    </row>
    <row r="8" spans="1:11" ht="15.75" thickBot="1" x14ac:dyDescent="0.3">
      <c r="A8" s="245"/>
      <c r="B8" s="245"/>
      <c r="C8" s="245"/>
      <c r="D8" s="245"/>
      <c r="E8" s="245"/>
      <c r="F8" s="245"/>
      <c r="G8" s="245"/>
      <c r="H8" s="245"/>
      <c r="I8" s="245"/>
      <c r="J8" s="245"/>
      <c r="K8" s="245"/>
    </row>
    <row r="9" spans="1:11" ht="15.75" thickBot="1" x14ac:dyDescent="0.3">
      <c r="A9" s="241"/>
      <c r="B9" s="243">
        <f>B7*1000</f>
        <v>1350000</v>
      </c>
      <c r="C9" s="243">
        <f t="shared" ref="C9:K9" si="1">C7*1000</f>
        <v>1425000</v>
      </c>
      <c r="D9" s="243">
        <f t="shared" si="1"/>
        <v>1325000</v>
      </c>
      <c r="E9" s="243">
        <f t="shared" si="1"/>
        <v>1300000</v>
      </c>
      <c r="F9" s="243">
        <f t="shared" si="1"/>
        <v>1400000</v>
      </c>
      <c r="G9" s="243">
        <f t="shared" si="1"/>
        <v>1300000</v>
      </c>
      <c r="H9" s="243">
        <f t="shared" si="1"/>
        <v>1300000</v>
      </c>
      <c r="I9" s="243">
        <f t="shared" si="1"/>
        <v>1300000</v>
      </c>
      <c r="J9" s="243">
        <f t="shared" si="1"/>
        <v>1300000</v>
      </c>
      <c r="K9" s="243">
        <f t="shared" si="1"/>
        <v>1300000</v>
      </c>
    </row>
    <row r="10" spans="1:11" ht="15.75" thickBot="1" x14ac:dyDescent="0.3">
      <c r="A10" s="241" t="s">
        <v>224</v>
      </c>
      <c r="B10" s="242">
        <f>B9/12</f>
        <v>112500</v>
      </c>
      <c r="C10" s="242">
        <f t="shared" ref="C10:K10" si="2">C9/12</f>
        <v>118750</v>
      </c>
      <c r="D10" s="242">
        <f t="shared" si="2"/>
        <v>110416.66666666667</v>
      </c>
      <c r="E10" s="242">
        <f t="shared" si="2"/>
        <v>108333.33333333333</v>
      </c>
      <c r="F10" s="242">
        <f t="shared" si="2"/>
        <v>116666.66666666667</v>
      </c>
      <c r="G10" s="242">
        <f t="shared" si="2"/>
        <v>108333.33333333333</v>
      </c>
      <c r="H10" s="242">
        <f t="shared" si="2"/>
        <v>108333.33333333333</v>
      </c>
      <c r="I10" s="242">
        <f t="shared" si="2"/>
        <v>108333.33333333333</v>
      </c>
      <c r="J10" s="242">
        <f t="shared" si="2"/>
        <v>108333.33333333333</v>
      </c>
      <c r="K10" s="242">
        <f t="shared" si="2"/>
        <v>108333.33333333333</v>
      </c>
    </row>
    <row r="11" spans="1:11" ht="15.75" thickBot="1" x14ac:dyDescent="0.3">
      <c r="A11" s="244" t="s">
        <v>225</v>
      </c>
      <c r="B11" s="242">
        <f>B10/2</f>
        <v>56250</v>
      </c>
      <c r="C11" s="242">
        <f t="shared" ref="C11:K11" si="3">C10/2</f>
        <v>59375</v>
      </c>
      <c r="D11" s="242">
        <f t="shared" si="3"/>
        <v>55208.333333333336</v>
      </c>
      <c r="E11" s="242">
        <f t="shared" si="3"/>
        <v>54166.666666666664</v>
      </c>
      <c r="F11" s="242">
        <f t="shared" si="3"/>
        <v>58333.333333333336</v>
      </c>
      <c r="G11" s="242">
        <f t="shared" si="3"/>
        <v>54166.666666666664</v>
      </c>
      <c r="H11" s="242">
        <f t="shared" si="3"/>
        <v>54166.666666666664</v>
      </c>
      <c r="I11" s="242">
        <f t="shared" si="3"/>
        <v>54166.666666666664</v>
      </c>
      <c r="J11" s="242">
        <f t="shared" si="3"/>
        <v>54166.666666666664</v>
      </c>
      <c r="K11" s="242">
        <f t="shared" si="3"/>
        <v>54166.666666666664</v>
      </c>
    </row>
  </sheetData>
  <pageMargins left="0.7" right="0.7" top="0.75" bottom="0.75" header="0.3" footer="0.3"/>
  <pageSetup orientation="portrait" horizontalDpi="1200" verticalDpi="1200" r:id="rId1"/>
  <ignoredErrors>
    <ignoredError sqref="B7:K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workbookViewId="0">
      <selection activeCell="N15" sqref="N15"/>
    </sheetView>
  </sheetViews>
  <sheetFormatPr defaultRowHeight="15" x14ac:dyDescent="0.25"/>
  <cols>
    <col min="1" max="1" width="15.85546875" customWidth="1"/>
    <col min="7" max="7" width="15.42578125" customWidth="1"/>
  </cols>
  <sheetData>
    <row r="1" spans="1:5" x14ac:dyDescent="0.25">
      <c r="A1" s="326" t="s">
        <v>28</v>
      </c>
      <c r="B1" s="326"/>
      <c r="C1" s="326"/>
      <c r="D1" s="326"/>
      <c r="E1" s="326"/>
    </row>
    <row r="2" spans="1:5" x14ac:dyDescent="0.25">
      <c r="A2" s="326"/>
      <c r="B2" s="326"/>
      <c r="C2" s="326"/>
      <c r="D2" s="326"/>
      <c r="E2" s="326"/>
    </row>
    <row r="3" spans="1:5" x14ac:dyDescent="0.25">
      <c r="A3" s="11"/>
      <c r="B3" s="11"/>
      <c r="C3" s="11"/>
      <c r="D3" s="11"/>
      <c r="E3" s="11"/>
    </row>
    <row r="4" spans="1:5" ht="39" x14ac:dyDescent="0.25">
      <c r="A4" s="12" t="s">
        <v>24</v>
      </c>
      <c r="B4" s="12" t="s">
        <v>7</v>
      </c>
      <c r="C4" s="12" t="s">
        <v>27</v>
      </c>
      <c r="D4" s="12" t="s">
        <v>25</v>
      </c>
      <c r="E4" s="12" t="s">
        <v>26</v>
      </c>
    </row>
    <row r="5" spans="1:5" x14ac:dyDescent="0.25">
      <c r="A5" s="13" t="s">
        <v>15</v>
      </c>
      <c r="B5" s="130">
        <v>2024</v>
      </c>
      <c r="C5" s="299">
        <v>0.97699999999999998</v>
      </c>
      <c r="D5" s="13" t="s">
        <v>16</v>
      </c>
      <c r="E5" s="13" t="s">
        <v>17</v>
      </c>
    </row>
    <row r="6" spans="1:5" x14ac:dyDescent="0.25">
      <c r="A6" s="13" t="s">
        <v>16</v>
      </c>
      <c r="B6" s="130">
        <v>2024</v>
      </c>
      <c r="C6" s="299">
        <v>0.91800000000000004</v>
      </c>
      <c r="D6" s="13" t="s">
        <v>17</v>
      </c>
      <c r="E6" s="13" t="s">
        <v>18</v>
      </c>
    </row>
    <row r="7" spans="1:5" x14ac:dyDescent="0.25">
      <c r="A7" s="13" t="s">
        <v>17</v>
      </c>
      <c r="B7" s="130">
        <v>2024</v>
      </c>
      <c r="C7" s="299">
        <v>0.94</v>
      </c>
      <c r="D7" s="13" t="s">
        <v>18</v>
      </c>
      <c r="E7" s="13" t="s">
        <v>19</v>
      </c>
    </row>
    <row r="8" spans="1:5" x14ac:dyDescent="0.25">
      <c r="A8" s="13" t="s">
        <v>18</v>
      </c>
      <c r="B8" s="130">
        <v>2024</v>
      </c>
      <c r="C8" s="299">
        <v>0.95499999999999996</v>
      </c>
      <c r="D8" s="13" t="s">
        <v>19</v>
      </c>
      <c r="E8" s="13" t="s">
        <v>8</v>
      </c>
    </row>
    <row r="9" spans="1:5" x14ac:dyDescent="0.25">
      <c r="A9" s="13" t="s">
        <v>19</v>
      </c>
      <c r="B9" s="130">
        <v>2024</v>
      </c>
      <c r="C9" s="299">
        <v>0.98599999999999999</v>
      </c>
      <c r="D9" s="13" t="s">
        <v>8</v>
      </c>
      <c r="E9" s="13" t="s">
        <v>9</v>
      </c>
    </row>
    <row r="10" spans="1:5" x14ac:dyDescent="0.25">
      <c r="A10" s="13" t="s">
        <v>8</v>
      </c>
      <c r="B10" s="130">
        <v>2024</v>
      </c>
      <c r="C10" s="299">
        <v>0.96699999999999997</v>
      </c>
      <c r="D10" s="13" t="s">
        <v>9</v>
      </c>
      <c r="E10" s="13" t="s">
        <v>10</v>
      </c>
    </row>
    <row r="11" spans="1:5" x14ac:dyDescent="0.25">
      <c r="A11" s="13" t="s">
        <v>9</v>
      </c>
      <c r="B11" s="130">
        <v>2024</v>
      </c>
      <c r="C11" s="299">
        <v>0.94799999999999995</v>
      </c>
      <c r="D11" s="13" t="s">
        <v>10</v>
      </c>
      <c r="E11" s="13" t="s">
        <v>11</v>
      </c>
    </row>
    <row r="12" spans="1:5" x14ac:dyDescent="0.25">
      <c r="A12" s="13" t="s">
        <v>10</v>
      </c>
      <c r="B12" s="130">
        <v>2024</v>
      </c>
      <c r="C12" s="299">
        <v>0.96899999999999997</v>
      </c>
      <c r="D12" s="13" t="s">
        <v>11</v>
      </c>
      <c r="E12" s="13" t="s">
        <v>12</v>
      </c>
    </row>
    <row r="13" spans="1:5" x14ac:dyDescent="0.25">
      <c r="A13" s="13" t="s">
        <v>11</v>
      </c>
      <c r="B13" s="130">
        <v>2025</v>
      </c>
      <c r="C13" s="299">
        <v>0.96199999999999997</v>
      </c>
      <c r="D13" s="13" t="s">
        <v>12</v>
      </c>
      <c r="E13" s="13" t="s">
        <v>13</v>
      </c>
    </row>
    <row r="14" spans="1:5" x14ac:dyDescent="0.25">
      <c r="A14" s="13" t="s">
        <v>12</v>
      </c>
      <c r="B14" s="130">
        <v>2025</v>
      </c>
      <c r="C14" s="299">
        <v>0.97699999999999998</v>
      </c>
      <c r="D14" s="13" t="s">
        <v>13</v>
      </c>
      <c r="E14" s="13" t="s">
        <v>14</v>
      </c>
    </row>
    <row r="15" spans="1:5" x14ac:dyDescent="0.25">
      <c r="A15" s="13" t="s">
        <v>13</v>
      </c>
      <c r="B15" s="130">
        <v>2025</v>
      </c>
      <c r="C15" s="299">
        <v>0.96799999999999997</v>
      </c>
      <c r="D15" s="13" t="s">
        <v>14</v>
      </c>
      <c r="E15" s="13" t="s">
        <v>15</v>
      </c>
    </row>
    <row r="16" spans="1:5" x14ac:dyDescent="0.25">
      <c r="A16" s="13" t="s">
        <v>14</v>
      </c>
      <c r="B16" s="130">
        <v>2025</v>
      </c>
      <c r="C16" s="299">
        <v>0.95799999999999996</v>
      </c>
      <c r="D16" s="13" t="s">
        <v>15</v>
      </c>
      <c r="E16" s="13" t="s">
        <v>16</v>
      </c>
    </row>
    <row r="17" spans="1:6" x14ac:dyDescent="0.25">
      <c r="A17" s="13"/>
      <c r="B17" s="13"/>
      <c r="C17" s="14"/>
      <c r="D17" s="13"/>
      <c r="E17" s="11"/>
    </row>
    <row r="18" spans="1:6" x14ac:dyDescent="0.25">
      <c r="A18" s="20" t="s">
        <v>50</v>
      </c>
      <c r="B18" s="13"/>
      <c r="C18" s="16">
        <f>AVERAGE(C5:C16)</f>
        <v>0.9604166666666667</v>
      </c>
      <c r="D18" s="13"/>
      <c r="E18" s="11"/>
    </row>
    <row r="19" spans="1:6" x14ac:dyDescent="0.25">
      <c r="A19" s="15"/>
      <c r="B19" s="15"/>
      <c r="C19" s="15"/>
      <c r="D19" s="15"/>
    </row>
    <row r="21" spans="1:6" x14ac:dyDescent="0.25">
      <c r="A21" s="326" t="s">
        <v>73</v>
      </c>
      <c r="B21" s="326"/>
      <c r="C21" s="326"/>
      <c r="D21" s="326"/>
      <c r="E21" s="326"/>
    </row>
    <row r="22" spans="1:6" x14ac:dyDescent="0.25">
      <c r="A22" s="326"/>
      <c r="B22" s="326"/>
      <c r="C22" s="326"/>
      <c r="D22" s="326"/>
      <c r="E22" s="326"/>
    </row>
    <row r="24" spans="1:6" x14ac:dyDescent="0.25">
      <c r="A24" s="13" t="s">
        <v>74</v>
      </c>
      <c r="B24" s="13"/>
      <c r="C24" s="13"/>
      <c r="D24" s="13"/>
      <c r="E24" s="13">
        <v>1.9835999999999999E-2</v>
      </c>
      <c r="F24" s="15"/>
    </row>
    <row r="25" spans="1:6" x14ac:dyDescent="0.25">
      <c r="A25" s="13" t="s">
        <v>75</v>
      </c>
      <c r="B25" s="13"/>
      <c r="C25" s="13"/>
      <c r="D25" s="13"/>
      <c r="E25" s="13">
        <v>0.6</v>
      </c>
      <c r="F25" s="15"/>
    </row>
    <row r="26" spans="1:6" x14ac:dyDescent="0.25">
      <c r="A26" s="13" t="s">
        <v>76</v>
      </c>
      <c r="B26" s="13"/>
      <c r="C26" s="13"/>
      <c r="D26" s="13"/>
      <c r="E26" s="13">
        <v>0.05</v>
      </c>
      <c r="F26" s="15"/>
    </row>
    <row r="27" spans="1:6" x14ac:dyDescent="0.25">
      <c r="A27" s="15"/>
      <c r="B27" s="15"/>
      <c r="C27" s="15"/>
      <c r="D27" s="15"/>
      <c r="E27" s="15"/>
      <c r="F27" s="15"/>
    </row>
    <row r="28" spans="1:6" x14ac:dyDescent="0.25">
      <c r="A28" s="15"/>
      <c r="B28" s="15"/>
      <c r="C28" s="15"/>
      <c r="D28" s="15"/>
      <c r="E28" s="15"/>
      <c r="F28" s="15"/>
    </row>
    <row r="29" spans="1:6" x14ac:dyDescent="0.25">
      <c r="A29" s="15"/>
      <c r="B29" s="15"/>
      <c r="C29" s="15"/>
      <c r="D29" s="15"/>
      <c r="E29" s="15"/>
      <c r="F29" s="15"/>
    </row>
  </sheetData>
  <mergeCells count="4">
    <mergeCell ref="A1:E1"/>
    <mergeCell ref="A2:E2"/>
    <mergeCell ref="A21:E21"/>
    <mergeCell ref="A22:E2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7A3D6-1ADD-45D1-9A2A-66DAFFB00465}">
  <sheetPr codeName="Sheet14">
    <pageSetUpPr autoPageBreaks="0"/>
  </sheetPr>
  <dimension ref="A1:Y49"/>
  <sheetViews>
    <sheetView showGridLines="0" zoomScaleNormal="100" workbookViewId="0">
      <pane ySplit="6" topLeftCell="A7" activePane="bottomLeft" state="frozen"/>
      <selection activeCell="N33" sqref="N33"/>
      <selection pane="bottomLeft" activeCell="S16" sqref="S16"/>
    </sheetView>
  </sheetViews>
  <sheetFormatPr defaultColWidth="8.7109375" defaultRowHeight="12.75" x14ac:dyDescent="0.2"/>
  <cols>
    <col min="1" max="1" width="2.42578125" style="54" customWidth="1"/>
    <col min="2" max="2" width="5" style="107" bestFit="1" customWidth="1"/>
    <col min="3" max="3" width="0.28515625" style="54" customWidth="1"/>
    <col min="4" max="4" width="12.7109375" style="54" customWidth="1"/>
    <col min="5" max="5" width="0.28515625" style="54" customWidth="1"/>
    <col min="6" max="6" width="15.7109375" style="54" customWidth="1"/>
    <col min="7" max="7" width="0.28515625" style="54" customWidth="1"/>
    <col min="8" max="8" width="12.7109375" style="54" customWidth="1"/>
    <col min="9" max="9" width="0.28515625" style="54" customWidth="1"/>
    <col min="10" max="10" width="12.7109375" style="54" customWidth="1"/>
    <col min="11" max="11" width="3.7109375" style="54" customWidth="1"/>
    <col min="12" max="12" width="0.28515625" style="54" customWidth="1"/>
    <col min="13" max="13" width="12.7109375" style="54" customWidth="1"/>
    <col min="14" max="14" width="1.28515625" style="54" customWidth="1"/>
    <col min="15" max="15" width="10.28515625" style="54" bestFit="1" customWidth="1"/>
    <col min="16" max="16" width="0.28515625" style="54" customWidth="1"/>
    <col min="17" max="17" width="3.7109375" style="54" customWidth="1"/>
    <col min="18" max="18" width="0.28515625" style="54" customWidth="1"/>
    <col min="19" max="19" width="12" style="54" bestFit="1" customWidth="1"/>
    <col min="20" max="20" width="2.42578125" style="54" customWidth="1"/>
    <col min="21" max="16384" width="8.7109375" style="54"/>
  </cols>
  <sheetData>
    <row r="1" spans="1:25" s="118" customFormat="1" x14ac:dyDescent="0.2">
      <c r="A1" s="54"/>
      <c r="B1" s="54"/>
      <c r="C1" s="54"/>
      <c r="D1" s="54"/>
      <c r="E1" s="54"/>
      <c r="F1" s="54"/>
      <c r="G1" s="54"/>
    </row>
    <row r="2" spans="1:25" s="118" customFormat="1" x14ac:dyDescent="0.2">
      <c r="A2" s="119"/>
      <c r="B2" s="327" t="s">
        <v>69</v>
      </c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</row>
    <row r="3" spans="1:25" s="118" customFormat="1" x14ac:dyDescent="0.2">
      <c r="A3" s="119"/>
      <c r="B3" s="327" t="s">
        <v>70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</row>
    <row r="4" spans="1:25" s="118" customFormat="1" x14ac:dyDescent="0.2">
      <c r="A4" s="120"/>
      <c r="B4" s="328" t="s">
        <v>71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</row>
    <row r="5" spans="1:25" s="118" customFormat="1" x14ac:dyDescent="0.2">
      <c r="B5" s="121"/>
      <c r="F5" s="122"/>
      <c r="G5" s="122"/>
    </row>
    <row r="6" spans="1:25" s="118" customFormat="1" x14ac:dyDescent="0.2"/>
    <row r="7" spans="1:25" ht="13.5" thickBot="1" x14ac:dyDescent="0.25"/>
    <row r="8" spans="1:25" ht="30" customHeight="1" thickBot="1" x14ac:dyDescent="0.25">
      <c r="B8" s="55" t="s">
        <v>29</v>
      </c>
      <c r="C8" s="56"/>
      <c r="D8" s="57" t="s">
        <v>30</v>
      </c>
      <c r="E8" s="58"/>
      <c r="F8" s="59" t="s">
        <v>31</v>
      </c>
      <c r="G8" s="58"/>
      <c r="H8" s="59" t="s">
        <v>32</v>
      </c>
      <c r="I8" s="58"/>
      <c r="J8" s="59" t="s">
        <v>33</v>
      </c>
      <c r="K8" s="60"/>
      <c r="L8" s="58"/>
      <c r="M8" s="59" t="s">
        <v>34</v>
      </c>
      <c r="N8" s="61"/>
      <c r="O8" s="62" t="s">
        <v>35</v>
      </c>
      <c r="P8" s="61"/>
      <c r="Q8" s="63"/>
      <c r="R8" s="64"/>
      <c r="S8" s="65" t="s">
        <v>36</v>
      </c>
      <c r="T8" s="66"/>
    </row>
    <row r="9" spans="1:25" ht="30" customHeight="1" thickBot="1" x14ac:dyDescent="0.25">
      <c r="B9" s="67"/>
      <c r="C9" s="68"/>
      <c r="D9" s="69"/>
      <c r="E9" s="68"/>
      <c r="F9" s="70" t="s">
        <v>72</v>
      </c>
      <c r="G9" s="68"/>
      <c r="H9" s="69"/>
      <c r="I9" s="68"/>
      <c r="J9" s="69"/>
      <c r="K9" s="71"/>
      <c r="L9" s="68"/>
      <c r="M9" s="69"/>
      <c r="N9" s="72"/>
      <c r="O9" s="73"/>
      <c r="P9" s="72"/>
      <c r="Q9" s="74"/>
      <c r="R9" s="75"/>
      <c r="S9" s="76"/>
      <c r="T9" s="66"/>
    </row>
    <row r="10" spans="1:25" ht="12.75" customHeight="1" x14ac:dyDescent="0.2">
      <c r="B10" s="77"/>
      <c r="C10" s="78"/>
      <c r="D10" s="79"/>
      <c r="E10" s="78"/>
      <c r="F10" s="79"/>
      <c r="G10" s="78"/>
      <c r="H10" s="79"/>
      <c r="I10" s="78"/>
      <c r="J10" s="79"/>
      <c r="K10" s="80"/>
      <c r="L10" s="78"/>
      <c r="M10" s="79"/>
      <c r="N10" s="78"/>
      <c r="O10" s="79"/>
      <c r="P10" s="78"/>
      <c r="Q10" s="79"/>
      <c r="R10" s="78"/>
      <c r="S10" s="81"/>
    </row>
    <row r="11" spans="1:25" ht="15" customHeight="1" x14ac:dyDescent="0.2">
      <c r="B11" s="82">
        <v>1</v>
      </c>
      <c r="C11" s="75"/>
      <c r="D11" s="74" t="s">
        <v>37</v>
      </c>
      <c r="E11" s="75"/>
      <c r="F11" s="83">
        <v>953708560</v>
      </c>
      <c r="G11" s="75"/>
      <c r="H11" s="84">
        <f>ROUND(F11/$F$16,4)</f>
        <v>0.5262</v>
      </c>
      <c r="I11" s="75"/>
      <c r="J11" s="85">
        <v>4.9000000000000002E-2</v>
      </c>
      <c r="K11" s="86"/>
      <c r="L11" s="75"/>
      <c r="M11" s="84">
        <f>ROUND(H11*J11,4)</f>
        <v>2.58E-2</v>
      </c>
      <c r="N11" s="75"/>
      <c r="O11" s="87">
        <f>O38</f>
        <v>1.0055229999999999</v>
      </c>
      <c r="P11" s="75"/>
      <c r="Q11" s="74"/>
      <c r="R11" s="75"/>
      <c r="S11" s="88">
        <f>ROUND(M11*O11,6)</f>
        <v>2.5942E-2</v>
      </c>
      <c r="T11" s="89"/>
      <c r="Y11" s="118"/>
    </row>
    <row r="12" spans="1:25" x14ac:dyDescent="0.2">
      <c r="B12" s="82">
        <f>+B11+1</f>
        <v>2</v>
      </c>
      <c r="C12" s="75"/>
      <c r="D12" s="74" t="s">
        <v>38</v>
      </c>
      <c r="E12" s="75"/>
      <c r="F12" s="83">
        <v>111251046</v>
      </c>
      <c r="G12" s="75"/>
      <c r="H12" s="84">
        <f>ROUND(F12/$F$16,4)</f>
        <v>6.1400000000000003E-2</v>
      </c>
      <c r="I12" s="75"/>
      <c r="J12" s="85">
        <v>3.73E-2</v>
      </c>
      <c r="K12" s="86"/>
      <c r="L12" s="75"/>
      <c r="M12" s="84">
        <f>ROUND(H12*J12,4)</f>
        <v>2.3E-3</v>
      </c>
      <c r="N12" s="75"/>
      <c r="O12" s="87">
        <f>O38</f>
        <v>1.0055229999999999</v>
      </c>
      <c r="P12" s="75"/>
      <c r="Q12" s="74"/>
      <c r="R12" s="75"/>
      <c r="S12" s="88">
        <f>ROUND(M12*O12,6)</f>
        <v>2.313E-3</v>
      </c>
      <c r="T12" s="89"/>
      <c r="Y12" s="118"/>
    </row>
    <row r="13" spans="1:25" ht="25.5" x14ac:dyDescent="0.2">
      <c r="B13" s="82">
        <f>+B12+1</f>
        <v>3</v>
      </c>
      <c r="C13" s="75"/>
      <c r="D13" s="90" t="s">
        <v>39</v>
      </c>
      <c r="E13" s="75"/>
      <c r="F13" s="83">
        <v>0</v>
      </c>
      <c r="G13" s="75"/>
      <c r="H13" s="84">
        <f>ROUND(F13/$F$16,4)</f>
        <v>0</v>
      </c>
      <c r="I13" s="75"/>
      <c r="J13" s="85">
        <v>0</v>
      </c>
      <c r="K13" s="86"/>
      <c r="L13" s="75"/>
      <c r="M13" s="84">
        <f>ROUND(H13*J13,4)</f>
        <v>0</v>
      </c>
      <c r="N13" s="75"/>
      <c r="O13" s="87">
        <f>O38</f>
        <v>1.0055229999999999</v>
      </c>
      <c r="P13" s="75"/>
      <c r="Q13" s="74"/>
      <c r="R13" s="75"/>
      <c r="S13" s="88">
        <f>ROUND(M13*O13,6)</f>
        <v>0</v>
      </c>
      <c r="T13" s="89"/>
      <c r="Y13" s="118"/>
    </row>
    <row r="14" spans="1:25" x14ac:dyDescent="0.2">
      <c r="B14" s="82">
        <f>+B13+1</f>
        <v>4</v>
      </c>
      <c r="C14" s="75"/>
      <c r="D14" s="74" t="s">
        <v>40</v>
      </c>
      <c r="E14" s="75"/>
      <c r="F14" s="83">
        <v>747579969</v>
      </c>
      <c r="G14" s="75"/>
      <c r="H14" s="84">
        <f>ROUND(F14/$F$16,4)</f>
        <v>0.41239999999999999</v>
      </c>
      <c r="I14" s="75"/>
      <c r="J14" s="91">
        <v>9.6500000000000002E-2</v>
      </c>
      <c r="K14" s="82"/>
      <c r="L14" s="75"/>
      <c r="M14" s="84">
        <f>ROUND(H14*J14,4)</f>
        <v>3.9800000000000002E-2</v>
      </c>
      <c r="N14" s="75"/>
      <c r="O14" s="92">
        <f>S38</f>
        <v>1.339896</v>
      </c>
      <c r="P14" s="75"/>
      <c r="Q14" s="73"/>
      <c r="R14" s="75"/>
      <c r="S14" s="88">
        <f>ROUND(M14*O14,6)</f>
        <v>5.3328E-2</v>
      </c>
      <c r="T14" s="89"/>
      <c r="Y14" s="118"/>
    </row>
    <row r="15" spans="1:25" x14ac:dyDescent="0.2">
      <c r="B15" s="82"/>
      <c r="C15" s="75"/>
      <c r="D15" s="74"/>
      <c r="E15" s="75"/>
      <c r="F15" s="83"/>
      <c r="G15" s="75"/>
      <c r="H15" s="93"/>
      <c r="I15" s="75"/>
      <c r="J15" s="94"/>
      <c r="K15" s="86"/>
      <c r="L15" s="75"/>
      <c r="M15" s="84"/>
      <c r="N15" s="75"/>
      <c r="O15" s="73"/>
      <c r="P15" s="75"/>
      <c r="Q15" s="74"/>
      <c r="R15" s="75"/>
      <c r="S15" s="95"/>
      <c r="T15" s="96"/>
    </row>
    <row r="16" spans="1:25" x14ac:dyDescent="0.2">
      <c r="B16" s="82">
        <f>+B14+1</f>
        <v>5</v>
      </c>
      <c r="C16" s="75"/>
      <c r="D16" s="74" t="s">
        <v>41</v>
      </c>
      <c r="E16" s="75"/>
      <c r="F16" s="97">
        <f>SUM(F11:F14)</f>
        <v>1812539575</v>
      </c>
      <c r="G16" s="75"/>
      <c r="H16" s="98">
        <f>SUM(H11:H14)</f>
        <v>1</v>
      </c>
      <c r="I16" s="75"/>
      <c r="J16" s="94"/>
      <c r="K16" s="86"/>
      <c r="L16" s="75"/>
      <c r="M16" s="98">
        <f>ROUND(SUM(M11:M15),4)</f>
        <v>6.7900000000000002E-2</v>
      </c>
      <c r="N16" s="75"/>
      <c r="O16" s="74"/>
      <c r="P16" s="75"/>
      <c r="Q16" s="74"/>
      <c r="R16" s="75"/>
      <c r="S16" s="99">
        <f>ROUND(SUM(S11:S15),4)</f>
        <v>8.1600000000000006E-2</v>
      </c>
      <c r="T16" s="100"/>
    </row>
    <row r="17" spans="2:21" x14ac:dyDescent="0.2">
      <c r="B17" s="82"/>
      <c r="C17" s="75"/>
      <c r="D17" s="74"/>
      <c r="E17" s="75"/>
      <c r="F17" s="74"/>
      <c r="G17" s="75"/>
      <c r="H17" s="74"/>
      <c r="I17" s="75"/>
      <c r="J17" s="74"/>
      <c r="K17" s="86"/>
      <c r="L17" s="75"/>
      <c r="M17" s="74"/>
      <c r="N17" s="75"/>
      <c r="O17" s="74"/>
      <c r="P17" s="75"/>
      <c r="Q17" s="74"/>
      <c r="R17" s="75"/>
      <c r="S17" s="101"/>
    </row>
    <row r="18" spans="2:21" ht="13.5" thickBot="1" x14ac:dyDescent="0.25">
      <c r="B18" s="102"/>
      <c r="C18" s="103"/>
      <c r="D18" s="104"/>
      <c r="E18" s="103"/>
      <c r="F18" s="104"/>
      <c r="G18" s="103"/>
      <c r="H18" s="104"/>
      <c r="I18" s="103"/>
      <c r="J18" s="104"/>
      <c r="K18" s="105"/>
      <c r="L18" s="103"/>
      <c r="M18" s="104"/>
      <c r="N18" s="103"/>
      <c r="O18" s="104"/>
      <c r="P18" s="103"/>
      <c r="Q18" s="104"/>
      <c r="R18" s="103"/>
      <c r="S18" s="106"/>
    </row>
    <row r="19" spans="2:21" x14ac:dyDescent="0.2">
      <c r="N19" s="107"/>
      <c r="P19" s="107"/>
    </row>
    <row r="20" spans="2:21" ht="12" customHeight="1" x14ac:dyDescent="0.2">
      <c r="N20" s="107"/>
      <c r="P20" s="107"/>
    </row>
    <row r="21" spans="2:21" ht="12" customHeight="1" x14ac:dyDescent="0.2">
      <c r="N21" s="108"/>
      <c r="O21" s="108" t="s">
        <v>42</v>
      </c>
      <c r="P21" s="108"/>
      <c r="S21" s="108" t="s">
        <v>43</v>
      </c>
    </row>
    <row r="22" spans="2:21" ht="12" customHeight="1" x14ac:dyDescent="0.2">
      <c r="B22" s="73">
        <v>6</v>
      </c>
      <c r="C22" s="74"/>
      <c r="D22" s="74" t="s">
        <v>44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109">
        <v>100</v>
      </c>
      <c r="P22" s="74"/>
      <c r="Q22" s="74"/>
      <c r="R22" s="74"/>
      <c r="S22" s="110">
        <f>O22</f>
        <v>100</v>
      </c>
      <c r="T22" s="74"/>
      <c r="U22" s="74"/>
    </row>
    <row r="23" spans="2:21" ht="12" customHeight="1" x14ac:dyDescent="0.2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11"/>
      <c r="T23" s="74"/>
      <c r="U23" s="74"/>
    </row>
    <row r="24" spans="2:21" x14ac:dyDescent="0.2">
      <c r="B24" s="73">
        <v>7</v>
      </c>
      <c r="C24" s="74"/>
      <c r="D24" s="74" t="s">
        <v>45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112">
        <v>0.4</v>
      </c>
      <c r="P24" s="74"/>
      <c r="Q24" s="74"/>
      <c r="R24" s="74"/>
      <c r="S24" s="111">
        <f>O24</f>
        <v>0.4</v>
      </c>
      <c r="T24" s="74"/>
      <c r="U24" s="74"/>
    </row>
    <row r="25" spans="2:21" x14ac:dyDescent="0.2"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111"/>
      <c r="T25" s="74"/>
      <c r="U25" s="74"/>
    </row>
    <row r="26" spans="2:21" x14ac:dyDescent="0.2">
      <c r="B26" s="73">
        <v>8</v>
      </c>
      <c r="C26" s="74"/>
      <c r="D26" s="74" t="s">
        <v>46</v>
      </c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>
        <v>0.14929999999999999</v>
      </c>
      <c r="P26" s="74"/>
      <c r="Q26" s="74"/>
      <c r="R26" s="74"/>
      <c r="S26" s="111">
        <f>O26</f>
        <v>0.14929999999999999</v>
      </c>
      <c r="T26" s="74"/>
      <c r="U26" s="74"/>
    </row>
    <row r="27" spans="2:21" x14ac:dyDescent="0.2"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 t="s">
        <v>0</v>
      </c>
      <c r="P27" s="74"/>
      <c r="Q27" s="74"/>
      <c r="R27" s="74"/>
      <c r="S27" s="111"/>
      <c r="T27" s="74"/>
      <c r="U27" s="74"/>
    </row>
    <row r="28" spans="2:21" x14ac:dyDescent="0.2">
      <c r="B28" s="73">
        <v>9</v>
      </c>
      <c r="C28" s="74"/>
      <c r="D28" s="74" t="s">
        <v>47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112">
        <f>O22-O24-O26</f>
        <v>99.450699999999998</v>
      </c>
      <c r="P28" s="74"/>
      <c r="Q28" s="74"/>
      <c r="R28" s="74"/>
      <c r="S28" s="111">
        <f>S22-S24-S26</f>
        <v>99.450699999999998</v>
      </c>
      <c r="T28" s="74"/>
      <c r="U28" s="74"/>
    </row>
    <row r="29" spans="2:21" x14ac:dyDescent="0.2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111"/>
      <c r="T29" s="74"/>
      <c r="U29" s="74"/>
    </row>
    <row r="30" spans="2:21" x14ac:dyDescent="0.2">
      <c r="B30" s="73">
        <v>10</v>
      </c>
      <c r="C30" s="74"/>
      <c r="D30" s="74" t="s">
        <v>66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113">
        <v>5.0064999999999998E-2</v>
      </c>
      <c r="P30" s="74"/>
      <c r="Q30" s="74"/>
      <c r="R30" s="74"/>
      <c r="S30" s="111">
        <f>ROUND(S28*O30,6)</f>
        <v>4.978999</v>
      </c>
      <c r="T30" s="74"/>
      <c r="U30" s="74"/>
    </row>
    <row r="31" spans="2:21" x14ac:dyDescent="0.2"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3"/>
      <c r="P31" s="74"/>
      <c r="Q31" s="74"/>
      <c r="R31" s="74"/>
      <c r="S31" s="111"/>
      <c r="T31" s="74"/>
      <c r="U31" s="74"/>
    </row>
    <row r="32" spans="2:21" x14ac:dyDescent="0.2">
      <c r="B32" s="73">
        <v>11</v>
      </c>
      <c r="C32" s="74"/>
      <c r="D32" s="74" t="s">
        <v>67</v>
      </c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3"/>
      <c r="P32" s="74"/>
      <c r="Q32" s="74"/>
      <c r="R32" s="74"/>
      <c r="S32" s="111">
        <f>S28-S30</f>
        <v>94.471700999999996</v>
      </c>
      <c r="T32" s="74"/>
      <c r="U32" s="74"/>
    </row>
    <row r="33" spans="1:21" x14ac:dyDescent="0.2"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111"/>
      <c r="T33" s="74"/>
      <c r="U33" s="74"/>
    </row>
    <row r="34" spans="1:21" x14ac:dyDescent="0.2">
      <c r="B34" s="73">
        <v>12</v>
      </c>
      <c r="C34" s="74"/>
      <c r="D34" s="74" t="s">
        <v>68</v>
      </c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114">
        <f>S32*0.21</f>
        <v>19.83905721</v>
      </c>
      <c r="T34" s="74"/>
      <c r="U34" s="74"/>
    </row>
    <row r="35" spans="1:21" x14ac:dyDescent="0.2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111"/>
      <c r="T35" s="74"/>
      <c r="U35" s="74"/>
    </row>
    <row r="36" spans="1:21" x14ac:dyDescent="0.2">
      <c r="B36" s="73">
        <v>13</v>
      </c>
      <c r="C36" s="74"/>
      <c r="D36" s="74" t="s">
        <v>48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111">
        <f>S32-S34</f>
        <v>74.632643790000003</v>
      </c>
      <c r="T36" s="74"/>
      <c r="U36" s="74"/>
    </row>
    <row r="37" spans="1:21" x14ac:dyDescent="0.2"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115"/>
      <c r="T37" s="74"/>
      <c r="U37" s="74"/>
    </row>
    <row r="38" spans="1:21" x14ac:dyDescent="0.2">
      <c r="B38" s="73">
        <v>14</v>
      </c>
      <c r="C38" s="74"/>
      <c r="D38" s="74" t="s">
        <v>49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116">
        <f>ROUND(100/O28,6)</f>
        <v>1.0055229999999999</v>
      </c>
      <c r="P38" s="74"/>
      <c r="Q38" s="74"/>
      <c r="R38" s="74"/>
      <c r="S38" s="117">
        <f>ROUND(100/S36,6)</f>
        <v>1.339896</v>
      </c>
      <c r="T38" s="74"/>
      <c r="U38" s="74"/>
    </row>
    <row r="39" spans="1:21" x14ac:dyDescent="0.2"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3"/>
      <c r="O39" s="73"/>
      <c r="P39" s="73"/>
      <c r="Q39" s="73"/>
      <c r="R39" s="73"/>
      <c r="S39" s="73"/>
      <c r="T39" s="74"/>
      <c r="U39" s="74"/>
    </row>
    <row r="40" spans="1:21" x14ac:dyDescent="0.2">
      <c r="B40" s="73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3"/>
      <c r="O40" s="73"/>
      <c r="P40" s="73"/>
      <c r="Q40" s="73"/>
      <c r="R40" s="73"/>
      <c r="S40" s="73"/>
      <c r="T40" s="74"/>
      <c r="U40" s="74"/>
    </row>
    <row r="41" spans="1:21" x14ac:dyDescent="0.2"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3"/>
      <c r="O41" s="73"/>
      <c r="P41" s="73"/>
      <c r="Q41" s="73"/>
      <c r="R41" s="73"/>
      <c r="S41" s="73"/>
      <c r="T41" s="74"/>
      <c r="U41" s="74"/>
    </row>
    <row r="42" spans="1:21" x14ac:dyDescent="0.2">
      <c r="A42" s="123"/>
      <c r="B42" s="73"/>
      <c r="C42" s="74"/>
      <c r="D42" s="329"/>
      <c r="E42" s="329"/>
      <c r="F42" s="329"/>
      <c r="G42" s="329"/>
      <c r="H42" s="32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74"/>
      <c r="U42" s="74"/>
    </row>
    <row r="43" spans="1:21" x14ac:dyDescent="0.2">
      <c r="A43" s="123"/>
      <c r="B43" s="73"/>
      <c r="C43" s="7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74"/>
      <c r="U43" s="74"/>
    </row>
    <row r="44" spans="1:21" ht="33" customHeight="1" x14ac:dyDescent="0.2">
      <c r="A44" s="125"/>
      <c r="B44" s="126"/>
      <c r="C44" s="74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74"/>
      <c r="U44" s="74"/>
    </row>
    <row r="45" spans="1:21" x14ac:dyDescent="0.2"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3"/>
      <c r="O45" s="73"/>
      <c r="P45" s="73"/>
      <c r="Q45" s="73"/>
      <c r="R45" s="73"/>
      <c r="S45" s="73"/>
      <c r="T45" s="74"/>
      <c r="U45" s="74"/>
    </row>
    <row r="46" spans="1:21" ht="30" customHeight="1" x14ac:dyDescent="0.2">
      <c r="B46" s="69" t="s">
        <v>0</v>
      </c>
      <c r="C46" s="126"/>
      <c r="D46" s="74"/>
      <c r="E46" s="74"/>
      <c r="F46" s="74"/>
      <c r="G46" s="74"/>
      <c r="H46" s="74"/>
    </row>
    <row r="48" spans="1:21" x14ac:dyDescent="0.2">
      <c r="B48" s="126"/>
      <c r="C48" s="126"/>
      <c r="D48" s="74"/>
      <c r="E48" s="74"/>
      <c r="F48" s="74"/>
      <c r="G48" s="74"/>
      <c r="H48" s="74"/>
    </row>
    <row r="49" spans="2:8" x14ac:dyDescent="0.2">
      <c r="B49" s="73"/>
      <c r="C49" s="74"/>
      <c r="D49" s="74"/>
      <c r="E49" s="74"/>
      <c r="F49" s="74"/>
      <c r="G49" s="74"/>
      <c r="H49" s="74"/>
    </row>
  </sheetData>
  <mergeCells count="5">
    <mergeCell ref="B2:S2"/>
    <mergeCell ref="B3:S3"/>
    <mergeCell ref="B4:S4"/>
    <mergeCell ref="D42:S42"/>
    <mergeCell ref="D44:S44"/>
  </mergeCells>
  <printOptions horizontalCentered="1"/>
  <pageMargins left="0.7" right="0.7" top="0.75" bottom="0.75" header="0.3" footer="0.3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BDB0-0B3B-4D1D-B914-EF3AE1F95551}">
  <dimension ref="A1:M93"/>
  <sheetViews>
    <sheetView workbookViewId="0">
      <pane ySplit="3" topLeftCell="A4" activePane="bottomLeft" state="frozen"/>
      <selection pane="bottomLeft" activeCell="R65" sqref="R65"/>
    </sheetView>
  </sheetViews>
  <sheetFormatPr defaultRowHeight="12.75" x14ac:dyDescent="0.2"/>
  <cols>
    <col min="1" max="1" width="6.140625" style="11" bestFit="1" customWidth="1"/>
    <col min="2" max="2" width="18.140625" style="11" bestFit="1" customWidth="1"/>
    <col min="3" max="3" width="15.7109375" style="11" customWidth="1"/>
    <col min="4" max="4" width="16.42578125" style="11" bestFit="1" customWidth="1"/>
    <col min="5" max="5" width="12.85546875" style="11" bestFit="1" customWidth="1"/>
    <col min="6" max="6" width="11.28515625" style="11" customWidth="1"/>
    <col min="7" max="7" width="5" style="11" customWidth="1"/>
    <col min="8" max="8" width="10.28515625" style="11" bestFit="1" customWidth="1"/>
    <col min="9" max="9" width="12.42578125" style="11" bestFit="1" customWidth="1"/>
    <col min="10" max="10" width="9.140625" style="11"/>
    <col min="11" max="11" width="12.5703125" style="11" bestFit="1" customWidth="1"/>
    <col min="12" max="16384" width="9.140625" style="11"/>
  </cols>
  <sheetData>
    <row r="1" spans="1:13" s="19" customFormat="1" x14ac:dyDescent="0.2">
      <c r="A1" s="20" t="s">
        <v>86</v>
      </c>
      <c r="B1" s="20"/>
      <c r="C1" s="20"/>
      <c r="D1" s="20"/>
      <c r="E1" s="20"/>
      <c r="F1" s="20"/>
      <c r="G1" s="20"/>
      <c r="H1" s="20"/>
      <c r="I1" s="20"/>
      <c r="J1" s="20"/>
      <c r="K1" s="11"/>
    </row>
    <row r="2" spans="1:13" x14ac:dyDescent="0.2">
      <c r="C2" s="154"/>
      <c r="D2" s="155"/>
      <c r="E2" s="154"/>
      <c r="F2" s="154"/>
      <c r="G2" s="154"/>
    </row>
    <row r="3" spans="1:13" s="158" customFormat="1" ht="25.5" x14ac:dyDescent="0.2">
      <c r="A3" s="156" t="s">
        <v>87</v>
      </c>
      <c r="B3" s="156" t="s">
        <v>87</v>
      </c>
      <c r="C3" s="157" t="s">
        <v>88</v>
      </c>
      <c r="D3" s="157" t="s">
        <v>89</v>
      </c>
      <c r="E3" s="157" t="s">
        <v>90</v>
      </c>
      <c r="F3" s="157" t="s">
        <v>91</v>
      </c>
      <c r="H3" s="158" t="s">
        <v>92</v>
      </c>
      <c r="I3" s="158" t="s">
        <v>93</v>
      </c>
      <c r="J3" s="158" t="s">
        <v>94</v>
      </c>
      <c r="L3" s="158" t="s">
        <v>192</v>
      </c>
    </row>
    <row r="4" spans="1:13" x14ac:dyDescent="0.2">
      <c r="A4" s="13">
        <v>11</v>
      </c>
      <c r="B4" s="13" t="s">
        <v>95</v>
      </c>
      <c r="C4" s="159">
        <v>309433.67</v>
      </c>
      <c r="D4" s="200">
        <v>2140902</v>
      </c>
      <c r="E4" s="201">
        <v>0</v>
      </c>
      <c r="F4" s="200">
        <v>130.833333333333</v>
      </c>
      <c r="K4" s="118"/>
      <c r="L4" s="11">
        <v>11</v>
      </c>
      <c r="M4" s="11" t="str">
        <f>IF(L4=A4,"Yes","No")</f>
        <v>Yes</v>
      </c>
    </row>
    <row r="5" spans="1:13" x14ac:dyDescent="0.2">
      <c r="A5" s="13">
        <v>12</v>
      </c>
      <c r="B5" s="13" t="s">
        <v>96</v>
      </c>
      <c r="C5" s="159">
        <v>26229.87</v>
      </c>
      <c r="D5" s="200">
        <v>187456</v>
      </c>
      <c r="E5" s="201">
        <v>0</v>
      </c>
      <c r="F5" s="200">
        <v>10</v>
      </c>
      <c r="K5" s="118"/>
      <c r="L5" s="11">
        <v>12</v>
      </c>
      <c r="M5" s="11" t="str">
        <f t="shared" ref="M5:M67" si="0">IF(L5=A5,"Yes","No")</f>
        <v>Yes</v>
      </c>
    </row>
    <row r="6" spans="1:13" x14ac:dyDescent="0.2">
      <c r="A6" s="13">
        <v>13</v>
      </c>
      <c r="B6" s="13" t="s">
        <v>97</v>
      </c>
      <c r="C6" s="159">
        <v>2897.52</v>
      </c>
      <c r="D6" s="200">
        <v>20806</v>
      </c>
      <c r="E6" s="201">
        <v>0</v>
      </c>
      <c r="F6" s="200">
        <v>1</v>
      </c>
      <c r="K6" s="118"/>
      <c r="L6" s="11">
        <v>13</v>
      </c>
      <c r="M6" s="11" t="str">
        <f t="shared" si="0"/>
        <v>Yes</v>
      </c>
    </row>
    <row r="7" spans="1:13" x14ac:dyDescent="0.2">
      <c r="A7" s="13">
        <v>14</v>
      </c>
      <c r="B7" s="13" t="s">
        <v>98</v>
      </c>
      <c r="C7" s="159">
        <v>31650.04</v>
      </c>
      <c r="D7" s="200">
        <v>227541</v>
      </c>
      <c r="E7" s="201">
        <v>0</v>
      </c>
      <c r="F7" s="200">
        <v>13.083333333333</v>
      </c>
      <c r="K7" s="118"/>
      <c r="L7" s="11">
        <v>14</v>
      </c>
      <c r="M7" s="11" t="str">
        <f t="shared" si="0"/>
        <v>Yes</v>
      </c>
    </row>
    <row r="8" spans="1:13" x14ac:dyDescent="0.2">
      <c r="A8" s="13">
        <v>15</v>
      </c>
      <c r="B8" s="13" t="s">
        <v>99</v>
      </c>
      <c r="C8" s="159">
        <v>135630079.31</v>
      </c>
      <c r="D8" s="200">
        <v>881090512</v>
      </c>
      <c r="E8" s="201">
        <v>10658.6</v>
      </c>
      <c r="F8" s="200">
        <v>65808.333333333299</v>
      </c>
      <c r="K8" s="118"/>
      <c r="L8" s="11">
        <v>15</v>
      </c>
      <c r="M8" s="11" t="str">
        <f t="shared" si="0"/>
        <v>Yes</v>
      </c>
    </row>
    <row r="9" spans="1:13" x14ac:dyDescent="0.2">
      <c r="A9" s="13">
        <v>17</v>
      </c>
      <c r="B9" s="13" t="s">
        <v>100</v>
      </c>
      <c r="C9" s="159">
        <v>610048.94999999995</v>
      </c>
      <c r="D9" s="200">
        <v>4076371</v>
      </c>
      <c r="E9" s="201">
        <v>0</v>
      </c>
      <c r="F9" s="200">
        <v>235.166666666667</v>
      </c>
      <c r="K9" s="118"/>
      <c r="L9" s="11">
        <v>17</v>
      </c>
      <c r="M9" s="11" t="str">
        <f t="shared" si="0"/>
        <v>Yes</v>
      </c>
    </row>
    <row r="10" spans="1:13" x14ac:dyDescent="0.2">
      <c r="A10" s="13">
        <v>22</v>
      </c>
      <c r="B10" s="13" t="s">
        <v>101</v>
      </c>
      <c r="C10" s="159">
        <v>148085612.90000001</v>
      </c>
      <c r="D10" s="200">
        <v>974135381</v>
      </c>
      <c r="E10" s="201">
        <v>19188</v>
      </c>
      <c r="F10" s="200">
        <v>64397.166666666701</v>
      </c>
      <c r="K10" s="118"/>
      <c r="L10" s="11">
        <v>22</v>
      </c>
      <c r="M10" s="11" t="str">
        <f t="shared" si="0"/>
        <v>Yes</v>
      </c>
    </row>
    <row r="11" spans="1:13" x14ac:dyDescent="0.2">
      <c r="A11" s="13">
        <v>28</v>
      </c>
      <c r="B11" s="13" t="s">
        <v>102</v>
      </c>
      <c r="C11" s="159">
        <v>19422.91</v>
      </c>
      <c r="D11" s="200">
        <v>135750</v>
      </c>
      <c r="E11" s="201">
        <v>0</v>
      </c>
      <c r="F11" s="200">
        <v>6</v>
      </c>
      <c r="K11" s="118"/>
      <c r="L11" s="11">
        <v>28</v>
      </c>
      <c r="M11" s="11" t="str">
        <f t="shared" si="0"/>
        <v>Yes</v>
      </c>
    </row>
    <row r="12" spans="1:13" x14ac:dyDescent="0.2">
      <c r="A12" s="13">
        <v>30</v>
      </c>
      <c r="B12" s="13" t="s">
        <v>103</v>
      </c>
      <c r="C12" s="159">
        <v>190838.58</v>
      </c>
      <c r="D12" s="200">
        <v>1306887</v>
      </c>
      <c r="E12" s="201">
        <v>0</v>
      </c>
      <c r="F12" s="200">
        <v>61.166666666666003</v>
      </c>
      <c r="K12" s="118"/>
      <c r="L12" s="11">
        <v>30</v>
      </c>
      <c r="M12" s="11" t="str">
        <f t="shared" si="0"/>
        <v>Yes</v>
      </c>
    </row>
    <row r="13" spans="1:13" x14ac:dyDescent="0.2">
      <c r="A13" s="13">
        <v>32</v>
      </c>
      <c r="B13" s="13" t="s">
        <v>104</v>
      </c>
      <c r="C13" s="159">
        <v>192453.23</v>
      </c>
      <c r="D13" s="200">
        <v>1299465</v>
      </c>
      <c r="E13" s="201">
        <v>0</v>
      </c>
      <c r="F13" s="200">
        <v>70.166666666666003</v>
      </c>
      <c r="K13" s="118"/>
      <c r="L13" s="11">
        <v>32</v>
      </c>
      <c r="M13" s="11" t="str">
        <f t="shared" si="0"/>
        <v>Yes</v>
      </c>
    </row>
    <row r="14" spans="1:13" x14ac:dyDescent="0.2">
      <c r="A14" s="13">
        <v>34</v>
      </c>
      <c r="B14" s="13" t="s">
        <v>105</v>
      </c>
      <c r="C14" s="159">
        <v>1722.48</v>
      </c>
      <c r="D14" s="13">
        <v>11887</v>
      </c>
      <c r="E14" s="201">
        <v>0</v>
      </c>
      <c r="F14" s="200">
        <v>2</v>
      </c>
      <c r="K14" s="118"/>
      <c r="L14" s="11">
        <v>34</v>
      </c>
      <c r="M14" s="11" t="str">
        <f t="shared" si="0"/>
        <v>Yes</v>
      </c>
    </row>
    <row r="15" spans="1:13" x14ac:dyDescent="0.2">
      <c r="A15" s="13">
        <v>36</v>
      </c>
      <c r="B15" s="13" t="s">
        <v>106</v>
      </c>
      <c r="C15" s="159">
        <v>28416.080000000002</v>
      </c>
      <c r="D15" s="200">
        <v>194116</v>
      </c>
      <c r="E15" s="201">
        <v>0</v>
      </c>
      <c r="F15" s="200">
        <v>7.833333333333</v>
      </c>
      <c r="L15" s="11">
        <v>36</v>
      </c>
      <c r="M15" s="11" t="str">
        <f t="shared" si="0"/>
        <v>Yes</v>
      </c>
    </row>
    <row r="16" spans="1:13" x14ac:dyDescent="0.2">
      <c r="A16" s="162"/>
      <c r="B16" s="162" t="s">
        <v>107</v>
      </c>
      <c r="C16" s="163">
        <f>SUM(C4:C15)</f>
        <v>285128805.54000002</v>
      </c>
      <c r="D16" s="163">
        <f>SUM(D4:D15)</f>
        <v>1864827074</v>
      </c>
      <c r="E16" s="163">
        <f>SUM(E4:E15)</f>
        <v>29846.6</v>
      </c>
      <c r="F16" s="164">
        <f>SUM(F4:F15)</f>
        <v>130742.75000000001</v>
      </c>
      <c r="G16" s="162"/>
      <c r="H16" s="164">
        <f>ROUND((D16/F16)/12,0)</f>
        <v>1189</v>
      </c>
      <c r="I16" s="165">
        <f>(C16/F16)/12</f>
        <v>181.73653066804852</v>
      </c>
      <c r="J16" s="230">
        <f>(E16/F16)/12</f>
        <v>1.902374446511693E-2</v>
      </c>
      <c r="K16" s="118"/>
    </row>
    <row r="17" spans="1:13" x14ac:dyDescent="0.2">
      <c r="A17" s="13">
        <v>93</v>
      </c>
      <c r="B17" s="13" t="s">
        <v>108</v>
      </c>
      <c r="C17" s="166">
        <v>67206.98</v>
      </c>
      <c r="D17" s="200">
        <v>291986</v>
      </c>
      <c r="E17" s="201">
        <v>0</v>
      </c>
      <c r="F17" s="200">
        <v>334.75</v>
      </c>
      <c r="L17" s="11">
        <v>93</v>
      </c>
      <c r="M17" s="11" t="str">
        <f t="shared" si="0"/>
        <v>Yes</v>
      </c>
    </row>
    <row r="18" spans="1:13" x14ac:dyDescent="0.2">
      <c r="A18" s="13">
        <v>94</v>
      </c>
      <c r="B18" s="13" t="s">
        <v>109</v>
      </c>
      <c r="C18" s="166">
        <v>1708993.68</v>
      </c>
      <c r="D18" s="200">
        <v>5498472</v>
      </c>
      <c r="E18" s="201">
        <v>0</v>
      </c>
      <c r="F18" s="200">
        <v>11147.333333333299</v>
      </c>
      <c r="L18" s="11">
        <v>94</v>
      </c>
      <c r="M18" s="11" t="str">
        <f t="shared" si="0"/>
        <v>Yes</v>
      </c>
    </row>
    <row r="19" spans="1:13" x14ac:dyDescent="0.2">
      <c r="A19" s="13">
        <v>95</v>
      </c>
      <c r="B19" s="13" t="s">
        <v>110</v>
      </c>
      <c r="C19" s="166">
        <v>21513.34</v>
      </c>
      <c r="D19" s="200">
        <v>112854</v>
      </c>
      <c r="E19" s="201">
        <v>0</v>
      </c>
      <c r="F19" s="200">
        <v>45.083333333333002</v>
      </c>
      <c r="L19" s="11">
        <v>95</v>
      </c>
      <c r="M19" s="11" t="str">
        <f t="shared" si="0"/>
        <v>Yes</v>
      </c>
    </row>
    <row r="20" spans="1:13" x14ac:dyDescent="0.2">
      <c r="A20" s="13">
        <v>97</v>
      </c>
      <c r="B20" s="13" t="s">
        <v>111</v>
      </c>
      <c r="C20" s="166">
        <v>288033.3</v>
      </c>
      <c r="D20" s="200">
        <v>1287281</v>
      </c>
      <c r="E20" s="201">
        <v>0</v>
      </c>
      <c r="F20" s="200">
        <v>1005.41666666667</v>
      </c>
      <c r="L20" s="11">
        <v>97</v>
      </c>
      <c r="M20" s="11" t="str">
        <f t="shared" si="0"/>
        <v>Yes</v>
      </c>
    </row>
    <row r="21" spans="1:13" x14ac:dyDescent="0.2">
      <c r="A21" s="13">
        <v>98</v>
      </c>
      <c r="B21" s="13" t="s">
        <v>112</v>
      </c>
      <c r="C21" s="166">
        <v>82216.45</v>
      </c>
      <c r="D21" s="200">
        <v>430846</v>
      </c>
      <c r="E21" s="201">
        <v>0</v>
      </c>
      <c r="F21" s="200">
        <v>89.166666666666003</v>
      </c>
      <c r="L21" s="11">
        <v>98</v>
      </c>
      <c r="M21" s="11" t="str">
        <f t="shared" si="0"/>
        <v>Yes</v>
      </c>
    </row>
    <row r="22" spans="1:13" x14ac:dyDescent="0.2">
      <c r="A22" s="13">
        <v>99</v>
      </c>
      <c r="B22" s="13" t="s">
        <v>113</v>
      </c>
      <c r="C22" s="166">
        <v>1088.1199999999999</v>
      </c>
      <c r="D22" s="13">
        <v>4189</v>
      </c>
      <c r="E22" s="201">
        <v>0</v>
      </c>
      <c r="F22" s="200">
        <v>3</v>
      </c>
      <c r="L22" s="11">
        <v>99</v>
      </c>
      <c r="M22" s="11" t="str">
        <f t="shared" si="0"/>
        <v>Yes</v>
      </c>
    </row>
    <row r="23" spans="1:13" x14ac:dyDescent="0.2">
      <c r="A23" s="13">
        <v>103</v>
      </c>
      <c r="B23" s="202" t="s">
        <v>114</v>
      </c>
      <c r="C23" s="166">
        <v>888.91</v>
      </c>
      <c r="D23" s="13">
        <v>3599</v>
      </c>
      <c r="E23" s="201">
        <v>0</v>
      </c>
      <c r="F23" s="200">
        <v>2</v>
      </c>
      <c r="L23" s="11">
        <v>103</v>
      </c>
      <c r="M23" s="11" t="str">
        <f t="shared" si="0"/>
        <v>Yes</v>
      </c>
    </row>
    <row r="24" spans="1:13" x14ac:dyDescent="0.2">
      <c r="A24" s="13">
        <v>107</v>
      </c>
      <c r="B24" s="13" t="s">
        <v>115</v>
      </c>
      <c r="C24" s="166">
        <v>346638.36</v>
      </c>
      <c r="D24" s="200">
        <v>1381667</v>
      </c>
      <c r="E24" s="201">
        <v>0</v>
      </c>
      <c r="F24" s="200">
        <v>1011.5</v>
      </c>
      <c r="L24" s="11">
        <v>107</v>
      </c>
      <c r="M24" s="11" t="str">
        <f t="shared" si="0"/>
        <v>Yes</v>
      </c>
    </row>
    <row r="25" spans="1:13" x14ac:dyDescent="0.2">
      <c r="A25" s="13">
        <v>109</v>
      </c>
      <c r="B25" s="13" t="s">
        <v>116</v>
      </c>
      <c r="C25" s="166">
        <v>1236593.18</v>
      </c>
      <c r="D25" s="200">
        <v>6299424</v>
      </c>
      <c r="E25" s="201">
        <v>0</v>
      </c>
      <c r="F25" s="200">
        <v>1416.8333333333301</v>
      </c>
      <c r="L25" s="11">
        <v>109</v>
      </c>
      <c r="M25" s="11" t="str">
        <f t="shared" si="0"/>
        <v>Yes</v>
      </c>
    </row>
    <row r="26" spans="1:13" x14ac:dyDescent="0.2">
      <c r="A26" s="13">
        <v>110</v>
      </c>
      <c r="B26" s="13" t="s">
        <v>117</v>
      </c>
      <c r="C26" s="166">
        <v>31787.200000000001</v>
      </c>
      <c r="D26" s="200">
        <v>119842</v>
      </c>
      <c r="E26" s="201">
        <v>0</v>
      </c>
      <c r="F26" s="200">
        <v>58.666666666666003</v>
      </c>
      <c r="L26" s="11">
        <v>110</v>
      </c>
      <c r="M26" s="11" t="str">
        <f t="shared" si="0"/>
        <v>Yes</v>
      </c>
    </row>
    <row r="27" spans="1:13" x14ac:dyDescent="0.2">
      <c r="A27" s="13">
        <v>111</v>
      </c>
      <c r="B27" s="13" t="s">
        <v>118</v>
      </c>
      <c r="C27" s="166">
        <v>165681.91</v>
      </c>
      <c r="D27" s="200">
        <v>312839</v>
      </c>
      <c r="E27" s="201">
        <v>0</v>
      </c>
      <c r="F27" s="200">
        <v>196.666666666667</v>
      </c>
      <c r="L27" s="11">
        <v>111</v>
      </c>
      <c r="M27" s="11" t="str">
        <f t="shared" si="0"/>
        <v>Yes</v>
      </c>
    </row>
    <row r="28" spans="1:13" x14ac:dyDescent="0.2">
      <c r="A28" s="13">
        <v>113</v>
      </c>
      <c r="B28" s="13" t="s">
        <v>119</v>
      </c>
      <c r="C28" s="166">
        <v>1853281.43</v>
      </c>
      <c r="D28" s="200">
        <v>7116623</v>
      </c>
      <c r="E28" s="201">
        <v>0</v>
      </c>
      <c r="F28" s="200">
        <v>9617.5833333333303</v>
      </c>
      <c r="L28" s="11">
        <v>113</v>
      </c>
      <c r="M28" s="11" t="str">
        <f t="shared" si="0"/>
        <v>Yes</v>
      </c>
    </row>
    <row r="29" spans="1:13" x14ac:dyDescent="0.2">
      <c r="A29" s="13">
        <v>116</v>
      </c>
      <c r="B29" s="13" t="s">
        <v>120</v>
      </c>
      <c r="C29" s="166">
        <v>275701.3</v>
      </c>
      <c r="D29" s="200">
        <v>1296774</v>
      </c>
      <c r="E29" s="201">
        <v>0</v>
      </c>
      <c r="F29" s="200">
        <v>251.75</v>
      </c>
      <c r="L29" s="11">
        <v>116</v>
      </c>
      <c r="M29" s="11" t="str">
        <f t="shared" si="0"/>
        <v>Yes</v>
      </c>
    </row>
    <row r="30" spans="1:13" x14ac:dyDescent="0.2">
      <c r="A30" s="13">
        <v>120</v>
      </c>
      <c r="B30" s="13" t="s">
        <v>121</v>
      </c>
      <c r="C30" s="166">
        <v>461.82</v>
      </c>
      <c r="D30" s="13">
        <v>1190</v>
      </c>
      <c r="E30" s="201">
        <v>0</v>
      </c>
      <c r="F30" s="200">
        <v>1</v>
      </c>
      <c r="L30" s="11">
        <v>120</v>
      </c>
      <c r="M30" s="11" t="str">
        <f t="shared" si="0"/>
        <v>Yes</v>
      </c>
    </row>
    <row r="31" spans="1:13" x14ac:dyDescent="0.2">
      <c r="A31" s="13">
        <v>122</v>
      </c>
      <c r="B31" s="13" t="s">
        <v>122</v>
      </c>
      <c r="C31" s="166">
        <v>24523.43</v>
      </c>
      <c r="D31" s="200">
        <v>42663</v>
      </c>
      <c r="E31" s="201">
        <v>0</v>
      </c>
      <c r="F31" s="200">
        <v>13.166666666666</v>
      </c>
      <c r="L31" s="11">
        <v>122</v>
      </c>
      <c r="M31" s="11" t="str">
        <f t="shared" si="0"/>
        <v>Yes</v>
      </c>
    </row>
    <row r="32" spans="1:13" x14ac:dyDescent="0.2">
      <c r="A32" s="13">
        <v>126</v>
      </c>
      <c r="B32" s="13" t="s">
        <v>123</v>
      </c>
      <c r="C32" s="166">
        <v>662.04</v>
      </c>
      <c r="D32" s="200">
        <v>2036</v>
      </c>
      <c r="E32" s="201">
        <v>0</v>
      </c>
      <c r="F32" s="200">
        <v>1.083333333333</v>
      </c>
      <c r="L32" s="11">
        <v>126</v>
      </c>
      <c r="M32" s="11" t="str">
        <f t="shared" si="0"/>
        <v>Yes</v>
      </c>
    </row>
    <row r="33" spans="1:13" x14ac:dyDescent="0.2">
      <c r="A33" s="13">
        <v>130</v>
      </c>
      <c r="B33" s="202" t="s">
        <v>124</v>
      </c>
      <c r="C33" s="166">
        <v>8094.09</v>
      </c>
      <c r="D33" s="200">
        <v>25937</v>
      </c>
      <c r="E33" s="201">
        <v>0</v>
      </c>
      <c r="F33" s="200">
        <v>22.416666666666</v>
      </c>
      <c r="L33" s="11">
        <v>130</v>
      </c>
      <c r="M33" s="11" t="str">
        <f t="shared" si="0"/>
        <v>Yes</v>
      </c>
    </row>
    <row r="34" spans="1:13" x14ac:dyDescent="0.2">
      <c r="A34" s="13">
        <v>131</v>
      </c>
      <c r="B34" s="13" t="s">
        <v>125</v>
      </c>
      <c r="C34" s="166">
        <v>42683.22</v>
      </c>
      <c r="D34" s="200">
        <v>253320</v>
      </c>
      <c r="E34" s="201">
        <v>0</v>
      </c>
      <c r="F34" s="200">
        <v>32.083333333333002</v>
      </c>
      <c r="L34" s="11">
        <v>131</v>
      </c>
      <c r="M34" s="11" t="str">
        <f t="shared" si="0"/>
        <v>Yes</v>
      </c>
    </row>
    <row r="35" spans="1:13" x14ac:dyDescent="0.2">
      <c r="A35" s="13">
        <v>136</v>
      </c>
      <c r="B35" s="13" t="s">
        <v>126</v>
      </c>
      <c r="C35" s="166">
        <v>1380.1</v>
      </c>
      <c r="D35" s="200">
        <v>5592</v>
      </c>
      <c r="E35" s="201">
        <v>0</v>
      </c>
      <c r="F35" s="200">
        <v>3</v>
      </c>
      <c r="L35" s="11">
        <v>136</v>
      </c>
      <c r="M35" s="11" t="str">
        <f t="shared" si="0"/>
        <v>Yes</v>
      </c>
    </row>
    <row r="36" spans="1:13" x14ac:dyDescent="0.2">
      <c r="A36" s="13">
        <v>150</v>
      </c>
      <c r="B36" s="166" t="s">
        <v>185</v>
      </c>
      <c r="C36" s="166">
        <v>2444106.5099999998</v>
      </c>
      <c r="D36" s="200">
        <v>6014136</v>
      </c>
      <c r="E36" s="201">
        <v>0</v>
      </c>
      <c r="F36" s="200">
        <v>20310</v>
      </c>
      <c r="L36" s="11">
        <v>150</v>
      </c>
      <c r="M36" s="11" t="str">
        <f t="shared" si="0"/>
        <v>Yes</v>
      </c>
    </row>
    <row r="37" spans="1:13" x14ac:dyDescent="0.2">
      <c r="A37" s="13">
        <v>151</v>
      </c>
      <c r="B37" s="166" t="s">
        <v>186</v>
      </c>
      <c r="C37" s="166">
        <v>943.07</v>
      </c>
      <c r="D37" s="200">
        <v>3202</v>
      </c>
      <c r="E37" s="201">
        <v>0</v>
      </c>
      <c r="F37" s="200">
        <v>7.333333333333</v>
      </c>
      <c r="L37" s="11">
        <v>151</v>
      </c>
      <c r="M37" s="11" t="str">
        <f t="shared" si="0"/>
        <v>Yes</v>
      </c>
    </row>
    <row r="38" spans="1:13" x14ac:dyDescent="0.2">
      <c r="A38" s="13">
        <v>152</v>
      </c>
      <c r="B38" s="166" t="s">
        <v>187</v>
      </c>
      <c r="C38" s="166">
        <v>3080.2</v>
      </c>
      <c r="D38" s="200">
        <v>14661</v>
      </c>
      <c r="E38" s="201">
        <v>0</v>
      </c>
      <c r="F38" s="200">
        <v>17.583333333333002</v>
      </c>
      <c r="L38" s="11">
        <v>152</v>
      </c>
      <c r="M38" s="11" t="str">
        <f t="shared" si="0"/>
        <v>Yes</v>
      </c>
    </row>
    <row r="39" spans="1:13" x14ac:dyDescent="0.2">
      <c r="A39" s="13">
        <v>153</v>
      </c>
      <c r="B39" s="166" t="s">
        <v>188</v>
      </c>
      <c r="C39" s="166">
        <v>3629.1</v>
      </c>
      <c r="D39" s="200">
        <v>18733</v>
      </c>
      <c r="E39" s="201">
        <v>0</v>
      </c>
      <c r="F39" s="200">
        <v>8</v>
      </c>
      <c r="L39" s="11">
        <v>153</v>
      </c>
      <c r="M39" s="11" t="str">
        <f t="shared" si="0"/>
        <v>Yes</v>
      </c>
    </row>
    <row r="40" spans="1:13" x14ac:dyDescent="0.2">
      <c r="A40" s="13">
        <v>160</v>
      </c>
      <c r="B40" s="166" t="s">
        <v>189</v>
      </c>
      <c r="C40" s="166">
        <v>16232.41</v>
      </c>
      <c r="D40" s="200">
        <v>18150</v>
      </c>
      <c r="E40" s="201">
        <v>0</v>
      </c>
      <c r="F40" s="200">
        <v>36.75</v>
      </c>
      <c r="L40" s="11">
        <v>160</v>
      </c>
      <c r="M40" s="11" t="str">
        <f t="shared" si="0"/>
        <v>Yes</v>
      </c>
    </row>
    <row r="41" spans="1:13" x14ac:dyDescent="0.2">
      <c r="A41" s="13">
        <v>165</v>
      </c>
      <c r="B41" s="166" t="s">
        <v>190</v>
      </c>
      <c r="C41" s="166">
        <v>384316.78</v>
      </c>
      <c r="D41" s="200">
        <v>706294</v>
      </c>
      <c r="E41" s="201">
        <v>0</v>
      </c>
      <c r="F41" s="200">
        <v>493.41666666666703</v>
      </c>
      <c r="L41" s="11">
        <v>165</v>
      </c>
      <c r="M41" s="11" t="str">
        <f t="shared" si="0"/>
        <v>Yes</v>
      </c>
    </row>
    <row r="42" spans="1:13" x14ac:dyDescent="0.2">
      <c r="A42" s="13">
        <v>166</v>
      </c>
      <c r="B42" s="166" t="s">
        <v>191</v>
      </c>
      <c r="C42" s="166">
        <v>115226.68</v>
      </c>
      <c r="D42" s="200">
        <v>333518</v>
      </c>
      <c r="E42" s="201">
        <v>0</v>
      </c>
      <c r="F42" s="200">
        <v>90.083333333333002</v>
      </c>
      <c r="L42" s="11">
        <v>166</v>
      </c>
      <c r="M42" s="11" t="str">
        <f t="shared" si="0"/>
        <v>Yes</v>
      </c>
    </row>
    <row r="43" spans="1:13" x14ac:dyDescent="0.2">
      <c r="A43" s="162"/>
      <c r="B43" s="162" t="s">
        <v>127</v>
      </c>
      <c r="C43" s="163">
        <f>SUM(C17:C42)</f>
        <v>9124963.6099999975</v>
      </c>
      <c r="D43" s="163">
        <f>SUM(D17:D42)</f>
        <v>31595828</v>
      </c>
      <c r="E43" s="163">
        <f>SUM(E17:E42)</f>
        <v>0</v>
      </c>
      <c r="F43" s="164">
        <f>SUM(F17:F42)</f>
        <v>46215.666666666628</v>
      </c>
      <c r="G43" s="162"/>
      <c r="H43" s="164">
        <f>ROUND((D43/F43)/12,0)</f>
        <v>57</v>
      </c>
      <c r="I43" s="165">
        <f>(C43/F43)/12</f>
        <v>16.453590070466735</v>
      </c>
      <c r="J43" s="164">
        <f>(E43/F43)/12</f>
        <v>0</v>
      </c>
      <c r="K43" s="118"/>
    </row>
    <row r="44" spans="1:13" x14ac:dyDescent="0.2">
      <c r="A44" s="13">
        <v>204</v>
      </c>
      <c r="B44" s="13" t="s">
        <v>128</v>
      </c>
      <c r="C44" s="166">
        <v>146601.79</v>
      </c>
      <c r="D44" s="200">
        <v>577740</v>
      </c>
      <c r="E44" s="201">
        <v>0</v>
      </c>
      <c r="F44" s="200">
        <v>338.41666666666703</v>
      </c>
      <c r="L44" s="11">
        <v>204</v>
      </c>
      <c r="M44" s="11" t="str">
        <f t="shared" si="0"/>
        <v>Yes</v>
      </c>
    </row>
    <row r="45" spans="1:13" x14ac:dyDescent="0.2">
      <c r="A45" s="13">
        <v>211</v>
      </c>
      <c r="B45" s="13" t="s">
        <v>129</v>
      </c>
      <c r="C45" s="159">
        <v>81581621.120000005</v>
      </c>
      <c r="D45" s="200">
        <v>463095770</v>
      </c>
      <c r="E45" s="201">
        <v>1515973.5</v>
      </c>
      <c r="F45" s="200">
        <v>27362.916666666701</v>
      </c>
      <c r="L45" s="11">
        <v>211</v>
      </c>
      <c r="M45" s="11" t="str">
        <f t="shared" si="0"/>
        <v>Yes</v>
      </c>
    </row>
    <row r="46" spans="1:13" x14ac:dyDescent="0.2">
      <c r="A46" s="13">
        <v>213</v>
      </c>
      <c r="B46" s="13" t="s">
        <v>130</v>
      </c>
      <c r="C46" s="159">
        <v>467147.7</v>
      </c>
      <c r="D46" s="200">
        <v>2058961</v>
      </c>
      <c r="E46" s="201">
        <v>0</v>
      </c>
      <c r="F46" s="200">
        <v>576.16666666666697</v>
      </c>
      <c r="L46" s="11">
        <v>213</v>
      </c>
      <c r="M46" s="11" t="str">
        <f t="shared" si="0"/>
        <v>Yes</v>
      </c>
    </row>
    <row r="47" spans="1:13" x14ac:dyDescent="0.2">
      <c r="A47" s="13">
        <v>214</v>
      </c>
      <c r="B47" s="13" t="s">
        <v>131</v>
      </c>
      <c r="C47" s="159">
        <v>227673.59</v>
      </c>
      <c r="D47" s="200">
        <v>1261848</v>
      </c>
      <c r="E47" s="201">
        <v>31583.5</v>
      </c>
      <c r="F47" s="200">
        <v>87.666666666666003</v>
      </c>
      <c r="L47" s="11">
        <v>214</v>
      </c>
      <c r="M47" s="11" t="str">
        <f t="shared" si="0"/>
        <v>Yes</v>
      </c>
    </row>
    <row r="48" spans="1:13" x14ac:dyDescent="0.2">
      <c r="A48" s="13">
        <v>215</v>
      </c>
      <c r="B48" s="13" t="s">
        <v>132</v>
      </c>
      <c r="C48" s="159">
        <v>19179677.41</v>
      </c>
      <c r="D48" s="200">
        <v>116842940</v>
      </c>
      <c r="E48" s="201">
        <v>480904.5</v>
      </c>
      <c r="F48" s="200">
        <v>1830.0833333333301</v>
      </c>
      <c r="L48" s="11">
        <v>215</v>
      </c>
      <c r="M48" s="11" t="str">
        <f t="shared" si="0"/>
        <v>Yes</v>
      </c>
    </row>
    <row r="49" spans="1:13" x14ac:dyDescent="0.2">
      <c r="A49" s="13">
        <v>217</v>
      </c>
      <c r="B49" s="13" t="s">
        <v>133</v>
      </c>
      <c r="C49" s="159">
        <v>592806.43000000005</v>
      </c>
      <c r="D49" s="200">
        <v>3697989</v>
      </c>
      <c r="E49" s="201">
        <v>16077.5</v>
      </c>
      <c r="F49" s="200">
        <v>31.916666666666</v>
      </c>
      <c r="L49" s="11">
        <v>217</v>
      </c>
      <c r="M49" s="11" t="str">
        <f t="shared" si="0"/>
        <v>Yes</v>
      </c>
    </row>
    <row r="50" spans="1:13" x14ac:dyDescent="0.2">
      <c r="A50" s="13">
        <v>218</v>
      </c>
      <c r="B50" s="13" t="s">
        <v>134</v>
      </c>
      <c r="C50" s="159">
        <v>32310.47</v>
      </c>
      <c r="D50" s="200">
        <v>200397</v>
      </c>
      <c r="E50" s="201">
        <v>714.4</v>
      </c>
      <c r="F50" s="200">
        <v>1</v>
      </c>
      <c r="L50" s="11">
        <v>218</v>
      </c>
      <c r="M50" s="11" t="str">
        <f t="shared" si="0"/>
        <v>Yes</v>
      </c>
    </row>
    <row r="51" spans="1:13" x14ac:dyDescent="0.2">
      <c r="A51" s="13">
        <v>220</v>
      </c>
      <c r="B51" s="13" t="s">
        <v>135</v>
      </c>
      <c r="C51" s="159">
        <v>613809.54</v>
      </c>
      <c r="D51" s="200">
        <v>4007419</v>
      </c>
      <c r="E51" s="201">
        <v>11346.7</v>
      </c>
      <c r="F51" s="200">
        <v>42.583333333333002</v>
      </c>
      <c r="L51" s="11">
        <v>220</v>
      </c>
      <c r="M51" s="11" t="str">
        <f t="shared" si="0"/>
        <v>Yes</v>
      </c>
    </row>
    <row r="52" spans="1:13" ht="13.5" thickBot="1" x14ac:dyDescent="0.25">
      <c r="A52" s="13">
        <v>223</v>
      </c>
      <c r="B52" s="13" t="s">
        <v>136</v>
      </c>
      <c r="C52" s="159">
        <v>132930.13</v>
      </c>
      <c r="D52" s="200">
        <v>805569</v>
      </c>
      <c r="E52" s="201">
        <v>0</v>
      </c>
      <c r="F52" s="200">
        <v>37.083333333333002</v>
      </c>
      <c r="L52" s="11">
        <v>223</v>
      </c>
      <c r="M52" s="11" t="str">
        <f t="shared" si="0"/>
        <v>Yes</v>
      </c>
    </row>
    <row r="53" spans="1:13" x14ac:dyDescent="0.2">
      <c r="A53" s="205">
        <v>225</v>
      </c>
      <c r="B53" s="206" t="s">
        <v>137</v>
      </c>
      <c r="C53" s="168">
        <v>103319.08</v>
      </c>
      <c r="D53" s="207">
        <v>622880</v>
      </c>
      <c r="E53" s="208">
        <v>59.6</v>
      </c>
      <c r="F53" s="207">
        <v>24.333333333333002</v>
      </c>
      <c r="G53" s="167"/>
      <c r="H53" s="167"/>
      <c r="I53" s="167"/>
      <c r="J53" s="169"/>
      <c r="L53" s="11">
        <v>225</v>
      </c>
      <c r="M53" s="11" t="str">
        <f t="shared" si="0"/>
        <v>Yes</v>
      </c>
    </row>
    <row r="54" spans="1:13" x14ac:dyDescent="0.2">
      <c r="A54" s="204">
        <v>227</v>
      </c>
      <c r="B54" s="13" t="s">
        <v>138</v>
      </c>
      <c r="C54" s="166">
        <v>1269598.1200000001</v>
      </c>
      <c r="D54" s="200">
        <v>7213746</v>
      </c>
      <c r="E54" s="201">
        <v>0</v>
      </c>
      <c r="F54" s="200">
        <v>492.58333333333297</v>
      </c>
      <c r="J54" s="170"/>
      <c r="K54" s="118"/>
      <c r="L54" s="11">
        <v>227</v>
      </c>
      <c r="M54" s="11" t="str">
        <f t="shared" si="0"/>
        <v>Yes</v>
      </c>
    </row>
    <row r="55" spans="1:13" x14ac:dyDescent="0.2">
      <c r="A55" s="171"/>
      <c r="B55" s="127" t="s">
        <v>139</v>
      </c>
      <c r="C55" s="172">
        <f>SUM(C53:C54)</f>
        <v>1372917.2000000002</v>
      </c>
      <c r="D55" s="172">
        <f>SUM(D53:D54)</f>
        <v>7836626</v>
      </c>
      <c r="E55" s="172">
        <f>SUM(E53:E54)</f>
        <v>59.6</v>
      </c>
      <c r="F55" s="172">
        <f>SUM(F53:F54)</f>
        <v>516.91666666666595</v>
      </c>
      <c r="G55" s="127"/>
      <c r="H55" s="173">
        <f>ROUND((D55/F55)/12,0)</f>
        <v>1263</v>
      </c>
      <c r="I55" s="174">
        <f>(C55/F55)/12</f>
        <v>221.33116234080319</v>
      </c>
      <c r="J55" s="175">
        <f>(E55/F55)/12</f>
        <v>9.6082540706110085E-3</v>
      </c>
      <c r="K55" s="118"/>
    </row>
    <row r="56" spans="1:13" x14ac:dyDescent="0.2">
      <c r="A56" s="204">
        <v>229</v>
      </c>
      <c r="B56" s="13" t="s">
        <v>140</v>
      </c>
      <c r="C56" s="166">
        <v>1089005.53</v>
      </c>
      <c r="D56" s="200">
        <v>7145544</v>
      </c>
      <c r="E56" s="201">
        <v>3068.5</v>
      </c>
      <c r="F56" s="200">
        <v>141.333333333333</v>
      </c>
      <c r="J56" s="170"/>
      <c r="L56" s="11">
        <v>229</v>
      </c>
      <c r="M56" s="11" t="str">
        <f t="shared" si="0"/>
        <v>Yes</v>
      </c>
    </row>
    <row r="57" spans="1:13" ht="13.5" thickBot="1" x14ac:dyDescent="0.25">
      <c r="A57" s="176"/>
      <c r="B57" s="177" t="s">
        <v>141</v>
      </c>
      <c r="C57" s="178">
        <f>SUM(C56)</f>
        <v>1089005.53</v>
      </c>
      <c r="D57" s="178">
        <f>SUM(D56)</f>
        <v>7145544</v>
      </c>
      <c r="E57" s="178">
        <f>SUM(E56)</f>
        <v>3068.5</v>
      </c>
      <c r="F57" s="179">
        <f>SUM(F56)</f>
        <v>141.333333333333</v>
      </c>
      <c r="G57" s="177"/>
      <c r="H57" s="179">
        <f>ROUND((D57/F57)/12,0)</f>
        <v>4213</v>
      </c>
      <c r="I57" s="180">
        <f>(C57/F57)/12</f>
        <v>642.10231721698267</v>
      </c>
      <c r="J57" s="181">
        <f>(E57/F57)/12</f>
        <v>1.8092570754717023</v>
      </c>
      <c r="K57" s="118"/>
    </row>
    <row r="58" spans="1:13" x14ac:dyDescent="0.2">
      <c r="A58" s="13">
        <v>236</v>
      </c>
      <c r="B58" s="13" t="s">
        <v>142</v>
      </c>
      <c r="C58" s="159">
        <v>52334.31</v>
      </c>
      <c r="D58" s="200">
        <v>260643</v>
      </c>
      <c r="E58" s="201">
        <v>253.9</v>
      </c>
      <c r="F58" s="200">
        <v>4</v>
      </c>
      <c r="L58" s="11">
        <v>236</v>
      </c>
      <c r="M58" s="11" t="str">
        <f t="shared" si="0"/>
        <v>Yes</v>
      </c>
    </row>
    <row r="59" spans="1:13" x14ac:dyDescent="0.2">
      <c r="A59" s="162"/>
      <c r="B59" s="162" t="s">
        <v>143</v>
      </c>
      <c r="C59" s="163">
        <f>SUM(C44:C52,C58)</f>
        <v>103026912.49000002</v>
      </c>
      <c r="D59" s="163">
        <f>SUM(D44:D52,D58)</f>
        <v>592809276</v>
      </c>
      <c r="E59" s="163">
        <f>SUM(E44:E52,E58)</f>
        <v>2056853.9999999998</v>
      </c>
      <c r="F59" s="164">
        <f>SUM(F44:F52,F58)</f>
        <v>30311.833333333358</v>
      </c>
      <c r="G59" s="162"/>
      <c r="H59" s="164">
        <f>ROUND((D59/F59)/12,0)</f>
        <v>1630</v>
      </c>
      <c r="I59" s="165">
        <f>(C59/F59)/12</f>
        <v>283.24172762562461</v>
      </c>
      <c r="J59" s="164">
        <f>(E59/F59)/12</f>
        <v>5.6547058079627819</v>
      </c>
      <c r="K59" s="118"/>
    </row>
    <row r="60" spans="1:13" x14ac:dyDescent="0.2">
      <c r="A60" s="13">
        <v>240</v>
      </c>
      <c r="B60" s="13" t="s">
        <v>144</v>
      </c>
      <c r="C60" s="159">
        <v>39963620.479999997</v>
      </c>
      <c r="D60" s="200">
        <v>277430209</v>
      </c>
      <c r="E60" s="201">
        <v>803198</v>
      </c>
      <c r="F60" s="203">
        <v>347.33333333333297</v>
      </c>
      <c r="L60" s="11">
        <v>240</v>
      </c>
      <c r="M60" s="11" t="str">
        <f t="shared" si="0"/>
        <v>Yes</v>
      </c>
    </row>
    <row r="61" spans="1:13" x14ac:dyDescent="0.2">
      <c r="A61" s="13">
        <v>242</v>
      </c>
      <c r="B61" s="13" t="s">
        <v>145</v>
      </c>
      <c r="C61" s="159">
        <v>866202.94</v>
      </c>
      <c r="D61" s="200">
        <v>6274161</v>
      </c>
      <c r="E61" s="201">
        <v>15871</v>
      </c>
      <c r="F61" s="203">
        <v>7</v>
      </c>
      <c r="L61" s="11">
        <v>242</v>
      </c>
      <c r="M61" s="11" t="str">
        <f t="shared" si="0"/>
        <v>Yes</v>
      </c>
    </row>
    <row r="62" spans="1:13" x14ac:dyDescent="0.2">
      <c r="A62" s="13">
        <v>244</v>
      </c>
      <c r="B62" s="13" t="s">
        <v>146</v>
      </c>
      <c r="C62" s="159">
        <v>11692408.83</v>
      </c>
      <c r="D62" s="200">
        <v>83560203</v>
      </c>
      <c r="E62" s="201">
        <v>292006</v>
      </c>
      <c r="F62" s="203">
        <v>59</v>
      </c>
      <c r="L62" s="11">
        <v>244</v>
      </c>
      <c r="M62" s="11" t="str">
        <f t="shared" si="0"/>
        <v>Yes</v>
      </c>
    </row>
    <row r="63" spans="1:13" x14ac:dyDescent="0.2">
      <c r="A63" s="13">
        <v>246</v>
      </c>
      <c r="B63" s="13" t="s">
        <v>147</v>
      </c>
      <c r="C63" s="166">
        <v>89820.27</v>
      </c>
      <c r="D63" s="200">
        <v>676023</v>
      </c>
      <c r="E63" s="201">
        <v>2072</v>
      </c>
      <c r="F63" s="203">
        <v>1</v>
      </c>
      <c r="L63" s="11">
        <v>246</v>
      </c>
      <c r="M63" s="11" t="str">
        <f t="shared" si="0"/>
        <v>Yes</v>
      </c>
    </row>
    <row r="64" spans="1:13" x14ac:dyDescent="0.2">
      <c r="A64" s="13">
        <v>248</v>
      </c>
      <c r="B64" s="13" t="s">
        <v>148</v>
      </c>
      <c r="C64" s="159">
        <v>721917.6</v>
      </c>
      <c r="D64" s="200">
        <v>6932971</v>
      </c>
      <c r="E64" s="201">
        <v>16843</v>
      </c>
      <c r="F64" s="203">
        <v>7.1666666666659999</v>
      </c>
      <c r="L64" s="11">
        <v>248</v>
      </c>
      <c r="M64" s="11" t="str">
        <f t="shared" si="0"/>
        <v>Yes</v>
      </c>
    </row>
    <row r="65" spans="1:13" x14ac:dyDescent="0.2">
      <c r="A65" s="13">
        <v>250</v>
      </c>
      <c r="B65" s="13" t="s">
        <v>149</v>
      </c>
      <c r="C65" s="159">
        <v>94754.94</v>
      </c>
      <c r="D65" s="200">
        <v>827708</v>
      </c>
      <c r="E65" s="201">
        <v>3260</v>
      </c>
      <c r="F65" s="203">
        <v>0.91666666666600005</v>
      </c>
      <c r="L65" s="11">
        <v>250</v>
      </c>
      <c r="M65" s="11" t="str">
        <f t="shared" si="0"/>
        <v>Yes</v>
      </c>
    </row>
    <row r="66" spans="1:13" x14ac:dyDescent="0.2">
      <c r="A66" s="13">
        <v>251</v>
      </c>
      <c r="B66" s="13" t="s">
        <v>150</v>
      </c>
      <c r="C66" s="159">
        <v>126181.9</v>
      </c>
      <c r="D66" s="200">
        <v>869728</v>
      </c>
      <c r="E66" s="201">
        <v>0</v>
      </c>
      <c r="F66" s="203">
        <v>5</v>
      </c>
      <c r="L66" s="11">
        <v>251</v>
      </c>
      <c r="M66" s="11" t="str">
        <f t="shared" si="0"/>
        <v>Yes</v>
      </c>
    </row>
    <row r="67" spans="1:13" x14ac:dyDescent="0.2">
      <c r="A67" s="13">
        <v>256</v>
      </c>
      <c r="B67" s="13" t="s">
        <v>151</v>
      </c>
      <c r="C67" s="159">
        <v>747043.65</v>
      </c>
      <c r="D67" s="200">
        <v>5777942</v>
      </c>
      <c r="E67" s="201">
        <v>12117</v>
      </c>
      <c r="F67" s="203">
        <v>6.1666666666659999</v>
      </c>
      <c r="L67" s="11">
        <v>256</v>
      </c>
      <c r="M67" s="11" t="str">
        <f t="shared" si="0"/>
        <v>Yes</v>
      </c>
    </row>
    <row r="68" spans="1:13" x14ac:dyDescent="0.2">
      <c r="A68" s="13">
        <v>257</v>
      </c>
      <c r="B68" s="202" t="s">
        <v>152</v>
      </c>
      <c r="C68" s="159">
        <v>410869.35</v>
      </c>
      <c r="D68" s="200">
        <v>3372005</v>
      </c>
      <c r="E68" s="201">
        <v>5330</v>
      </c>
      <c r="F68" s="203">
        <v>2</v>
      </c>
      <c r="L68" s="11">
        <v>257</v>
      </c>
      <c r="M68" s="11" t="str">
        <f t="shared" ref="M68:M82" si="1">IF(L68=A68,"Yes","No")</f>
        <v>Yes</v>
      </c>
    </row>
    <row r="69" spans="1:13" x14ac:dyDescent="0.2">
      <c r="A69" s="13">
        <v>260</v>
      </c>
      <c r="B69" s="13" t="s">
        <v>153</v>
      </c>
      <c r="C69" s="159">
        <v>12602314.640000001</v>
      </c>
      <c r="D69" s="200">
        <v>78866171</v>
      </c>
      <c r="E69" s="201">
        <v>307380</v>
      </c>
      <c r="F69" s="203">
        <v>128.083333333333</v>
      </c>
      <c r="L69" s="11">
        <v>260</v>
      </c>
      <c r="M69" s="11" t="str">
        <f t="shared" si="1"/>
        <v>Yes</v>
      </c>
    </row>
    <row r="70" spans="1:13" x14ac:dyDescent="0.2">
      <c r="A70" s="13">
        <v>264</v>
      </c>
      <c r="B70" s="13" t="s">
        <v>154</v>
      </c>
      <c r="C70" s="159">
        <v>266966.32</v>
      </c>
      <c r="D70" s="200">
        <v>1930302</v>
      </c>
      <c r="E70" s="201">
        <v>6737</v>
      </c>
      <c r="F70" s="203">
        <v>1</v>
      </c>
      <c r="L70" s="11">
        <v>264</v>
      </c>
      <c r="M70" s="11" t="str">
        <f t="shared" si="1"/>
        <v>Yes</v>
      </c>
    </row>
    <row r="71" spans="1:13" x14ac:dyDescent="0.2">
      <c r="A71" s="162"/>
      <c r="B71" s="162" t="s">
        <v>155</v>
      </c>
      <c r="C71" s="163">
        <f>SUM(C60:C70)</f>
        <v>67582100.919999987</v>
      </c>
      <c r="D71" s="163">
        <f>SUM(D60:D70)</f>
        <v>466517423</v>
      </c>
      <c r="E71" s="163">
        <f>SUM(E60:E70)</f>
        <v>1464814</v>
      </c>
      <c r="F71" s="164">
        <f>SUM(F60:F70)</f>
        <v>564.66666666666401</v>
      </c>
      <c r="G71" s="162"/>
      <c r="H71" s="164">
        <f>ROUND((D71/F71)/12,0)</f>
        <v>68848</v>
      </c>
      <c r="I71" s="165">
        <f>(C71/F71)/12</f>
        <v>9973.745708382572</v>
      </c>
      <c r="J71" s="164">
        <f>(E71/F71)/12</f>
        <v>216.17680047225602</v>
      </c>
      <c r="K71" s="118"/>
      <c r="L71" s="183"/>
    </row>
    <row r="72" spans="1:13" x14ac:dyDescent="0.2">
      <c r="A72" s="13">
        <v>330</v>
      </c>
      <c r="B72" s="202" t="s">
        <v>156</v>
      </c>
      <c r="C72" s="159">
        <v>2076344.92</v>
      </c>
      <c r="D72" s="200">
        <v>14614255</v>
      </c>
      <c r="E72" s="201">
        <v>59841</v>
      </c>
      <c r="F72" s="203">
        <v>2</v>
      </c>
      <c r="L72" s="11">
        <v>330</v>
      </c>
      <c r="M72" s="11" t="str">
        <f t="shared" si="1"/>
        <v>Yes</v>
      </c>
    </row>
    <row r="73" spans="1:13" x14ac:dyDescent="0.2">
      <c r="A73" s="13">
        <v>331</v>
      </c>
      <c r="B73" s="13" t="s">
        <v>157</v>
      </c>
      <c r="C73" s="159">
        <v>5868667.3799999999</v>
      </c>
      <c r="D73" s="184">
        <v>110352001</v>
      </c>
      <c r="E73" s="185">
        <v>184372.4</v>
      </c>
      <c r="F73" s="203">
        <v>1</v>
      </c>
      <c r="L73" s="11">
        <v>331</v>
      </c>
      <c r="M73" s="11" t="str">
        <f t="shared" si="1"/>
        <v>Yes</v>
      </c>
    </row>
    <row r="74" spans="1:13" x14ac:dyDescent="0.2">
      <c r="A74" s="13">
        <v>332</v>
      </c>
      <c r="B74" s="13" t="s">
        <v>158</v>
      </c>
      <c r="C74" s="159">
        <v>1486268.96</v>
      </c>
      <c r="D74" s="184">
        <v>15075151</v>
      </c>
      <c r="E74" s="185">
        <v>45318</v>
      </c>
      <c r="F74" s="203">
        <v>1</v>
      </c>
      <c r="L74" s="11">
        <v>332</v>
      </c>
      <c r="M74" s="11" t="str">
        <f t="shared" si="1"/>
        <v>Yes</v>
      </c>
    </row>
    <row r="75" spans="1:13" x14ac:dyDescent="0.2">
      <c r="A75" s="13">
        <v>333</v>
      </c>
      <c r="B75" s="13" t="s">
        <v>159</v>
      </c>
      <c r="C75" s="159">
        <v>3360696.16</v>
      </c>
      <c r="D75" s="184">
        <v>35721600</v>
      </c>
      <c r="E75" s="185">
        <v>113892</v>
      </c>
      <c r="F75" s="203">
        <v>1</v>
      </c>
      <c r="L75" s="11">
        <v>333</v>
      </c>
      <c r="M75" s="11" t="str">
        <f t="shared" si="1"/>
        <v>Yes</v>
      </c>
    </row>
    <row r="76" spans="1:13" x14ac:dyDescent="0.2">
      <c r="A76" s="13">
        <v>356</v>
      </c>
      <c r="B76" s="13" t="s">
        <v>160</v>
      </c>
      <c r="C76" s="159">
        <v>2141431.96</v>
      </c>
      <c r="D76" s="200">
        <v>19117472</v>
      </c>
      <c r="E76" s="201">
        <v>39723</v>
      </c>
      <c r="F76" s="203">
        <v>5</v>
      </c>
      <c r="L76" s="11">
        <v>356</v>
      </c>
      <c r="M76" s="11" t="str">
        <f t="shared" si="1"/>
        <v>Yes</v>
      </c>
    </row>
    <row r="77" spans="1:13" x14ac:dyDescent="0.2">
      <c r="A77" s="13">
        <v>358</v>
      </c>
      <c r="B77" s="13" t="s">
        <v>161</v>
      </c>
      <c r="C77" s="159">
        <v>24834338.899999999</v>
      </c>
      <c r="D77" s="200">
        <v>223564829</v>
      </c>
      <c r="E77" s="201">
        <v>516928</v>
      </c>
      <c r="F77" s="203">
        <v>31</v>
      </c>
      <c r="L77" s="11">
        <v>358</v>
      </c>
      <c r="M77" s="11" t="str">
        <f t="shared" si="1"/>
        <v>Yes</v>
      </c>
    </row>
    <row r="78" spans="1:13" x14ac:dyDescent="0.2">
      <c r="A78" s="13">
        <v>359</v>
      </c>
      <c r="B78" s="13" t="s">
        <v>162</v>
      </c>
      <c r="C78" s="159">
        <v>26987933.530000001</v>
      </c>
      <c r="D78" s="200">
        <v>365043157</v>
      </c>
      <c r="E78" s="201">
        <v>683323</v>
      </c>
      <c r="F78" s="203">
        <v>14.333333333333</v>
      </c>
      <c r="L78" s="11">
        <v>359</v>
      </c>
      <c r="M78" s="11" t="str">
        <f t="shared" si="1"/>
        <v>Yes</v>
      </c>
    </row>
    <row r="79" spans="1:13" x14ac:dyDescent="0.2">
      <c r="A79" s="13">
        <v>360</v>
      </c>
      <c r="B79" s="13" t="s">
        <v>163</v>
      </c>
      <c r="C79" s="159">
        <v>1134750.1000000001</v>
      </c>
      <c r="D79" s="200">
        <v>9384000</v>
      </c>
      <c r="E79" s="201">
        <v>40008</v>
      </c>
      <c r="F79" s="203">
        <v>1</v>
      </c>
      <c r="L79" s="11">
        <v>360</v>
      </c>
      <c r="M79" s="11" t="str">
        <f t="shared" si="1"/>
        <v>Yes</v>
      </c>
    </row>
    <row r="80" spans="1:13" x14ac:dyDescent="0.2">
      <c r="A80" s="13">
        <v>370</v>
      </c>
      <c r="B80" s="13" t="s">
        <v>163</v>
      </c>
      <c r="C80" s="159">
        <v>721659.88</v>
      </c>
      <c r="D80" s="200">
        <v>3902401</v>
      </c>
      <c r="E80" s="201">
        <v>8984</v>
      </c>
      <c r="F80" s="203">
        <v>1</v>
      </c>
      <c r="L80" s="11">
        <v>370</v>
      </c>
      <c r="M80" s="11" t="str">
        <f t="shared" si="1"/>
        <v>Yes</v>
      </c>
    </row>
    <row r="81" spans="1:13" x14ac:dyDescent="0.2">
      <c r="A81" s="13">
        <v>371</v>
      </c>
      <c r="B81" s="13" t="s">
        <v>163</v>
      </c>
      <c r="C81" s="159">
        <v>96770955.739999995</v>
      </c>
      <c r="D81" s="200">
        <v>1267805568</v>
      </c>
      <c r="E81" s="201">
        <v>1900019</v>
      </c>
      <c r="F81" s="203">
        <v>3</v>
      </c>
      <c r="K81" s="118"/>
      <c r="L81" s="11">
        <v>371</v>
      </c>
      <c r="M81" s="11" t="str">
        <f t="shared" si="1"/>
        <v>Yes</v>
      </c>
    </row>
    <row r="82" spans="1:13" x14ac:dyDescent="0.2">
      <c r="A82" s="13">
        <v>372</v>
      </c>
      <c r="B82" s="13" t="s">
        <v>163</v>
      </c>
      <c r="C82" s="159">
        <v>18619801.260000002</v>
      </c>
      <c r="D82" s="200">
        <v>252660440</v>
      </c>
      <c r="E82" s="201">
        <v>390119</v>
      </c>
      <c r="F82" s="203">
        <v>1</v>
      </c>
      <c r="L82" s="11">
        <v>372</v>
      </c>
      <c r="M82" s="11" t="str">
        <f t="shared" si="1"/>
        <v>Yes</v>
      </c>
    </row>
    <row r="83" spans="1:13" x14ac:dyDescent="0.2">
      <c r="A83" s="162"/>
      <c r="B83" s="162" t="s">
        <v>164</v>
      </c>
      <c r="C83" s="163">
        <f>SUM(C72:C82)</f>
        <v>184002848.78999996</v>
      </c>
      <c r="D83" s="163">
        <f>SUM(D72:D82)</f>
        <v>2317240874</v>
      </c>
      <c r="E83" s="163">
        <f>SUM(E72:E82)</f>
        <v>3982527.4</v>
      </c>
      <c r="F83" s="164">
        <f>SUM(F72:F82)</f>
        <v>61.333333333333002</v>
      </c>
      <c r="G83" s="162"/>
      <c r="H83" s="164">
        <f>ROUND((D83/F83)/12,0)</f>
        <v>3148425</v>
      </c>
      <c r="I83" s="165">
        <f>(C83/F83)/12</f>
        <v>250003.87063858824</v>
      </c>
      <c r="J83" s="164">
        <f>(E83/F83)/12</f>
        <v>5411.0426630435077</v>
      </c>
      <c r="K83" s="118"/>
    </row>
    <row r="84" spans="1:13" x14ac:dyDescent="0.2">
      <c r="A84" s="13">
        <v>528</v>
      </c>
      <c r="B84" s="13" t="s">
        <v>165</v>
      </c>
      <c r="C84" s="159">
        <v>1920130.53</v>
      </c>
      <c r="D84" s="200">
        <v>7837812</v>
      </c>
      <c r="E84" s="201">
        <v>0</v>
      </c>
      <c r="F84" s="203">
        <v>11915</v>
      </c>
    </row>
    <row r="85" spans="1:13" x14ac:dyDescent="0.2">
      <c r="A85" s="162"/>
      <c r="B85" s="162" t="s">
        <v>166</v>
      </c>
      <c r="C85" s="163">
        <f>SUM(C84)</f>
        <v>1920130.53</v>
      </c>
      <c r="D85" s="163">
        <f>SUM(D84)</f>
        <v>7837812</v>
      </c>
      <c r="E85" s="163">
        <f>SUM(E84)</f>
        <v>0</v>
      </c>
      <c r="F85" s="164">
        <f>SUM(F84)</f>
        <v>11915</v>
      </c>
      <c r="G85" s="162"/>
      <c r="H85" s="164">
        <f>ROUND((D85/F85)/12,0)</f>
        <v>55</v>
      </c>
      <c r="I85" s="165">
        <f>(C85/F85)/12</f>
        <v>13.429364456567351</v>
      </c>
      <c r="J85" s="164">
        <f>(E85/F85)/12</f>
        <v>0</v>
      </c>
      <c r="K85" s="118"/>
    </row>
    <row r="86" spans="1:13" x14ac:dyDescent="0.2">
      <c r="A86" s="11">
        <v>540</v>
      </c>
      <c r="B86" s="11" t="s">
        <v>167</v>
      </c>
      <c r="C86" s="159">
        <v>242210.52</v>
      </c>
      <c r="D86" s="160">
        <v>1752735</v>
      </c>
      <c r="E86" s="161">
        <v>2619.1999999999998</v>
      </c>
      <c r="F86" s="182">
        <v>8</v>
      </c>
    </row>
    <row r="87" spans="1:13" x14ac:dyDescent="0.2">
      <c r="A87" s="162"/>
      <c r="B87" s="162" t="s">
        <v>168</v>
      </c>
      <c r="C87" s="163">
        <f>SUM(C86)</f>
        <v>242210.52</v>
      </c>
      <c r="D87" s="163">
        <f>SUM(D86)</f>
        <v>1752735</v>
      </c>
      <c r="E87" s="163">
        <f>SUM(E86)</f>
        <v>2619.1999999999998</v>
      </c>
      <c r="F87" s="164">
        <f>SUM(F86)</f>
        <v>8</v>
      </c>
      <c r="G87" s="162"/>
      <c r="H87" s="164">
        <f>ROUND((D87/F87)/12,0)</f>
        <v>18258</v>
      </c>
      <c r="I87" s="165">
        <f>(C87/F87)/12</f>
        <v>2523.0262499999999</v>
      </c>
      <c r="J87" s="164">
        <f>(E87/F87)/12</f>
        <v>27.283333333333331</v>
      </c>
    </row>
    <row r="90" spans="1:13" x14ac:dyDescent="0.2">
      <c r="C90" s="193">
        <f>SUM(C87,C85,C83,C71,C59,C57,C55,C43,C16)</f>
        <v>653489895.13</v>
      </c>
      <c r="D90" s="193">
        <f>SUM(D87,D85,D83,D71,D59,D57,D55,D43,D16)</f>
        <v>5297563192</v>
      </c>
      <c r="E90" s="193">
        <f>SUM(E87,E85,E83,E71,E59,E57,E55,E43,E16)</f>
        <v>7539789.2999999989</v>
      </c>
      <c r="F90" s="193"/>
      <c r="H90" s="183"/>
    </row>
    <row r="91" spans="1:13" x14ac:dyDescent="0.2">
      <c r="C91" s="183"/>
      <c r="D91" s="183"/>
      <c r="E91" s="183"/>
      <c r="F91" s="183"/>
    </row>
    <row r="92" spans="1:13" x14ac:dyDescent="0.2">
      <c r="F92" s="183"/>
    </row>
    <row r="93" spans="1:13" x14ac:dyDescent="0.2">
      <c r="F93" s="183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kzNmUyMmQ1LTQ1YTctNGNiNy05NWFiLTFhYThjN2M4ODc4OSIgdmFsdWU9IiIgeG1sbnM9Imh0dHA6Ly93d3cuYm9sZG9uamFtZXMuY29tLzIwMDgvMDEvc2llL2ludGVybmFsL2xhYmVsIiAvPjwvc2lzbD48VXNlck5hbWU+Q09SUFxzMjkwNzkyPC9Vc2VyTmFtZT48RGF0ZVRpbWU+Ni8zMC8yMDI1IDEyOjE3OjQzIFBNPC9EYXRlVGltZT48TGFiZWxTdHJpbmc+VW5jYXRlZ29yaXplZ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2ec826cc36e7129778946fdc12ca542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06fb417481a396af591a80db073553c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8160348B-7098-4980-9E97-515E3D117B4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5153420-3C40-4AF3-91B8-8B7B2250848F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6B1A1F22-9A7D-4284-AEF6-5897A55ADD39}"/>
</file>

<file path=customXml/itemProps4.xml><?xml version="1.0" encoding="utf-8"?>
<ds:datastoreItem xmlns:ds="http://schemas.openxmlformats.org/officeDocument/2006/customXml" ds:itemID="{A71C189C-A52B-456E-AF69-FAC6BDBE93CC}"/>
</file>

<file path=customXml/itemProps5.xml><?xml version="1.0" encoding="utf-8"?>
<ds:datastoreItem xmlns:ds="http://schemas.openxmlformats.org/officeDocument/2006/customXml" ds:itemID="{05DEE1FD-D9B7-48EA-86C6-CB9CA934CE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Retail Impact</vt:lpstr>
      <vt:lpstr>ELG Rev Req</vt:lpstr>
      <vt:lpstr>Repayment</vt:lpstr>
      <vt:lpstr>Depr and ADFIT</vt:lpstr>
      <vt:lpstr>O&amp;M</vt:lpstr>
      <vt:lpstr>Alloc. Factors and Property Tax</vt:lpstr>
      <vt:lpstr>WACC</vt:lpstr>
      <vt:lpstr>12mos BA</vt:lpstr>
      <vt:lpstr>WACC!Print_Area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2025-06-30T12:17:11Z</dcterms:created>
  <dcterms:modified xsi:type="dcterms:W3CDTF">2025-06-30T12:18:21Z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531542bc-911e-4929-b287-95a7ccbe3655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4" name="bjDocumentLabelXML-0">
    <vt:lpwstr>ames.com/2008/01/sie/internal/label"&gt;&lt;element uid="936e22d5-45a7-4cb7-95ab-1aa8c7c88789" value="" /&gt;&lt;/sisl&gt;</vt:lpwstr>
  </property>
  <property fmtid="{D5CDD505-2E9C-101B-9397-08002B2CF9AE}" pid="5" name="bjDocumentSecurityLabel">
    <vt:lpwstr>Uncategorized</vt:lpwstr>
  </property>
  <property fmtid="{D5CDD505-2E9C-101B-9397-08002B2CF9AE}" pid="6" name="MSIP_Label_574d496c-7ac4-4b13-81fd-698eca66b217_SiteId">
    <vt:lpwstr>15f3c881-6b03-4ff6-8559-77bf5177818f</vt:lpwstr>
  </property>
  <property fmtid="{D5CDD505-2E9C-101B-9397-08002B2CF9AE}" pid="7" name="MSIP_Label_574d496c-7ac4-4b13-81fd-698eca66b217_Name">
    <vt:lpwstr>Uncategorized</vt:lpwstr>
  </property>
  <property fmtid="{D5CDD505-2E9C-101B-9397-08002B2CF9AE}" pid="8" name="MSIP_Label_574d496c-7ac4-4b13-81fd-698eca66b217_Enabled">
    <vt:lpwstr>true</vt:lpwstr>
  </property>
  <property fmtid="{D5CDD505-2E9C-101B-9397-08002B2CF9AE}" pid="9" name="bjClsUserRVM">
    <vt:lpwstr>[]</vt:lpwstr>
  </property>
  <property fmtid="{D5CDD505-2E9C-101B-9397-08002B2CF9AE}" pid="10" name="bjLabelHistoryID">
    <vt:lpwstr>{8160348B-7098-4980-9E97-515E3D117B4E}</vt:lpwstr>
  </property>
  <property fmtid="{D5CDD505-2E9C-101B-9397-08002B2CF9AE}" pid="11" name="ContentTypeId">
    <vt:lpwstr>0x0101004DF805D1E1DA4A49A223477D3B105720</vt:lpwstr>
  </property>
</Properties>
</file>