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ECR\2025\2 year review ending Feb 2025\"/>
    </mc:Choice>
  </mc:AlternateContent>
  <xr:revisionPtr revIDLastSave="0" documentId="13_ncr:1_{755EB89F-49EB-416F-8DD1-960C3D1735A9}" xr6:coauthVersionLast="47" xr6:coauthVersionMax="47" xr10:uidLastSave="{00000000-0000-0000-0000-000000000000}"/>
  <bookViews>
    <workbookView xWindow="28680" yWindow="-120" windowWidth="29040" windowHeight="15840" activeTab="5" xr2:uid="{F717487A-D83B-4C7D-9D90-35BDA868034E}"/>
  </bookViews>
  <sheets>
    <sheet name="Project 24" sheetId="1" r:id="rId1"/>
    <sheet name="Project 25" sheetId="2" r:id="rId2"/>
    <sheet name="Project 29" sheetId="3" r:id="rId3"/>
    <sheet name="Project 30" sheetId="4" r:id="rId4"/>
    <sheet name="Project 31" sheetId="5" r:id="rId5"/>
    <sheet name="Project 3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E32" i="4"/>
  <c r="F30" i="3"/>
  <c r="E30" i="3"/>
  <c r="K29" i="2"/>
  <c r="F29" i="2"/>
  <c r="E29" i="2"/>
  <c r="F23" i="5"/>
  <c r="E23" i="5"/>
  <c r="K20" i="4"/>
  <c r="F20" i="4"/>
  <c r="E20" i="4"/>
  <c r="F21" i="4"/>
  <c r="H21" i="4" s="1"/>
  <c r="L21" i="4" s="1"/>
  <c r="E21" i="4"/>
  <c r="G21" i="4" s="1"/>
  <c r="H20" i="4"/>
  <c r="L20" i="4" s="1"/>
  <c r="G20" i="4"/>
  <c r="F19" i="4"/>
  <c r="H19" i="4" s="1"/>
  <c r="L19" i="4" s="1"/>
  <c r="E19" i="4"/>
  <c r="G19" i="4" s="1"/>
  <c r="K19" i="4" s="1"/>
  <c r="F18" i="4"/>
  <c r="H18" i="4" s="1"/>
  <c r="L18" i="4" s="1"/>
  <c r="E18" i="4"/>
  <c r="G18" i="4" s="1"/>
  <c r="K18" i="4" s="1"/>
  <c r="H17" i="4"/>
  <c r="L17" i="4" s="1"/>
  <c r="F17" i="4"/>
  <c r="E17" i="4"/>
  <c r="G17" i="4" s="1"/>
  <c r="H16" i="4"/>
  <c r="L16" i="4" s="1"/>
  <c r="G16" i="4"/>
  <c r="K16" i="4" s="1"/>
  <c r="F16" i="4"/>
  <c r="E16" i="4"/>
  <c r="H15" i="4"/>
  <c r="L15" i="4" s="1"/>
  <c r="F15" i="4"/>
  <c r="E15" i="4"/>
  <c r="G15" i="4" s="1"/>
  <c r="F14" i="4"/>
  <c r="H14" i="4" s="1"/>
  <c r="L14" i="4" s="1"/>
  <c r="E14" i="4"/>
  <c r="G14" i="4" s="1"/>
  <c r="K14" i="4" s="1"/>
  <c r="F13" i="4"/>
  <c r="H13" i="4" s="1"/>
  <c r="L13" i="4" s="1"/>
  <c r="E13" i="4"/>
  <c r="G13" i="4" s="1"/>
  <c r="H12" i="4"/>
  <c r="L12" i="4" s="1"/>
  <c r="F12" i="4"/>
  <c r="E12" i="4"/>
  <c r="G12" i="4" s="1"/>
  <c r="H11" i="4"/>
  <c r="L11" i="4" s="1"/>
  <c r="G11" i="4"/>
  <c r="F11" i="4"/>
  <c r="E11" i="4"/>
  <c r="G10" i="4"/>
  <c r="F10" i="4"/>
  <c r="H10" i="4" s="1"/>
  <c r="L10" i="4" s="1"/>
  <c r="E10" i="4"/>
  <c r="K17" i="4" l="1"/>
  <c r="K21" i="4"/>
  <c r="K11" i="4"/>
  <c r="K15" i="4"/>
  <c r="K10" i="4"/>
  <c r="M10" i="4" s="1"/>
  <c r="M11" i="4" s="1"/>
  <c r="K13" i="4"/>
  <c r="K12" i="4"/>
  <c r="M12" i="4" l="1"/>
  <c r="M13" i="4" s="1"/>
  <c r="M14" i="4" s="1"/>
  <c r="M15" i="4" s="1"/>
  <c r="M16" i="4" s="1"/>
  <c r="M17" i="4" s="1"/>
  <c r="M18" i="4" s="1"/>
  <c r="M19" i="4" s="1"/>
  <c r="M20" i="4" s="1"/>
  <c r="M21" i="4" s="1"/>
  <c r="E19" i="3" l="1"/>
  <c r="F19" i="3"/>
  <c r="F18" i="3"/>
  <c r="E18" i="3"/>
  <c r="F17" i="3"/>
  <c r="E17" i="3"/>
  <c r="F16" i="3"/>
  <c r="E16" i="3"/>
  <c r="E17" i="2"/>
  <c r="F33" i="6" l="1"/>
  <c r="H33" i="6" s="1"/>
  <c r="L33" i="6" s="1"/>
  <c r="E33" i="6"/>
  <c r="G33" i="6" s="1"/>
  <c r="K33" i="6" s="1"/>
  <c r="H32" i="6"/>
  <c r="L32" i="6" s="1"/>
  <c r="F32" i="6"/>
  <c r="E32" i="6"/>
  <c r="G32" i="6" s="1"/>
  <c r="G31" i="6"/>
  <c r="F31" i="6"/>
  <c r="H31" i="6" s="1"/>
  <c r="L31" i="6" s="1"/>
  <c r="E31" i="6"/>
  <c r="F30" i="6"/>
  <c r="H30" i="6" s="1"/>
  <c r="L30" i="6" s="1"/>
  <c r="E30" i="6"/>
  <c r="G30" i="6" s="1"/>
  <c r="K30" i="6" s="1"/>
  <c r="F29" i="6"/>
  <c r="H29" i="6" s="1"/>
  <c r="L29" i="6" s="1"/>
  <c r="E29" i="6"/>
  <c r="G29" i="6" s="1"/>
  <c r="H28" i="6"/>
  <c r="L28" i="6" s="1"/>
  <c r="F28" i="6"/>
  <c r="E28" i="6"/>
  <c r="G28" i="6" s="1"/>
  <c r="L10" i="6"/>
  <c r="K10" i="6" s="1"/>
  <c r="M10" i="6" s="1"/>
  <c r="L11" i="6"/>
  <c r="K11" i="6" s="1"/>
  <c r="L12" i="6"/>
  <c r="K12" i="6" s="1"/>
  <c r="K13" i="6"/>
  <c r="L13" i="6"/>
  <c r="L14" i="6"/>
  <c r="K14" i="6" s="1"/>
  <c r="K15" i="6"/>
  <c r="L15" i="6"/>
  <c r="L16" i="6"/>
  <c r="K16" i="6" s="1"/>
  <c r="L17" i="6"/>
  <c r="K17" i="6" s="1"/>
  <c r="L18" i="6"/>
  <c r="K18" i="6" s="1"/>
  <c r="L19" i="6"/>
  <c r="K19" i="6" s="1"/>
  <c r="L20" i="6"/>
  <c r="K20" i="6" s="1"/>
  <c r="K21" i="6"/>
  <c r="L21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F27" i="6"/>
  <c r="H27" i="6" s="1"/>
  <c r="L27" i="6" s="1"/>
  <c r="E27" i="6"/>
  <c r="G27" i="6" s="1"/>
  <c r="F26" i="6"/>
  <c r="H26" i="6" s="1"/>
  <c r="L26" i="6" s="1"/>
  <c r="E26" i="6"/>
  <c r="G26" i="6" s="1"/>
  <c r="F25" i="6"/>
  <c r="H25" i="6" s="1"/>
  <c r="L25" i="6" s="1"/>
  <c r="E25" i="6"/>
  <c r="G25" i="6" s="1"/>
  <c r="F24" i="6"/>
  <c r="E24" i="6"/>
  <c r="D24" i="6"/>
  <c r="H23" i="6"/>
  <c r="L23" i="6" s="1"/>
  <c r="G23" i="6"/>
  <c r="K23" i="6" s="1"/>
  <c r="H22" i="6"/>
  <c r="L22" i="6" s="1"/>
  <c r="G22" i="6"/>
  <c r="F33" i="5"/>
  <c r="H33" i="5" s="1"/>
  <c r="L33" i="5" s="1"/>
  <c r="E33" i="5"/>
  <c r="G33" i="5" s="1"/>
  <c r="F32" i="5"/>
  <c r="H32" i="5" s="1"/>
  <c r="L32" i="5" s="1"/>
  <c r="E32" i="5"/>
  <c r="G32" i="5" s="1"/>
  <c r="F31" i="5"/>
  <c r="H31" i="5" s="1"/>
  <c r="L31" i="5" s="1"/>
  <c r="E31" i="5"/>
  <c r="G31" i="5" s="1"/>
  <c r="F30" i="5"/>
  <c r="H30" i="5" s="1"/>
  <c r="L30" i="5" s="1"/>
  <c r="E30" i="5"/>
  <c r="G30" i="5" s="1"/>
  <c r="K30" i="5" s="1"/>
  <c r="H29" i="5"/>
  <c r="L29" i="5" s="1"/>
  <c r="F29" i="5"/>
  <c r="E29" i="5"/>
  <c r="G29" i="5" s="1"/>
  <c r="K29" i="5" s="1"/>
  <c r="H28" i="5"/>
  <c r="L28" i="5" s="1"/>
  <c r="G28" i="5"/>
  <c r="F28" i="5"/>
  <c r="E28" i="5"/>
  <c r="F27" i="5"/>
  <c r="H27" i="5" s="1"/>
  <c r="L27" i="5" s="1"/>
  <c r="E27" i="5"/>
  <c r="G27" i="5" s="1"/>
  <c r="F26" i="5"/>
  <c r="H26" i="5" s="1"/>
  <c r="L26" i="5" s="1"/>
  <c r="E26" i="5"/>
  <c r="G26" i="5" s="1"/>
  <c r="F25" i="5"/>
  <c r="H25" i="5" s="1"/>
  <c r="L25" i="5" s="1"/>
  <c r="E25" i="5"/>
  <c r="G25" i="5" s="1"/>
  <c r="K25" i="5" s="1"/>
  <c r="F24" i="5"/>
  <c r="H24" i="5" s="1"/>
  <c r="L24" i="5" s="1"/>
  <c r="E24" i="5"/>
  <c r="G24" i="5" s="1"/>
  <c r="H23" i="5"/>
  <c r="L23" i="5" s="1"/>
  <c r="G23" i="5"/>
  <c r="H22" i="5"/>
  <c r="L22" i="5" s="1"/>
  <c r="G22" i="5"/>
  <c r="F22" i="5"/>
  <c r="E22" i="5"/>
  <c r="F21" i="5"/>
  <c r="H21" i="5" s="1"/>
  <c r="L21" i="5" s="1"/>
  <c r="E21" i="5"/>
  <c r="G21" i="5" s="1"/>
  <c r="H20" i="5"/>
  <c r="L20" i="5" s="1"/>
  <c r="G20" i="5"/>
  <c r="K20" i="5" s="1"/>
  <c r="H19" i="5"/>
  <c r="L19" i="5" s="1"/>
  <c r="F19" i="5"/>
  <c r="E19" i="5"/>
  <c r="G19" i="5" s="1"/>
  <c r="K19" i="5" s="1"/>
  <c r="H18" i="5"/>
  <c r="L18" i="5" s="1"/>
  <c r="G18" i="5"/>
  <c r="F18" i="5"/>
  <c r="E18" i="5"/>
  <c r="G17" i="5"/>
  <c r="F17" i="5"/>
  <c r="H17" i="5" s="1"/>
  <c r="L17" i="5" s="1"/>
  <c r="E17" i="5"/>
  <c r="F16" i="5"/>
  <c r="H16" i="5" s="1"/>
  <c r="L16" i="5" s="1"/>
  <c r="E16" i="5"/>
  <c r="G16" i="5" s="1"/>
  <c r="K16" i="5" s="1"/>
  <c r="G15" i="5"/>
  <c r="F15" i="5"/>
  <c r="H15" i="5" s="1"/>
  <c r="L15" i="5" s="1"/>
  <c r="E15" i="5"/>
  <c r="F14" i="5"/>
  <c r="H14" i="5" s="1"/>
  <c r="L14" i="5" s="1"/>
  <c r="E14" i="5"/>
  <c r="G14" i="5" s="1"/>
  <c r="K14" i="5" s="1"/>
  <c r="F13" i="5"/>
  <c r="H13" i="5" s="1"/>
  <c r="L13" i="5" s="1"/>
  <c r="E13" i="5"/>
  <c r="G13" i="5" s="1"/>
  <c r="K13" i="5" s="1"/>
  <c r="F12" i="5"/>
  <c r="H12" i="5" s="1"/>
  <c r="L12" i="5" s="1"/>
  <c r="E12" i="5"/>
  <c r="G12" i="5" s="1"/>
  <c r="H11" i="5"/>
  <c r="L11" i="5" s="1"/>
  <c r="F11" i="5"/>
  <c r="E11" i="5"/>
  <c r="G11" i="5" s="1"/>
  <c r="K11" i="5" s="1"/>
  <c r="L10" i="5"/>
  <c r="H10" i="5"/>
  <c r="G10" i="5"/>
  <c r="K10" i="5" s="1"/>
  <c r="M10" i="5" s="1"/>
  <c r="M11" i="5" s="1"/>
  <c r="F10" i="5"/>
  <c r="E10" i="5"/>
  <c r="E56" i="4"/>
  <c r="F55" i="4"/>
  <c r="H55" i="4" s="1"/>
  <c r="C55" i="4"/>
  <c r="H54" i="4"/>
  <c r="F54" i="4"/>
  <c r="F53" i="4"/>
  <c r="H53" i="4" s="1"/>
  <c r="F52" i="4"/>
  <c r="F56" i="4" s="1"/>
  <c r="E47" i="4"/>
  <c r="F46" i="4"/>
  <c r="H46" i="4" s="1"/>
  <c r="H45" i="4"/>
  <c r="F45" i="4"/>
  <c r="H44" i="4"/>
  <c r="F44" i="4"/>
  <c r="F43" i="4"/>
  <c r="F47" i="4" s="1"/>
  <c r="F33" i="4"/>
  <c r="H33" i="4" s="1"/>
  <c r="L33" i="4" s="1"/>
  <c r="E33" i="4"/>
  <c r="G33" i="4" s="1"/>
  <c r="H32" i="4"/>
  <c r="L32" i="4" s="1"/>
  <c r="G32" i="4"/>
  <c r="F31" i="4"/>
  <c r="H31" i="4" s="1"/>
  <c r="L31" i="4" s="1"/>
  <c r="E31" i="4"/>
  <c r="G31" i="4" s="1"/>
  <c r="K31" i="4" s="1"/>
  <c r="F30" i="4"/>
  <c r="H30" i="4" s="1"/>
  <c r="L30" i="4" s="1"/>
  <c r="E30" i="4"/>
  <c r="G30" i="4" s="1"/>
  <c r="K30" i="4" s="1"/>
  <c r="H29" i="4"/>
  <c r="L29" i="4" s="1"/>
  <c r="F29" i="4"/>
  <c r="E29" i="4"/>
  <c r="G29" i="4" s="1"/>
  <c r="H28" i="4"/>
  <c r="L28" i="4" s="1"/>
  <c r="G28" i="4"/>
  <c r="K28" i="4" s="1"/>
  <c r="F28" i="4"/>
  <c r="E28" i="4"/>
  <c r="G27" i="4"/>
  <c r="F27" i="4"/>
  <c r="H27" i="4" s="1"/>
  <c r="L27" i="4" s="1"/>
  <c r="E27" i="4"/>
  <c r="F26" i="4"/>
  <c r="H26" i="4" s="1"/>
  <c r="L26" i="4" s="1"/>
  <c r="E26" i="4"/>
  <c r="G26" i="4" s="1"/>
  <c r="K26" i="4" s="1"/>
  <c r="F25" i="4"/>
  <c r="H25" i="4" s="1"/>
  <c r="L25" i="4" s="1"/>
  <c r="E25" i="4"/>
  <c r="G25" i="4" s="1"/>
  <c r="H24" i="4"/>
  <c r="L24" i="4" s="1"/>
  <c r="F24" i="4"/>
  <c r="E24" i="4"/>
  <c r="G24" i="4" s="1"/>
  <c r="H23" i="4"/>
  <c r="L23" i="4" s="1"/>
  <c r="G23" i="4"/>
  <c r="K23" i="4" s="1"/>
  <c r="F23" i="4"/>
  <c r="E23" i="4"/>
  <c r="G22" i="4"/>
  <c r="F22" i="4"/>
  <c r="H22" i="4" s="1"/>
  <c r="L22" i="4" s="1"/>
  <c r="E22" i="4"/>
  <c r="E63" i="3"/>
  <c r="F63" i="3" s="1"/>
  <c r="H63" i="3" s="1"/>
  <c r="C63" i="3"/>
  <c r="E62" i="3"/>
  <c r="F62" i="3" s="1"/>
  <c r="H62" i="3" s="1"/>
  <c r="F61" i="3"/>
  <c r="H61" i="3" s="1"/>
  <c r="E61" i="3"/>
  <c r="E60" i="3"/>
  <c r="F60" i="3" s="1"/>
  <c r="H60" i="3" s="1"/>
  <c r="F59" i="3"/>
  <c r="H59" i="3" s="1"/>
  <c r="E59" i="3"/>
  <c r="E58" i="3"/>
  <c r="F58" i="3" s="1"/>
  <c r="H58" i="3" s="1"/>
  <c r="E57" i="3"/>
  <c r="F57" i="3" s="1"/>
  <c r="H57" i="3" s="1"/>
  <c r="E56" i="3"/>
  <c r="E64" i="3" s="1"/>
  <c r="F50" i="3"/>
  <c r="H50" i="3" s="1"/>
  <c r="E50" i="3"/>
  <c r="C50" i="3"/>
  <c r="E49" i="3"/>
  <c r="F49" i="3" s="1"/>
  <c r="H49" i="3" s="1"/>
  <c r="E48" i="3"/>
  <c r="F48" i="3" s="1"/>
  <c r="H48" i="3" s="1"/>
  <c r="E47" i="3"/>
  <c r="F47" i="3" s="1"/>
  <c r="H47" i="3" s="1"/>
  <c r="F46" i="3"/>
  <c r="H46" i="3" s="1"/>
  <c r="E45" i="3"/>
  <c r="F45" i="3" s="1"/>
  <c r="H45" i="3" s="1"/>
  <c r="E44" i="3"/>
  <c r="F44" i="3" s="1"/>
  <c r="H44" i="3" s="1"/>
  <c r="E43" i="3"/>
  <c r="F43" i="3" s="1"/>
  <c r="F33" i="3"/>
  <c r="H33" i="3" s="1"/>
  <c r="L33" i="3" s="1"/>
  <c r="E33" i="3"/>
  <c r="G33" i="3" s="1"/>
  <c r="K33" i="3" s="1"/>
  <c r="F32" i="3"/>
  <c r="H32" i="3" s="1"/>
  <c r="L32" i="3" s="1"/>
  <c r="E32" i="3"/>
  <c r="G32" i="3" s="1"/>
  <c r="K32" i="3" s="1"/>
  <c r="F31" i="3"/>
  <c r="H31" i="3" s="1"/>
  <c r="L31" i="3" s="1"/>
  <c r="E31" i="3"/>
  <c r="G31" i="3" s="1"/>
  <c r="K31" i="3" s="1"/>
  <c r="H30" i="3"/>
  <c r="L30" i="3" s="1"/>
  <c r="G30" i="3"/>
  <c r="K30" i="3" s="1"/>
  <c r="H29" i="3"/>
  <c r="L29" i="3" s="1"/>
  <c r="G29" i="3"/>
  <c r="K29" i="3" s="1"/>
  <c r="F29" i="3"/>
  <c r="E29" i="3"/>
  <c r="G28" i="3"/>
  <c r="K28" i="3" s="1"/>
  <c r="F28" i="3"/>
  <c r="H28" i="3" s="1"/>
  <c r="L28" i="3" s="1"/>
  <c r="E28" i="3"/>
  <c r="F27" i="3"/>
  <c r="H27" i="3" s="1"/>
  <c r="L27" i="3" s="1"/>
  <c r="E27" i="3"/>
  <c r="G27" i="3" s="1"/>
  <c r="K27" i="3" s="1"/>
  <c r="F26" i="3"/>
  <c r="H26" i="3" s="1"/>
  <c r="L26" i="3" s="1"/>
  <c r="E26" i="3"/>
  <c r="G26" i="3" s="1"/>
  <c r="K26" i="3" s="1"/>
  <c r="F25" i="3"/>
  <c r="H25" i="3" s="1"/>
  <c r="L25" i="3" s="1"/>
  <c r="E25" i="3"/>
  <c r="G25" i="3" s="1"/>
  <c r="K25" i="3" s="1"/>
  <c r="F24" i="3"/>
  <c r="H24" i="3" s="1"/>
  <c r="L24" i="3" s="1"/>
  <c r="E24" i="3"/>
  <c r="G24" i="3" s="1"/>
  <c r="K24" i="3" s="1"/>
  <c r="H23" i="3"/>
  <c r="L23" i="3" s="1"/>
  <c r="F23" i="3"/>
  <c r="E23" i="3"/>
  <c r="G23" i="3" s="1"/>
  <c r="K23" i="3" s="1"/>
  <c r="H22" i="3"/>
  <c r="L22" i="3" s="1"/>
  <c r="G22" i="3"/>
  <c r="K22" i="3" s="1"/>
  <c r="F22" i="3"/>
  <c r="E22" i="3"/>
  <c r="F21" i="3"/>
  <c r="H21" i="3" s="1"/>
  <c r="L21" i="3" s="1"/>
  <c r="E21" i="3"/>
  <c r="G21" i="3" s="1"/>
  <c r="K21" i="3" s="1"/>
  <c r="F20" i="3"/>
  <c r="H20" i="3" s="1"/>
  <c r="L20" i="3" s="1"/>
  <c r="E20" i="3"/>
  <c r="G20" i="3" s="1"/>
  <c r="K20" i="3" s="1"/>
  <c r="H19" i="3"/>
  <c r="L19" i="3" s="1"/>
  <c r="G19" i="3"/>
  <c r="K19" i="3" s="1"/>
  <c r="H18" i="3"/>
  <c r="L18" i="3" s="1"/>
  <c r="G18" i="3"/>
  <c r="K18" i="3" s="1"/>
  <c r="H17" i="3"/>
  <c r="L17" i="3" s="1"/>
  <c r="G17" i="3"/>
  <c r="K17" i="3" s="1"/>
  <c r="H16" i="3"/>
  <c r="L16" i="3" s="1"/>
  <c r="G16" i="3"/>
  <c r="K16" i="3" s="1"/>
  <c r="F15" i="3"/>
  <c r="H15" i="3" s="1"/>
  <c r="L15" i="3" s="1"/>
  <c r="E15" i="3"/>
  <c r="G15" i="3" s="1"/>
  <c r="K15" i="3" s="1"/>
  <c r="F14" i="3"/>
  <c r="H14" i="3" s="1"/>
  <c r="L14" i="3" s="1"/>
  <c r="E14" i="3"/>
  <c r="G14" i="3" s="1"/>
  <c r="K14" i="3" s="1"/>
  <c r="F13" i="3"/>
  <c r="H13" i="3" s="1"/>
  <c r="L13" i="3" s="1"/>
  <c r="E13" i="3"/>
  <c r="G13" i="3" s="1"/>
  <c r="K13" i="3" s="1"/>
  <c r="F12" i="3"/>
  <c r="H12" i="3" s="1"/>
  <c r="L12" i="3" s="1"/>
  <c r="E12" i="3"/>
  <c r="G12" i="3" s="1"/>
  <c r="K12" i="3" s="1"/>
  <c r="H11" i="3"/>
  <c r="L11" i="3" s="1"/>
  <c r="F11" i="3"/>
  <c r="E11" i="3"/>
  <c r="G11" i="3" s="1"/>
  <c r="K11" i="3" s="1"/>
  <c r="H10" i="3"/>
  <c r="L10" i="3" s="1"/>
  <c r="G10" i="3"/>
  <c r="K10" i="3" s="1"/>
  <c r="M10" i="3" s="1"/>
  <c r="F10" i="3"/>
  <c r="E10" i="3"/>
  <c r="E55" i="2"/>
  <c r="E56" i="2" s="1"/>
  <c r="H54" i="2"/>
  <c r="F54" i="2"/>
  <c r="F53" i="2"/>
  <c r="H53" i="2" s="1"/>
  <c r="F52" i="2"/>
  <c r="E46" i="2"/>
  <c r="E47" i="2" s="1"/>
  <c r="F45" i="2"/>
  <c r="H45" i="2" s="1"/>
  <c r="H44" i="2"/>
  <c r="F44" i="2"/>
  <c r="F43" i="2"/>
  <c r="F33" i="2"/>
  <c r="H33" i="2" s="1"/>
  <c r="L33" i="2" s="1"/>
  <c r="E33" i="2"/>
  <c r="G33" i="2" s="1"/>
  <c r="K33" i="2" s="1"/>
  <c r="F32" i="2"/>
  <c r="H32" i="2" s="1"/>
  <c r="L32" i="2" s="1"/>
  <c r="E32" i="2"/>
  <c r="G32" i="2" s="1"/>
  <c r="K32" i="2" s="1"/>
  <c r="F31" i="2"/>
  <c r="H31" i="2" s="1"/>
  <c r="L31" i="2" s="1"/>
  <c r="E31" i="2"/>
  <c r="G31" i="2" s="1"/>
  <c r="K31" i="2" s="1"/>
  <c r="F30" i="2"/>
  <c r="H30" i="2" s="1"/>
  <c r="L30" i="2" s="1"/>
  <c r="E30" i="2"/>
  <c r="G30" i="2" s="1"/>
  <c r="K30" i="2" s="1"/>
  <c r="H29" i="2"/>
  <c r="L29" i="2" s="1"/>
  <c r="G29" i="2"/>
  <c r="H28" i="2"/>
  <c r="L28" i="2" s="1"/>
  <c r="G28" i="2"/>
  <c r="K28" i="2" s="1"/>
  <c r="F28" i="2"/>
  <c r="E28" i="2"/>
  <c r="K27" i="2"/>
  <c r="G27" i="2"/>
  <c r="F27" i="2"/>
  <c r="H27" i="2" s="1"/>
  <c r="L27" i="2" s="1"/>
  <c r="E27" i="2"/>
  <c r="H26" i="2"/>
  <c r="L26" i="2" s="1"/>
  <c r="F26" i="2"/>
  <c r="E26" i="2"/>
  <c r="G26" i="2" s="1"/>
  <c r="K26" i="2" s="1"/>
  <c r="H25" i="2"/>
  <c r="L25" i="2" s="1"/>
  <c r="G25" i="2"/>
  <c r="K25" i="2" s="1"/>
  <c r="F25" i="2"/>
  <c r="E25" i="2"/>
  <c r="G24" i="2"/>
  <c r="K24" i="2" s="1"/>
  <c r="F24" i="2"/>
  <c r="H24" i="2" s="1"/>
  <c r="L24" i="2" s="1"/>
  <c r="E24" i="2"/>
  <c r="F23" i="2"/>
  <c r="H23" i="2" s="1"/>
  <c r="L23" i="2" s="1"/>
  <c r="E23" i="2"/>
  <c r="G23" i="2" s="1"/>
  <c r="K23" i="2" s="1"/>
  <c r="F22" i="2"/>
  <c r="H22" i="2" s="1"/>
  <c r="L22" i="2" s="1"/>
  <c r="E22" i="2"/>
  <c r="G22" i="2" s="1"/>
  <c r="K22" i="2" s="1"/>
  <c r="G21" i="2"/>
  <c r="K21" i="2" s="1"/>
  <c r="F21" i="2"/>
  <c r="H21" i="2" s="1"/>
  <c r="L21" i="2" s="1"/>
  <c r="E21" i="2"/>
  <c r="K20" i="2"/>
  <c r="H20" i="2"/>
  <c r="L20" i="2" s="1"/>
  <c r="G20" i="2"/>
  <c r="H19" i="2"/>
  <c r="L19" i="2" s="1"/>
  <c r="E19" i="2"/>
  <c r="G19" i="2" s="1"/>
  <c r="K19" i="2" s="1"/>
  <c r="F18" i="2"/>
  <c r="H18" i="2" s="1"/>
  <c r="L18" i="2" s="1"/>
  <c r="E18" i="2"/>
  <c r="G18" i="2" s="1"/>
  <c r="K18" i="2" s="1"/>
  <c r="H17" i="2"/>
  <c r="L17" i="2" s="1"/>
  <c r="F17" i="2"/>
  <c r="G17" i="2"/>
  <c r="K17" i="2" s="1"/>
  <c r="H16" i="2"/>
  <c r="L16" i="2" s="1"/>
  <c r="G16" i="2"/>
  <c r="K16" i="2" s="1"/>
  <c r="F16" i="2"/>
  <c r="E16" i="2"/>
  <c r="F15" i="2"/>
  <c r="H15" i="2" s="1"/>
  <c r="L15" i="2" s="1"/>
  <c r="E15" i="2"/>
  <c r="G15" i="2" s="1"/>
  <c r="K15" i="2" s="1"/>
  <c r="H14" i="2"/>
  <c r="L14" i="2" s="1"/>
  <c r="F14" i="2"/>
  <c r="E14" i="2"/>
  <c r="G14" i="2" s="1"/>
  <c r="K14" i="2" s="1"/>
  <c r="G13" i="2"/>
  <c r="K13" i="2" s="1"/>
  <c r="F13" i="2"/>
  <c r="H13" i="2" s="1"/>
  <c r="L13" i="2" s="1"/>
  <c r="E13" i="2"/>
  <c r="F12" i="2"/>
  <c r="H12" i="2" s="1"/>
  <c r="L12" i="2" s="1"/>
  <c r="E12" i="2"/>
  <c r="G12" i="2" s="1"/>
  <c r="K12" i="2" s="1"/>
  <c r="H11" i="2"/>
  <c r="L11" i="2" s="1"/>
  <c r="F11" i="2"/>
  <c r="E11" i="2"/>
  <c r="G11" i="2" s="1"/>
  <c r="K11" i="2" s="1"/>
  <c r="H10" i="2"/>
  <c r="L10" i="2" s="1"/>
  <c r="G10" i="2"/>
  <c r="K10" i="2" s="1"/>
  <c r="M10" i="2" s="1"/>
  <c r="F10" i="2"/>
  <c r="E10" i="2"/>
  <c r="F66" i="1"/>
  <c r="F65" i="1"/>
  <c r="H65" i="1" s="1"/>
  <c r="E65" i="1"/>
  <c r="E66" i="1" s="1"/>
  <c r="F64" i="1"/>
  <c r="H64" i="1" s="1"/>
  <c r="H63" i="1"/>
  <c r="F63" i="1"/>
  <c r="F62" i="1"/>
  <c r="H62" i="1" s="1"/>
  <c r="H61" i="1"/>
  <c r="F61" i="1"/>
  <c r="F60" i="1"/>
  <c r="H60" i="1" s="1"/>
  <c r="H59" i="1"/>
  <c r="F59" i="1"/>
  <c r="F58" i="1"/>
  <c r="H58" i="1" s="1"/>
  <c r="H57" i="1"/>
  <c r="F57" i="1"/>
  <c r="E52" i="1"/>
  <c r="H51" i="1"/>
  <c r="F51" i="1"/>
  <c r="E51" i="1"/>
  <c r="C51" i="1"/>
  <c r="C65" i="1" s="1"/>
  <c r="H50" i="1"/>
  <c r="F50" i="1"/>
  <c r="F49" i="1"/>
  <c r="H49" i="1" s="1"/>
  <c r="H48" i="1"/>
  <c r="F48" i="1"/>
  <c r="F47" i="1"/>
  <c r="H47" i="1" s="1"/>
  <c r="H46" i="1"/>
  <c r="F46" i="1"/>
  <c r="F45" i="1"/>
  <c r="H45" i="1" s="1"/>
  <c r="H44" i="1"/>
  <c r="F44" i="1"/>
  <c r="F43" i="1"/>
  <c r="H43" i="1" s="1"/>
  <c r="H52" i="1" s="1"/>
  <c r="F33" i="1"/>
  <c r="H33" i="1" s="1"/>
  <c r="L33" i="1" s="1"/>
  <c r="E33" i="1"/>
  <c r="G33" i="1" s="1"/>
  <c r="K33" i="1" s="1"/>
  <c r="F32" i="1"/>
  <c r="H32" i="1" s="1"/>
  <c r="L32" i="1" s="1"/>
  <c r="E32" i="1"/>
  <c r="G32" i="1" s="1"/>
  <c r="K32" i="1" s="1"/>
  <c r="F31" i="1"/>
  <c r="H31" i="1" s="1"/>
  <c r="L31" i="1" s="1"/>
  <c r="E31" i="1"/>
  <c r="G31" i="1" s="1"/>
  <c r="K31" i="1" s="1"/>
  <c r="F30" i="1"/>
  <c r="H30" i="1" s="1"/>
  <c r="L30" i="1" s="1"/>
  <c r="E30" i="1"/>
  <c r="G30" i="1" s="1"/>
  <c r="K30" i="1" s="1"/>
  <c r="H29" i="1"/>
  <c r="L29" i="1" s="1"/>
  <c r="F29" i="1"/>
  <c r="E29" i="1"/>
  <c r="G29" i="1" s="1"/>
  <c r="K29" i="1" s="1"/>
  <c r="H28" i="1"/>
  <c r="L28" i="1" s="1"/>
  <c r="G28" i="1"/>
  <c r="K28" i="1" s="1"/>
  <c r="M28" i="1" s="1"/>
  <c r="M29" i="1" s="1"/>
  <c r="F28" i="1"/>
  <c r="E28" i="1"/>
  <c r="F27" i="1"/>
  <c r="H27" i="1" s="1"/>
  <c r="L27" i="1" s="1"/>
  <c r="E27" i="1"/>
  <c r="G27" i="1" s="1"/>
  <c r="K27" i="1" s="1"/>
  <c r="F26" i="1"/>
  <c r="H26" i="1" s="1"/>
  <c r="L26" i="1" s="1"/>
  <c r="E26" i="1"/>
  <c r="G26" i="1" s="1"/>
  <c r="K26" i="1" s="1"/>
  <c r="F25" i="1"/>
  <c r="H25" i="1" s="1"/>
  <c r="L25" i="1" s="1"/>
  <c r="E25" i="1"/>
  <c r="G25" i="1" s="1"/>
  <c r="H24" i="1"/>
  <c r="L24" i="1" s="1"/>
  <c r="F24" i="1"/>
  <c r="E24" i="1"/>
  <c r="G24" i="1" s="1"/>
  <c r="H23" i="1"/>
  <c r="L23" i="1" s="1"/>
  <c r="G23" i="1"/>
  <c r="F23" i="1"/>
  <c r="E23" i="1"/>
  <c r="G22" i="1"/>
  <c r="F22" i="1"/>
  <c r="H22" i="1" s="1"/>
  <c r="L22" i="1" s="1"/>
  <c r="E22" i="1"/>
  <c r="H21" i="1"/>
  <c r="L21" i="1" s="1"/>
  <c r="G21" i="1"/>
  <c r="F21" i="1"/>
  <c r="E21" i="1"/>
  <c r="H20" i="1"/>
  <c r="L20" i="1" s="1"/>
  <c r="G20" i="1"/>
  <c r="K20" i="1" s="1"/>
  <c r="F19" i="1"/>
  <c r="H19" i="1" s="1"/>
  <c r="L19" i="1" s="1"/>
  <c r="E19" i="1"/>
  <c r="G19" i="1" s="1"/>
  <c r="F18" i="1"/>
  <c r="H18" i="1" s="1"/>
  <c r="L18" i="1" s="1"/>
  <c r="E18" i="1"/>
  <c r="G18" i="1" s="1"/>
  <c r="F17" i="1"/>
  <c r="H17" i="1" s="1"/>
  <c r="L17" i="1" s="1"/>
  <c r="E17" i="1"/>
  <c r="G17" i="1" s="1"/>
  <c r="K17" i="1" s="1"/>
  <c r="H16" i="1"/>
  <c r="L16" i="1" s="1"/>
  <c r="F16" i="1"/>
  <c r="E16" i="1"/>
  <c r="G16" i="1" s="1"/>
  <c r="K32" i="4" l="1"/>
  <c r="K23" i="5"/>
  <c r="K28" i="6"/>
  <c r="K31" i="6"/>
  <c r="K32" i="6"/>
  <c r="K29" i="6"/>
  <c r="M11" i="6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H24" i="6"/>
  <c r="L24" i="6" s="1"/>
  <c r="G24" i="6"/>
  <c r="K26" i="6"/>
  <c r="K25" i="6"/>
  <c r="K27" i="6"/>
  <c r="K24" i="6"/>
  <c r="K22" i="6"/>
  <c r="M23" i="6" s="1"/>
  <c r="K31" i="5"/>
  <c r="K32" i="5"/>
  <c r="K33" i="5"/>
  <c r="K28" i="5"/>
  <c r="K24" i="5"/>
  <c r="K22" i="5"/>
  <c r="M22" i="5" s="1"/>
  <c r="M23" i="5" s="1"/>
  <c r="M24" i="5" s="1"/>
  <c r="M25" i="5" s="1"/>
  <c r="M26" i="5" s="1"/>
  <c r="K26" i="5"/>
  <c r="K27" i="5"/>
  <c r="K21" i="5"/>
  <c r="K17" i="5"/>
  <c r="K18" i="5"/>
  <c r="K12" i="5"/>
  <c r="M12" i="5" s="1"/>
  <c r="M13" i="5" s="1"/>
  <c r="M14" i="5" s="1"/>
  <c r="M15" i="5" s="1"/>
  <c r="M16" i="5" s="1"/>
  <c r="M17" i="5" s="1"/>
  <c r="K15" i="5"/>
  <c r="H52" i="4"/>
  <c r="H56" i="4" s="1"/>
  <c r="H43" i="4"/>
  <c r="H47" i="4" s="1"/>
  <c r="K29" i="4"/>
  <c r="K33" i="4"/>
  <c r="K25" i="4"/>
  <c r="K22" i="4"/>
  <c r="K24" i="4"/>
  <c r="K27" i="4"/>
  <c r="F51" i="3"/>
  <c r="H43" i="3"/>
  <c r="H51" i="3" s="1"/>
  <c r="E51" i="3"/>
  <c r="F56" i="3"/>
  <c r="M11" i="3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F55" i="2"/>
  <c r="H55" i="2" s="1"/>
  <c r="F46" i="2"/>
  <c r="H46" i="2" s="1"/>
  <c r="H52" i="2"/>
  <c r="H56" i="2" s="1"/>
  <c r="H43" i="2"/>
  <c r="H47" i="2" s="1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H66" i="1"/>
  <c r="F52" i="1"/>
  <c r="M30" i="1"/>
  <c r="M31" i="1" s="1"/>
  <c r="M32" i="1" s="1"/>
  <c r="M33" i="1" s="1"/>
  <c r="K23" i="1"/>
  <c r="K22" i="1"/>
  <c r="M22" i="1" s="1"/>
  <c r="M23" i="1" s="1"/>
  <c r="K25" i="1"/>
  <c r="K24" i="1"/>
  <c r="K16" i="1"/>
  <c r="K21" i="1"/>
  <c r="K19" i="1"/>
  <c r="K18" i="1"/>
  <c r="M28" i="6" l="1"/>
  <c r="M29" i="6" s="1"/>
  <c r="M30" i="6" s="1"/>
  <c r="M31" i="6" s="1"/>
  <c r="M32" i="6" s="1"/>
  <c r="M33" i="6" s="1"/>
  <c r="M24" i="6"/>
  <c r="M25" i="6" s="1"/>
  <c r="M26" i="6" s="1"/>
  <c r="M27" i="6" s="1"/>
  <c r="M27" i="5"/>
  <c r="M28" i="5" s="1"/>
  <c r="M29" i="5" s="1"/>
  <c r="M30" i="5" s="1"/>
  <c r="M31" i="5" s="1"/>
  <c r="M32" i="5" s="1"/>
  <c r="M33" i="5" s="1"/>
  <c r="M18" i="5"/>
  <c r="M19" i="5" s="1"/>
  <c r="M20" i="5" s="1"/>
  <c r="M21" i="5" s="1"/>
  <c r="H57" i="4"/>
  <c r="H48" i="4"/>
  <c r="H49" i="4" s="1"/>
  <c r="H50" i="4" s="1"/>
  <c r="M22" i="4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F64" i="3"/>
  <c r="H56" i="3"/>
  <c r="H64" i="3" s="1"/>
  <c r="H57" i="2"/>
  <c r="H48" i="2"/>
  <c r="F47" i="2"/>
  <c r="H49" i="2"/>
  <c r="H50" i="2" s="1"/>
  <c r="F56" i="2"/>
  <c r="H67" i="1"/>
  <c r="H53" i="1"/>
  <c r="H54" i="1" s="1"/>
  <c r="H55" i="1" s="1"/>
  <c r="M24" i="1"/>
  <c r="M25" i="1" s="1"/>
  <c r="M26" i="1" s="1"/>
  <c r="M27" i="1" s="1"/>
  <c r="H52" i="3" l="1"/>
  <c r="H53" i="3" s="1"/>
  <c r="H54" i="3" s="1"/>
  <c r="H65" i="3"/>
  <c r="F15" i="1" l="1"/>
  <c r="H15" i="1" s="1"/>
  <c r="L15" i="1" s="1"/>
  <c r="E15" i="1"/>
  <c r="G15" i="1" s="1"/>
  <c r="F14" i="1"/>
  <c r="H14" i="1" s="1"/>
  <c r="L14" i="1" s="1"/>
  <c r="E14" i="1"/>
  <c r="G14" i="1" s="1"/>
  <c r="K14" i="1" s="1"/>
  <c r="F13" i="1"/>
  <c r="H13" i="1" s="1"/>
  <c r="L13" i="1" s="1"/>
  <c r="E13" i="1"/>
  <c r="G13" i="1" s="1"/>
  <c r="K13" i="1" s="1"/>
  <c r="F12" i="1"/>
  <c r="H12" i="1" s="1"/>
  <c r="L12" i="1" s="1"/>
  <c r="E12" i="1"/>
  <c r="G12" i="1" s="1"/>
  <c r="H11" i="1"/>
  <c r="L11" i="1" s="1"/>
  <c r="F11" i="1"/>
  <c r="E11" i="1"/>
  <c r="G11" i="1" s="1"/>
  <c r="K11" i="1" s="1"/>
  <c r="H10" i="1"/>
  <c r="L10" i="1" s="1"/>
  <c r="G10" i="1"/>
  <c r="F10" i="1"/>
  <c r="E10" i="1"/>
  <c r="K12" i="1" l="1"/>
  <c r="K10" i="1"/>
  <c r="M10" i="1" s="1"/>
  <c r="M11" i="1" s="1"/>
  <c r="M12" i="1" s="1"/>
  <c r="M13" i="1" s="1"/>
  <c r="M14" i="1" s="1"/>
  <c r="K15" i="1"/>
  <c r="M15" i="1" l="1"/>
  <c r="M16" i="1" s="1"/>
  <c r="M17" i="1" s="1"/>
  <c r="M18" i="1" s="1"/>
  <c r="M19" i="1" s="1"/>
  <c r="M20" i="1" s="1"/>
  <c r="M21" i="1" s="1"/>
</calcChain>
</file>

<file path=xl/sharedStrings.xml><?xml version="1.0" encoding="utf-8"?>
<sst xmlns="http://schemas.openxmlformats.org/spreadsheetml/2006/main" count="199" uniqueCount="49">
  <si>
    <t>Louisville Gas and Electric Company</t>
  </si>
  <si>
    <t>Deferred Tax Calculations</t>
  </si>
  <si>
    <t>Environmental Compliance Plans, by Approved Project</t>
  </si>
  <si>
    <t>2009 - Plan</t>
  </si>
  <si>
    <t>Project 24 - Trimble County CCP Storage (Landfill - Phase I)</t>
  </si>
  <si>
    <t>Month</t>
  </si>
  <si>
    <t>Plant Balance</t>
  </si>
  <si>
    <t>Book Depreciation</t>
  </si>
  <si>
    <t>Fed Tax Depreciation</t>
  </si>
  <si>
    <t>State Tax Depreciation</t>
  </si>
  <si>
    <t>Fed Temporary Difference</t>
  </si>
  <si>
    <t>State Temporary Difference</t>
  </si>
  <si>
    <t>Fed Tax Rate</t>
  </si>
  <si>
    <t>State Tax Rate</t>
  </si>
  <si>
    <t>Fed Deferred Tax</t>
  </si>
  <si>
    <t>State Deferred Tax</t>
  </si>
  <si>
    <t>Accumulated Deferred Taxes</t>
  </si>
  <si>
    <t>Deferred Taxes on Retirements</t>
  </si>
  <si>
    <t>Beg Balance</t>
  </si>
  <si>
    <t>The federal deferred tax column includes an amount for amortization of excess deferred tax amounts.</t>
  </si>
  <si>
    <t xml:space="preserve">Due to Bonus Depreciation for tax purposes taken on certain components of Project 24, the deferred tax calculation for this project </t>
  </si>
  <si>
    <t>is computed separately for Federal and State purposes.  Specifically, for Federal taxes, certain assets received 50% bonus</t>
  </si>
  <si>
    <t>depreciation, which reduces the Federal tax basis to 50% of the plant balance.  A sample calculation of deferred taxes for Feb 2025</t>
  </si>
  <si>
    <t>is shown below:</t>
  </si>
  <si>
    <t>Federal Basis</t>
  </si>
  <si>
    <t>Book Depr.</t>
  </si>
  <si>
    <t>Federal Tax Depr</t>
  </si>
  <si>
    <t>Fed. Difference</t>
  </si>
  <si>
    <t>Fed Def Tax</t>
  </si>
  <si>
    <t>Subtotal</t>
  </si>
  <si>
    <t>State Offset</t>
  </si>
  <si>
    <t>Excess fed deferred tax amortization</t>
  </si>
  <si>
    <t>State Basis</t>
  </si>
  <si>
    <t>State Tax Depr</t>
  </si>
  <si>
    <t>St. Difference</t>
  </si>
  <si>
    <t>St Def Tax</t>
  </si>
  <si>
    <t>Project 25 -Beneficial Reuse</t>
  </si>
  <si>
    <t>The federal and state deferred tax columns include an amount for amortization of excess deferred tax amounts.</t>
  </si>
  <si>
    <t xml:space="preserve">Due to Bonus Depreciation for tax purposes taken on certain components of Project 25, the deferred tax calculation for this project </t>
  </si>
  <si>
    <t>Excess state deferred tax amortization</t>
  </si>
  <si>
    <t>2016 - Plan</t>
  </si>
  <si>
    <t>Project 29 - Mill Creek New Process Water Systems</t>
  </si>
  <si>
    <t xml:space="preserve">Due to Bonus Depreciation for tax purposes taken on certain components of Project 29, the deferred tax calculation for this project </t>
  </si>
  <si>
    <t xml:space="preserve"> </t>
  </si>
  <si>
    <t>Project 30 - Trimble County New Process Water Systems</t>
  </si>
  <si>
    <t xml:space="preserve">Due to Bonus Depreciation for tax purposes taken on certain components of Project 30, the deferred tax calculation for this project </t>
  </si>
  <si>
    <t>2020 - Plan</t>
  </si>
  <si>
    <t>Project 31 - Mill Creek ELG Water Treatment System and Diffuser</t>
  </si>
  <si>
    <t>Project 32 - Trimble County ELG Water Treatment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</si>
</sst>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0" xfId="0" applyFont="1" applyAlignment="1">
      <alignment horizontal="centerContinuous"/>
    </xf>
    <xf numFmtId="164" fontId="2" fillId="0" borderId="0" xfId="0" applyNumberFormat="1" applyFont="1"/>
    <xf numFmtId="0" fontId="2" fillId="0" borderId="0" xfId="0" applyFont="1"/>
    <xf numFmtId="164" fontId="3" fillId="0" borderId="0" xfId="0" quotePrefix="1" applyNumberFormat="1" applyFont="1" applyAlignment="1">
      <alignment horizontal="left"/>
    </xf>
    <xf numFmtId="164" fontId="2" fillId="0" borderId="0" xfId="0" quotePrefix="1" applyNumberFormat="1" applyFont="1" applyAlignment="1">
      <alignment horizontal="left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1" fontId="4" fillId="0" borderId="0" xfId="0" applyNumberFormat="1" applyFont="1"/>
    <xf numFmtId="38" fontId="4" fillId="0" borderId="0" xfId="0" applyNumberFormat="1" applyFont="1"/>
    <xf numFmtId="165" fontId="4" fillId="0" borderId="0" xfId="1" applyNumberFormat="1" applyFont="1"/>
    <xf numFmtId="164" fontId="4" fillId="0" borderId="0" xfId="2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165" fontId="5" fillId="0" borderId="0" xfId="1" applyNumberFormat="1" applyFont="1"/>
    <xf numFmtId="166" fontId="5" fillId="0" borderId="0" xfId="0" applyNumberFormat="1" applyFont="1"/>
    <xf numFmtId="41" fontId="5" fillId="0" borderId="0" xfId="0" applyNumberFormat="1" applyFont="1"/>
    <xf numFmtId="41" fontId="4" fillId="0" borderId="0" xfId="0" quotePrefix="1" applyNumberFormat="1" applyFont="1" applyAlignment="1">
      <alignment horizontal="left"/>
    </xf>
    <xf numFmtId="165" fontId="4" fillId="0" borderId="0" xfId="3" applyNumberFormat="1" applyFont="1" applyFill="1"/>
    <xf numFmtId="43" fontId="4" fillId="0" borderId="0" xfId="3" applyFont="1" applyFill="1"/>
    <xf numFmtId="0" fontId="4" fillId="0" borderId="0" xfId="0" quotePrefix="1" applyFont="1" applyAlignment="1">
      <alignment horizontal="left"/>
    </xf>
    <xf numFmtId="165" fontId="4" fillId="0" borderId="0" xfId="3" quotePrefix="1" applyNumberFormat="1" applyFont="1" applyFill="1" applyAlignment="1">
      <alignment horizontal="left"/>
    </xf>
    <xf numFmtId="0" fontId="4" fillId="0" borderId="0" xfId="0" applyFont="1"/>
    <xf numFmtId="166" fontId="4" fillId="0" borderId="0" xfId="0" applyNumberFormat="1" applyFont="1"/>
    <xf numFmtId="41" fontId="6" fillId="0" borderId="0" xfId="0" applyNumberFormat="1" applyFont="1"/>
    <xf numFmtId="164" fontId="3" fillId="0" borderId="0" xfId="0" applyNumberFormat="1" applyFont="1"/>
    <xf numFmtId="165" fontId="4" fillId="0" borderId="0" xfId="3" applyNumberFormat="1" applyFont="1"/>
    <xf numFmtId="41" fontId="6" fillId="0" borderId="0" xfId="4" applyNumberFormat="1" applyFont="1"/>
    <xf numFmtId="41" fontId="4" fillId="0" borderId="0" xfId="4" applyNumberFormat="1" applyFont="1"/>
    <xf numFmtId="38" fontId="4" fillId="0" borderId="0" xfId="4" applyNumberFormat="1" applyFont="1"/>
    <xf numFmtId="41" fontId="4" fillId="0" borderId="0" xfId="4" quotePrefix="1" applyNumberFormat="1" applyFont="1" applyAlignment="1">
      <alignment horizontal="left"/>
    </xf>
    <xf numFmtId="0" fontId="4" fillId="0" borderId="0" xfId="4" applyFont="1"/>
    <xf numFmtId="0" fontId="4" fillId="0" borderId="0" xfId="4" quotePrefix="1" applyFont="1" applyAlignment="1">
      <alignment horizontal="left"/>
    </xf>
    <xf numFmtId="166" fontId="4" fillId="0" borderId="0" xfId="4" applyNumberFormat="1" applyFont="1"/>
    <xf numFmtId="165" fontId="5" fillId="0" borderId="0" xfId="3" applyNumberFormat="1" applyFont="1" applyBorder="1"/>
    <xf numFmtId="41" fontId="5" fillId="0" borderId="0" xfId="0" applyNumberFormat="1" applyFont="1" applyFill="1"/>
    <xf numFmtId="165" fontId="4" fillId="0" borderId="0" xfId="3" applyNumberFormat="1"/>
  </cellXfs>
  <cellStyles count="5">
    <cellStyle name="Comma" xfId="1" builtinId="3"/>
    <cellStyle name="Comma 2 2 2" xfId="3" xr:uid="{E7C66372-945B-4EF9-8347-4FFB2F0AE72A}"/>
    <cellStyle name="Normal" xfId="0" builtinId="0"/>
    <cellStyle name="Normal 2" xfId="2" xr:uid="{56D17ABF-739E-4F84-A797-8843EA097C60}"/>
    <cellStyle name="Normal 2 2" xfId="4" xr:uid="{DDDC8682-D51F-466E-A28E-8277AA81B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695C-4F18-47CF-AD56-BD6D93F40734}">
  <dimension ref="A1:N67"/>
  <sheetViews>
    <sheetView workbookViewId="0">
      <selection activeCell="M27" sqref="M27"/>
    </sheetView>
  </sheetViews>
  <sheetFormatPr defaultRowHeight="15" x14ac:dyDescent="0.25"/>
  <cols>
    <col min="1" max="1" width="11.28515625" customWidth="1"/>
    <col min="2" max="2" width="1.7109375" customWidth="1"/>
    <col min="3" max="3" width="13.28515625" customWidth="1"/>
    <col min="4" max="4" width="12.7109375" customWidth="1"/>
    <col min="5" max="5" width="16" customWidth="1"/>
    <col min="6" max="6" width="14.7109375" customWidth="1"/>
    <col min="7" max="7" width="14" customWidth="1"/>
    <col min="8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4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5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4">
        <v>11207022</v>
      </c>
      <c r="N9" s="12"/>
    </row>
    <row r="10" spans="1:14" x14ac:dyDescent="0.25">
      <c r="A10" s="11">
        <v>44994</v>
      </c>
      <c r="B10" s="12"/>
      <c r="C10" s="8">
        <v>111565486</v>
      </c>
      <c r="D10" s="9">
        <v>248490</v>
      </c>
      <c r="E10" s="9">
        <f>330745.228</f>
        <v>330745.228</v>
      </c>
      <c r="F10" s="9">
        <f>523424.44</f>
        <v>523424.44</v>
      </c>
      <c r="G10" s="10">
        <f t="shared" ref="G10:G33" si="0">E10-D10</f>
        <v>82255.228000000003</v>
      </c>
      <c r="H10" s="10">
        <f t="shared" ref="H10:H33" si="1">F10-D10</f>
        <v>274934.44</v>
      </c>
      <c r="I10" s="15">
        <v>0.21</v>
      </c>
      <c r="J10" s="15">
        <v>0.05</v>
      </c>
      <c r="K10" s="16">
        <f t="shared" ref="K10:K15" si="2">G10*I10-L10*I10-1314.56</f>
        <v>13072.226260000001</v>
      </c>
      <c r="L10" s="16">
        <f t="shared" ref="L10:L33" si="3">H10*J10</f>
        <v>13746.722000000002</v>
      </c>
      <c r="M10" s="16">
        <f t="shared" ref="M10:M33" si="4">M9+K10+L10</f>
        <v>11233840.94826</v>
      </c>
      <c r="N10" s="16">
        <v>0</v>
      </c>
    </row>
    <row r="11" spans="1:14" x14ac:dyDescent="0.25">
      <c r="A11" s="11">
        <v>45017</v>
      </c>
      <c r="B11" s="12"/>
      <c r="C11" s="8">
        <v>165239614</v>
      </c>
      <c r="D11" s="9">
        <v>307085</v>
      </c>
      <c r="E11" s="9">
        <f>554387.48-52080.9</f>
        <v>502306.57999999996</v>
      </c>
      <c r="F11" s="9">
        <f>747066.64-52080.9</f>
        <v>694985.74</v>
      </c>
      <c r="G11" s="10">
        <f t="shared" si="0"/>
        <v>195221.57999999996</v>
      </c>
      <c r="H11" s="10">
        <f t="shared" si="1"/>
        <v>387900.74</v>
      </c>
      <c r="I11" s="15">
        <v>0.21</v>
      </c>
      <c r="J11" s="15">
        <v>0.05</v>
      </c>
      <c r="K11" s="16">
        <f t="shared" si="2"/>
        <v>35609.014029999991</v>
      </c>
      <c r="L11" s="16">
        <f t="shared" si="3"/>
        <v>19395.037</v>
      </c>
      <c r="M11" s="16">
        <f t="shared" si="4"/>
        <v>11288844.999290001</v>
      </c>
      <c r="N11" s="16">
        <v>0</v>
      </c>
    </row>
    <row r="12" spans="1:14" x14ac:dyDescent="0.25">
      <c r="A12" s="11">
        <v>45047</v>
      </c>
      <c r="B12" s="12"/>
      <c r="C12" s="8">
        <v>168731156</v>
      </c>
      <c r="D12" s="9">
        <v>360076</v>
      </c>
      <c r="E12" s="9">
        <f>570754.09+11409.02</f>
        <v>582163.11</v>
      </c>
      <c r="F12" s="9">
        <f>763433.25+11409.02</f>
        <v>774842.27</v>
      </c>
      <c r="G12" s="10">
        <f t="shared" si="0"/>
        <v>222087.11</v>
      </c>
      <c r="H12" s="10">
        <f t="shared" si="1"/>
        <v>414766.27</v>
      </c>
      <c r="I12" s="15">
        <v>0.21</v>
      </c>
      <c r="J12" s="15">
        <v>0.05</v>
      </c>
      <c r="K12" s="16">
        <f t="shared" si="2"/>
        <v>40968.687265</v>
      </c>
      <c r="L12" s="16">
        <f t="shared" si="3"/>
        <v>20738.313500000004</v>
      </c>
      <c r="M12" s="16">
        <f t="shared" si="4"/>
        <v>11350552.000055</v>
      </c>
      <c r="N12" s="16">
        <v>0</v>
      </c>
    </row>
    <row r="13" spans="1:14" x14ac:dyDescent="0.25">
      <c r="A13" s="11">
        <v>45078</v>
      </c>
      <c r="B13" s="12"/>
      <c r="C13" s="8">
        <v>168731156</v>
      </c>
      <c r="D13" s="9">
        <v>354474</v>
      </c>
      <c r="E13" s="9">
        <f>570754.09+5811.02</f>
        <v>576565.11</v>
      </c>
      <c r="F13" s="9">
        <f>763433.25+5811.02</f>
        <v>769244.27</v>
      </c>
      <c r="G13" s="10">
        <f t="shared" si="0"/>
        <v>222091.11</v>
      </c>
      <c r="H13" s="10">
        <f t="shared" si="1"/>
        <v>414770.27</v>
      </c>
      <c r="I13" s="15">
        <v>0.21</v>
      </c>
      <c r="J13" s="15">
        <v>0.05</v>
      </c>
      <c r="K13" s="16">
        <f t="shared" si="2"/>
        <v>40969.485264999996</v>
      </c>
      <c r="L13" s="16">
        <f t="shared" si="3"/>
        <v>20738.513500000001</v>
      </c>
      <c r="M13" s="16">
        <f t="shared" si="4"/>
        <v>11412259.998819999</v>
      </c>
      <c r="N13" s="16">
        <v>0</v>
      </c>
    </row>
    <row r="14" spans="1:14" x14ac:dyDescent="0.25">
      <c r="A14" s="11">
        <v>45108</v>
      </c>
      <c r="B14" s="12"/>
      <c r="C14" s="8">
        <v>168731156</v>
      </c>
      <c r="D14" s="9">
        <v>354474</v>
      </c>
      <c r="E14" s="9">
        <f>570754.09+5811.02</f>
        <v>576565.11</v>
      </c>
      <c r="F14" s="9">
        <f>763433.25+5811.02</f>
        <v>769244.27</v>
      </c>
      <c r="G14" s="10">
        <f t="shared" si="0"/>
        <v>222091.11</v>
      </c>
      <c r="H14" s="10">
        <f t="shared" si="1"/>
        <v>414770.27</v>
      </c>
      <c r="I14" s="15">
        <v>0.21</v>
      </c>
      <c r="J14" s="15">
        <v>0.05</v>
      </c>
      <c r="K14" s="16">
        <f t="shared" si="2"/>
        <v>40969.485264999996</v>
      </c>
      <c r="L14" s="16">
        <f t="shared" si="3"/>
        <v>20738.513500000001</v>
      </c>
      <c r="M14" s="16">
        <f t="shared" si="4"/>
        <v>11473967.997584999</v>
      </c>
      <c r="N14" s="16">
        <v>0</v>
      </c>
    </row>
    <row r="15" spans="1:14" x14ac:dyDescent="0.25">
      <c r="A15" s="11">
        <v>45139</v>
      </c>
      <c r="B15" s="12"/>
      <c r="C15" s="8">
        <v>168731156</v>
      </c>
      <c r="D15" s="9">
        <v>354474</v>
      </c>
      <c r="E15" s="9">
        <f>570754.09+5811.02</f>
        <v>576565.11</v>
      </c>
      <c r="F15" s="9">
        <f>763433.25+5811.02</f>
        <v>769244.27</v>
      </c>
      <c r="G15" s="10">
        <f t="shared" si="0"/>
        <v>222091.11</v>
      </c>
      <c r="H15" s="10">
        <f t="shared" si="1"/>
        <v>414770.27</v>
      </c>
      <c r="I15" s="15">
        <v>0.21</v>
      </c>
      <c r="J15" s="15">
        <v>0.05</v>
      </c>
      <c r="K15" s="16">
        <f t="shared" si="2"/>
        <v>40969.485264999996</v>
      </c>
      <c r="L15" s="16">
        <f t="shared" si="3"/>
        <v>20738.513500000001</v>
      </c>
      <c r="M15" s="16">
        <f t="shared" si="4"/>
        <v>11535675.996349998</v>
      </c>
      <c r="N15" s="16">
        <v>0</v>
      </c>
    </row>
    <row r="16" spans="1:14" x14ac:dyDescent="0.25">
      <c r="A16" s="11">
        <v>45178</v>
      </c>
      <c r="B16" s="12"/>
      <c r="C16" s="8">
        <v>168742076</v>
      </c>
      <c r="D16" s="9">
        <v>354474</v>
      </c>
      <c r="E16" s="9">
        <f>570754.087738704+5811.03</f>
        <v>576565.11773870408</v>
      </c>
      <c r="F16" s="9">
        <f>763433.248186933+5811.03</f>
        <v>769244.27818693302</v>
      </c>
      <c r="G16" s="10">
        <f t="shared" si="0"/>
        <v>222091.11773870408</v>
      </c>
      <c r="H16" s="10">
        <f t="shared" si="1"/>
        <v>414770.27818693302</v>
      </c>
      <c r="I16" s="15">
        <v>0.21</v>
      </c>
      <c r="J16" s="15">
        <v>0.05</v>
      </c>
      <c r="K16" s="16">
        <f>G16*I16-L16*I16-1314.56</f>
        <v>40969.486804165062</v>
      </c>
      <c r="L16" s="16">
        <f t="shared" si="3"/>
        <v>20738.513909346653</v>
      </c>
      <c r="M16" s="16">
        <f t="shared" si="4"/>
        <v>11597383.99706351</v>
      </c>
      <c r="N16" s="16">
        <v>0</v>
      </c>
    </row>
    <row r="17" spans="1:14" x14ac:dyDescent="0.25">
      <c r="A17" s="11">
        <v>45200</v>
      </c>
      <c r="B17" s="12"/>
      <c r="C17" s="8">
        <v>168742076</v>
      </c>
      <c r="D17" s="9">
        <v>354474</v>
      </c>
      <c r="E17" s="9">
        <f>570754.087738704+5807.02</f>
        <v>576561.10773870407</v>
      </c>
      <c r="F17" s="9">
        <f>763433.248186933+5807.02</f>
        <v>769240.26818693301</v>
      </c>
      <c r="G17" s="10">
        <f t="shared" si="0"/>
        <v>222087.10773870407</v>
      </c>
      <c r="H17" s="10">
        <f t="shared" si="1"/>
        <v>414766.26818693301</v>
      </c>
      <c r="I17" s="15">
        <v>0.21</v>
      </c>
      <c r="J17" s="15">
        <v>0.05</v>
      </c>
      <c r="K17" s="16">
        <f>G17*I17-L17*I17-1314.56</f>
        <v>40968.686809165061</v>
      </c>
      <c r="L17" s="16">
        <f t="shared" si="3"/>
        <v>20738.313409346651</v>
      </c>
      <c r="M17" s="16">
        <f t="shared" si="4"/>
        <v>11659090.997282023</v>
      </c>
      <c r="N17" s="16">
        <v>0</v>
      </c>
    </row>
    <row r="18" spans="1:14" x14ac:dyDescent="0.25">
      <c r="A18" s="11">
        <v>45231</v>
      </c>
      <c r="B18" s="12"/>
      <c r="C18" s="8">
        <v>168742076</v>
      </c>
      <c r="D18" s="9">
        <v>354474</v>
      </c>
      <c r="E18" s="9">
        <f>570754.087738704+5811.02</f>
        <v>576565.10773870407</v>
      </c>
      <c r="F18" s="9">
        <f>763433.248186933+5811.02</f>
        <v>769244.26818693301</v>
      </c>
      <c r="G18" s="10">
        <f t="shared" si="0"/>
        <v>222091.10773870407</v>
      </c>
      <c r="H18" s="10">
        <f t="shared" si="1"/>
        <v>414770.26818693301</v>
      </c>
      <c r="I18" s="15">
        <v>0.21</v>
      </c>
      <c r="J18" s="15">
        <v>0.05</v>
      </c>
      <c r="K18" s="16">
        <f>G18*I18-L18*I18-1314.56</f>
        <v>40969.484809165057</v>
      </c>
      <c r="L18" s="16">
        <f t="shared" si="3"/>
        <v>20738.513409346651</v>
      </c>
      <c r="M18" s="16">
        <f t="shared" si="4"/>
        <v>11720798.995500535</v>
      </c>
      <c r="N18" s="16">
        <v>0</v>
      </c>
    </row>
    <row r="19" spans="1:14" x14ac:dyDescent="0.25">
      <c r="A19" s="11">
        <v>45261</v>
      </c>
      <c r="B19" s="12"/>
      <c r="C19" s="8">
        <v>168742076</v>
      </c>
      <c r="D19" s="9">
        <v>354474</v>
      </c>
      <c r="E19" s="9">
        <f>570754.087738704+5811.03</f>
        <v>576565.11773870408</v>
      </c>
      <c r="F19" s="9">
        <f>763433.248186933+5811.03</f>
        <v>769244.27818693302</v>
      </c>
      <c r="G19" s="10">
        <f t="shared" si="0"/>
        <v>222091.11773870408</v>
      </c>
      <c r="H19" s="10">
        <f t="shared" si="1"/>
        <v>414770.27818693302</v>
      </c>
      <c r="I19" s="15">
        <v>0.21</v>
      </c>
      <c r="J19" s="15">
        <v>0.05</v>
      </c>
      <c r="K19" s="16">
        <f>G19*I19-L19*I19-1314.56</f>
        <v>40969.486804165062</v>
      </c>
      <c r="L19" s="16">
        <f t="shared" si="3"/>
        <v>20738.513909346653</v>
      </c>
      <c r="M19" s="16">
        <f t="shared" si="4"/>
        <v>11782506.996214047</v>
      </c>
      <c r="N19" s="16">
        <v>0</v>
      </c>
    </row>
    <row r="20" spans="1:14" x14ac:dyDescent="0.25">
      <c r="A20" s="11">
        <v>45292</v>
      </c>
      <c r="B20" s="12"/>
      <c r="C20" s="8">
        <v>168742076</v>
      </c>
      <c r="D20" s="9">
        <v>354474</v>
      </c>
      <c r="E20" s="9">
        <v>680385</v>
      </c>
      <c r="F20" s="9">
        <v>859186</v>
      </c>
      <c r="G20" s="10">
        <f t="shared" si="0"/>
        <v>325911</v>
      </c>
      <c r="H20" s="10">
        <f t="shared" si="1"/>
        <v>504712</v>
      </c>
      <c r="I20" s="15">
        <v>0.21</v>
      </c>
      <c r="J20" s="15">
        <v>0.05</v>
      </c>
      <c r="K20" s="16">
        <f>G20*I20-L20*I20-1483.33</f>
        <v>61658.503999999994</v>
      </c>
      <c r="L20" s="16">
        <f t="shared" si="3"/>
        <v>25235.600000000002</v>
      </c>
      <c r="M20" s="16">
        <f t="shared" si="4"/>
        <v>11869401.100214047</v>
      </c>
      <c r="N20" s="16">
        <v>0</v>
      </c>
    </row>
    <row r="21" spans="1:14" x14ac:dyDescent="0.25">
      <c r="A21" s="11">
        <v>45323</v>
      </c>
      <c r="B21" s="12"/>
      <c r="C21" s="8">
        <v>168762184</v>
      </c>
      <c r="D21" s="9">
        <v>354505</v>
      </c>
      <c r="E21" s="9">
        <f>650476.7-3268.38</f>
        <v>647208.31999999995</v>
      </c>
      <c r="F21" s="9">
        <f>829277.91</f>
        <v>829277.91</v>
      </c>
      <c r="G21" s="10">
        <f t="shared" si="0"/>
        <v>292703.31999999995</v>
      </c>
      <c r="H21" s="10">
        <f t="shared" si="1"/>
        <v>474772.91000000003</v>
      </c>
      <c r="I21" s="15">
        <v>0.21</v>
      </c>
      <c r="J21" s="15">
        <v>0.05</v>
      </c>
      <c r="K21" s="16">
        <f>G21*I21-L21*I21-1483.33</f>
        <v>54999.251644999982</v>
      </c>
      <c r="L21" s="16">
        <f t="shared" si="3"/>
        <v>23738.645500000002</v>
      </c>
      <c r="M21" s="16">
        <f t="shared" si="4"/>
        <v>11948138.997359049</v>
      </c>
      <c r="N21" s="16">
        <v>0</v>
      </c>
    </row>
    <row r="22" spans="1:14" x14ac:dyDescent="0.25">
      <c r="A22" s="11">
        <v>45360</v>
      </c>
      <c r="B22" s="12"/>
      <c r="C22" s="8">
        <v>168762184</v>
      </c>
      <c r="D22" s="9">
        <v>354536</v>
      </c>
      <c r="E22" s="9">
        <f>650470.99-2716</f>
        <v>647754.99</v>
      </c>
      <c r="F22" s="9">
        <f>829272.2-2716</f>
        <v>826556.2</v>
      </c>
      <c r="G22" s="10">
        <f t="shared" si="0"/>
        <v>293218.99</v>
      </c>
      <c r="H22" s="10">
        <f t="shared" si="1"/>
        <v>472020.19999999995</v>
      </c>
      <c r="I22" s="15">
        <v>0.21</v>
      </c>
      <c r="J22" s="15">
        <v>0.05</v>
      </c>
      <c r="K22" s="16">
        <f t="shared" ref="K22:K27" si="5">G22*I22-L22*I22-1483.33</f>
        <v>55136.445799999994</v>
      </c>
      <c r="L22" s="16">
        <f t="shared" si="3"/>
        <v>23601.01</v>
      </c>
      <c r="M22" s="16">
        <f t="shared" si="4"/>
        <v>12026876.453159049</v>
      </c>
      <c r="N22" s="16">
        <v>0</v>
      </c>
    </row>
    <row r="23" spans="1:14" x14ac:dyDescent="0.25">
      <c r="A23" s="11">
        <v>45383</v>
      </c>
      <c r="B23" s="12"/>
      <c r="C23" s="8">
        <v>168762184</v>
      </c>
      <c r="D23" s="9">
        <v>354536.4</v>
      </c>
      <c r="E23" s="9">
        <f>650470.99-2718</f>
        <v>647752.99</v>
      </c>
      <c r="F23" s="9">
        <f>829272.2-2718</f>
        <v>826554.2</v>
      </c>
      <c r="G23" s="10">
        <f t="shared" si="0"/>
        <v>293216.58999999997</v>
      </c>
      <c r="H23" s="10">
        <f t="shared" si="1"/>
        <v>472017.79999999993</v>
      </c>
      <c r="I23" s="15">
        <v>0.21</v>
      </c>
      <c r="J23" s="15">
        <v>0.05</v>
      </c>
      <c r="K23" s="16">
        <f t="shared" si="5"/>
        <v>55135.96699999999</v>
      </c>
      <c r="L23" s="16">
        <f t="shared" si="3"/>
        <v>23600.89</v>
      </c>
      <c r="M23" s="16">
        <f t="shared" si="4"/>
        <v>12105613.31015905</v>
      </c>
      <c r="N23" s="16">
        <v>0</v>
      </c>
    </row>
    <row r="24" spans="1:14" x14ac:dyDescent="0.25">
      <c r="A24" s="11">
        <v>45413</v>
      </c>
      <c r="B24" s="12"/>
      <c r="C24" s="8">
        <v>168762184</v>
      </c>
      <c r="D24" s="9">
        <v>354536</v>
      </c>
      <c r="E24" s="9">
        <f>650470.99-2717</f>
        <v>647753.99</v>
      </c>
      <c r="F24" s="9">
        <f>829272.2-2717</f>
        <v>826555.2</v>
      </c>
      <c r="G24" s="10">
        <f t="shared" si="0"/>
        <v>293217.99</v>
      </c>
      <c r="H24" s="10">
        <f t="shared" si="1"/>
        <v>472019.19999999995</v>
      </c>
      <c r="I24" s="15">
        <v>0.21</v>
      </c>
      <c r="J24" s="15">
        <v>0.05</v>
      </c>
      <c r="K24" s="16">
        <f t="shared" si="5"/>
        <v>55136.246299999992</v>
      </c>
      <c r="L24" s="16">
        <f t="shared" si="3"/>
        <v>23600.959999999999</v>
      </c>
      <c r="M24" s="16">
        <f t="shared" si="4"/>
        <v>12184350.516459052</v>
      </c>
      <c r="N24" s="16">
        <v>0</v>
      </c>
    </row>
    <row r="25" spans="1:14" x14ac:dyDescent="0.25">
      <c r="A25" s="11">
        <v>45444</v>
      </c>
      <c r="B25" s="12"/>
      <c r="C25" s="8">
        <v>168762184</v>
      </c>
      <c r="D25" s="9">
        <v>354536</v>
      </c>
      <c r="E25" s="9">
        <f>650470.99-2717</f>
        <v>647753.99</v>
      </c>
      <c r="F25" s="9">
        <f>829272.2-2717</f>
        <v>826555.2</v>
      </c>
      <c r="G25" s="10">
        <f t="shared" si="0"/>
        <v>293217.99</v>
      </c>
      <c r="H25" s="10">
        <f t="shared" si="1"/>
        <v>472019.19999999995</v>
      </c>
      <c r="I25" s="15">
        <v>0.21</v>
      </c>
      <c r="J25" s="15">
        <v>0.05</v>
      </c>
      <c r="K25" s="16">
        <f t="shared" si="5"/>
        <v>55136.246299999992</v>
      </c>
      <c r="L25" s="16">
        <f t="shared" si="3"/>
        <v>23600.959999999999</v>
      </c>
      <c r="M25" s="16">
        <f t="shared" si="4"/>
        <v>12263087.722759053</v>
      </c>
      <c r="N25" s="16">
        <v>0</v>
      </c>
    </row>
    <row r="26" spans="1:14" x14ac:dyDescent="0.25">
      <c r="A26" s="11">
        <v>45474</v>
      </c>
      <c r="B26" s="12"/>
      <c r="C26" s="8">
        <v>168762184</v>
      </c>
      <c r="D26" s="9">
        <v>354536</v>
      </c>
      <c r="E26" s="9">
        <f>650470.99-2717</f>
        <v>647753.99</v>
      </c>
      <c r="F26" s="9">
        <f>829272.2-2717</f>
        <v>826555.2</v>
      </c>
      <c r="G26" s="10">
        <f t="shared" si="0"/>
        <v>293217.99</v>
      </c>
      <c r="H26" s="10">
        <f t="shared" si="1"/>
        <v>472019.19999999995</v>
      </c>
      <c r="I26" s="15">
        <v>0.21</v>
      </c>
      <c r="J26" s="15">
        <v>0.05</v>
      </c>
      <c r="K26" s="16">
        <f t="shared" si="5"/>
        <v>55136.246299999992</v>
      </c>
      <c r="L26" s="16">
        <f t="shared" si="3"/>
        <v>23600.959999999999</v>
      </c>
      <c r="M26" s="16">
        <f t="shared" si="4"/>
        <v>12341824.929059055</v>
      </c>
      <c r="N26" s="16">
        <v>0</v>
      </c>
    </row>
    <row r="27" spans="1:14" x14ac:dyDescent="0.25">
      <c r="A27" s="11">
        <v>45505</v>
      </c>
      <c r="B27" s="12"/>
      <c r="C27" s="8">
        <v>168762184</v>
      </c>
      <c r="D27" s="9">
        <v>354536</v>
      </c>
      <c r="E27" s="9">
        <f>650470.99-2715</f>
        <v>647755.99</v>
      </c>
      <c r="F27" s="9">
        <f>829272.2-2715</f>
        <v>826557.2</v>
      </c>
      <c r="G27" s="10">
        <f t="shared" si="0"/>
        <v>293219.99</v>
      </c>
      <c r="H27" s="10">
        <f t="shared" si="1"/>
        <v>472021.19999999995</v>
      </c>
      <c r="I27" s="15">
        <v>0.21</v>
      </c>
      <c r="J27" s="15">
        <v>0.05</v>
      </c>
      <c r="K27" s="16">
        <f t="shared" si="5"/>
        <v>55136.645299999996</v>
      </c>
      <c r="L27" s="16">
        <f t="shared" si="3"/>
        <v>23601.059999999998</v>
      </c>
      <c r="M27" s="16">
        <f t="shared" si="4"/>
        <v>12420562.634359056</v>
      </c>
      <c r="N27" s="16">
        <v>0</v>
      </c>
    </row>
    <row r="28" spans="1:14" x14ac:dyDescent="0.25">
      <c r="A28" s="11">
        <v>45544</v>
      </c>
      <c r="B28" s="12"/>
      <c r="C28" s="8">
        <v>168762184</v>
      </c>
      <c r="D28" s="9">
        <v>354535.74</v>
      </c>
      <c r="E28" s="9">
        <f>650476.7-2722.2</f>
        <v>647754.5</v>
      </c>
      <c r="F28" s="9">
        <f>829277.91-2722.2</f>
        <v>826555.71000000008</v>
      </c>
      <c r="G28" s="10">
        <f t="shared" si="0"/>
        <v>293218.76</v>
      </c>
      <c r="H28" s="10">
        <f t="shared" si="1"/>
        <v>472019.97000000009</v>
      </c>
      <c r="I28" s="15">
        <v>0.21</v>
      </c>
      <c r="J28" s="15">
        <v>0.05</v>
      </c>
      <c r="K28" s="16">
        <f>G28*I28-L28*I28-1483.33</f>
        <v>55136.399914999995</v>
      </c>
      <c r="L28" s="16">
        <f t="shared" si="3"/>
        <v>23600.998500000005</v>
      </c>
      <c r="M28" s="16">
        <f t="shared" si="4"/>
        <v>12499300.032774057</v>
      </c>
      <c r="N28" s="16">
        <v>0</v>
      </c>
    </row>
    <row r="29" spans="1:14" x14ac:dyDescent="0.25">
      <c r="A29" s="11">
        <v>45566</v>
      </c>
      <c r="B29" s="12"/>
      <c r="C29" s="8">
        <v>168762184</v>
      </c>
      <c r="D29" s="9">
        <v>354535.5</v>
      </c>
      <c r="E29" s="9">
        <f>650476.7-2723</f>
        <v>647753.69999999995</v>
      </c>
      <c r="F29" s="9">
        <f>829277.91-2723</f>
        <v>826554.91</v>
      </c>
      <c r="G29" s="10">
        <f t="shared" si="0"/>
        <v>293218.19999999995</v>
      </c>
      <c r="H29" s="10">
        <f t="shared" si="1"/>
        <v>472019.41000000003</v>
      </c>
      <c r="I29" s="15">
        <v>0.21</v>
      </c>
      <c r="J29" s="15">
        <v>0.05</v>
      </c>
      <c r="K29" s="16">
        <f>G29*I29-L29*I29-1483.49</f>
        <v>55136.12819499999</v>
      </c>
      <c r="L29" s="16">
        <f t="shared" si="3"/>
        <v>23600.970500000003</v>
      </c>
      <c r="M29" s="16">
        <f t="shared" si="4"/>
        <v>12578037.131469058</v>
      </c>
      <c r="N29" s="16">
        <v>0</v>
      </c>
    </row>
    <row r="30" spans="1:14" x14ac:dyDescent="0.25">
      <c r="A30" s="11">
        <v>45597</v>
      </c>
      <c r="B30" s="12"/>
      <c r="C30" s="8">
        <v>168762184</v>
      </c>
      <c r="D30" s="9">
        <v>354535.74</v>
      </c>
      <c r="E30" s="9">
        <f>650476.7-2722.2</f>
        <v>647754.5</v>
      </c>
      <c r="F30" s="9">
        <f>829277.91-2722.2</f>
        <v>826555.71000000008</v>
      </c>
      <c r="G30" s="10">
        <f t="shared" si="0"/>
        <v>293218.76</v>
      </c>
      <c r="H30" s="10">
        <f t="shared" si="1"/>
        <v>472019.97000000009</v>
      </c>
      <c r="I30" s="15">
        <v>0.21</v>
      </c>
      <c r="J30" s="15">
        <v>0.05</v>
      </c>
      <c r="K30" s="16">
        <f>G30*I30-L30*I30-1483.33</f>
        <v>55136.399914999995</v>
      </c>
      <c r="L30" s="16">
        <f t="shared" si="3"/>
        <v>23600.998500000005</v>
      </c>
      <c r="M30" s="16">
        <f t="shared" si="4"/>
        <v>12656774.529884059</v>
      </c>
      <c r="N30" s="16">
        <v>0</v>
      </c>
    </row>
    <row r="31" spans="1:14" x14ac:dyDescent="0.25">
      <c r="A31" s="11">
        <v>45627</v>
      </c>
      <c r="B31" s="12"/>
      <c r="C31" s="8">
        <v>168762184</v>
      </c>
      <c r="D31" s="9">
        <v>354535.74</v>
      </c>
      <c r="E31" s="9">
        <f>650476.7-2722.2</f>
        <v>647754.5</v>
      </c>
      <c r="F31" s="9">
        <f>829277.91-2722.2</f>
        <v>826555.71000000008</v>
      </c>
      <c r="G31" s="10">
        <f t="shared" si="0"/>
        <v>293218.76</v>
      </c>
      <c r="H31" s="10">
        <f t="shared" si="1"/>
        <v>472019.97000000009</v>
      </c>
      <c r="I31" s="15">
        <v>0.21</v>
      </c>
      <c r="J31" s="15">
        <v>0.05</v>
      </c>
      <c r="K31" s="16">
        <f>G31*I31-L31*I31-1483.33</f>
        <v>55136.399914999995</v>
      </c>
      <c r="L31" s="16">
        <f t="shared" si="3"/>
        <v>23600.998500000005</v>
      </c>
      <c r="M31" s="16">
        <f t="shared" si="4"/>
        <v>12735511.92829906</v>
      </c>
      <c r="N31" s="16">
        <v>0</v>
      </c>
    </row>
    <row r="32" spans="1:14" x14ac:dyDescent="0.25">
      <c r="A32" s="11">
        <v>45658</v>
      </c>
      <c r="B32" s="12"/>
      <c r="C32" s="8">
        <v>168762184</v>
      </c>
      <c r="D32" s="9">
        <v>354535.74</v>
      </c>
      <c r="E32" s="9">
        <f>603218.2</f>
        <v>603218.19999999995</v>
      </c>
      <c r="F32" s="9">
        <f>770107.67</f>
        <v>770107.67</v>
      </c>
      <c r="G32" s="10">
        <f t="shared" si="0"/>
        <v>248682.45999999996</v>
      </c>
      <c r="H32" s="10">
        <f t="shared" si="1"/>
        <v>415571.93000000005</v>
      </c>
      <c r="I32" s="15">
        <v>0.21</v>
      </c>
      <c r="J32" s="15">
        <v>0.05</v>
      </c>
      <c r="K32" s="16">
        <f>G32*I32-L32*I32-1510.73</f>
        <v>46349.081334999988</v>
      </c>
      <c r="L32" s="16">
        <f t="shared" si="3"/>
        <v>20778.596500000003</v>
      </c>
      <c r="M32" s="16">
        <f t="shared" si="4"/>
        <v>12802639.606134061</v>
      </c>
      <c r="N32" s="16">
        <v>0</v>
      </c>
    </row>
    <row r="33" spans="1:14" x14ac:dyDescent="0.25">
      <c r="A33" s="11">
        <v>45689</v>
      </c>
      <c r="B33" s="12"/>
      <c r="C33" s="8">
        <v>168762184</v>
      </c>
      <c r="D33" s="9">
        <v>354535.74</v>
      </c>
      <c r="E33" s="9">
        <f>603218.2</f>
        <v>603218.19999999995</v>
      </c>
      <c r="F33" s="9">
        <f>770107.67</f>
        <v>770107.67</v>
      </c>
      <c r="G33" s="10">
        <f t="shared" si="0"/>
        <v>248682.45999999996</v>
      </c>
      <c r="H33" s="10">
        <f t="shared" si="1"/>
        <v>415571.93000000005</v>
      </c>
      <c r="I33" s="15">
        <v>0.21</v>
      </c>
      <c r="J33" s="15">
        <v>0.05</v>
      </c>
      <c r="K33" s="16">
        <f>G33*I33-L33*I33-1510.99</f>
        <v>46348.821334999993</v>
      </c>
      <c r="L33" s="16">
        <f t="shared" si="3"/>
        <v>20778.596500000003</v>
      </c>
      <c r="M33" s="16">
        <f t="shared" si="4"/>
        <v>12869767.023969062</v>
      </c>
      <c r="N33" s="16">
        <v>0</v>
      </c>
    </row>
    <row r="35" spans="1:14" x14ac:dyDescent="0.25">
      <c r="C35" s="8" t="s">
        <v>19</v>
      </c>
      <c r="D35" s="9"/>
      <c r="E35" s="9"/>
      <c r="F35" s="9"/>
      <c r="G35" s="10"/>
      <c r="H35" s="10"/>
      <c r="I35" s="10"/>
      <c r="J35" s="8"/>
      <c r="K35" s="8"/>
    </row>
    <row r="36" spans="1:14" x14ac:dyDescent="0.25">
      <c r="C36" s="8"/>
      <c r="D36" s="9"/>
      <c r="E36" s="9"/>
      <c r="F36" s="9"/>
      <c r="G36" s="10"/>
      <c r="H36" s="10"/>
      <c r="I36" s="10"/>
      <c r="J36" s="8"/>
      <c r="K36" s="8"/>
    </row>
    <row r="37" spans="1:14" x14ac:dyDescent="0.25">
      <c r="C37" s="17" t="s">
        <v>20</v>
      </c>
      <c r="D37" s="18"/>
      <c r="E37" s="18"/>
      <c r="F37" s="18"/>
      <c r="G37" s="19"/>
      <c r="H37" s="19"/>
      <c r="I37" s="12"/>
      <c r="J37" s="12"/>
      <c r="K37" s="12"/>
    </row>
    <row r="38" spans="1:14" x14ac:dyDescent="0.25">
      <c r="C38" s="17" t="s">
        <v>21</v>
      </c>
      <c r="D38" s="18"/>
      <c r="E38" s="18"/>
      <c r="F38" s="18"/>
      <c r="G38" s="19"/>
      <c r="H38" s="19"/>
      <c r="I38" s="12"/>
      <c r="J38" s="12"/>
      <c r="K38" s="12"/>
    </row>
    <row r="39" spans="1:14" x14ac:dyDescent="0.25">
      <c r="C39" s="17" t="s">
        <v>22</v>
      </c>
      <c r="D39" s="18"/>
      <c r="E39" s="18"/>
      <c r="F39" s="18"/>
      <c r="G39" s="19"/>
      <c r="H39" s="19"/>
      <c r="I39" s="12"/>
      <c r="J39" s="12"/>
      <c r="K39" s="12"/>
    </row>
    <row r="40" spans="1:14" x14ac:dyDescent="0.25">
      <c r="C40" s="16" t="s">
        <v>23</v>
      </c>
      <c r="D40" s="18"/>
      <c r="E40" s="18"/>
      <c r="F40" s="18"/>
      <c r="G40" s="19"/>
      <c r="H40" s="19"/>
      <c r="I40" s="12"/>
      <c r="J40" s="12"/>
      <c r="K40" s="12"/>
    </row>
    <row r="41" spans="1:14" x14ac:dyDescent="0.25">
      <c r="C41" s="20"/>
      <c r="D41" s="18"/>
      <c r="E41" s="18"/>
      <c r="F41" s="18"/>
      <c r="G41" s="18"/>
      <c r="H41" s="18"/>
      <c r="I41" s="12"/>
      <c r="J41" s="12"/>
      <c r="K41" s="12"/>
    </row>
    <row r="42" spans="1:14" x14ac:dyDescent="0.25">
      <c r="C42" s="16" t="s">
        <v>24</v>
      </c>
      <c r="D42" s="21" t="s">
        <v>25</v>
      </c>
      <c r="E42" s="19" t="s">
        <v>26</v>
      </c>
      <c r="F42" s="16" t="s">
        <v>27</v>
      </c>
      <c r="G42" s="15" t="s">
        <v>12</v>
      </c>
      <c r="H42" s="16" t="s">
        <v>28</v>
      </c>
      <c r="I42" s="12"/>
      <c r="J42" s="12"/>
      <c r="K42" s="12"/>
    </row>
    <row r="43" spans="1:14" x14ac:dyDescent="0.25">
      <c r="C43" s="8">
        <v>2033858.4350000001</v>
      </c>
      <c r="D43" s="8">
        <v>354535.74</v>
      </c>
      <c r="E43" s="8">
        <v>7562.56</v>
      </c>
      <c r="F43" s="8">
        <f>-D43+E43</f>
        <v>-346973.18</v>
      </c>
      <c r="G43" s="15">
        <v>0.21</v>
      </c>
      <c r="H43" s="8">
        <f>F43*G43</f>
        <v>-72864.367799999993</v>
      </c>
      <c r="I43" s="12"/>
      <c r="J43" s="12"/>
      <c r="K43" s="12"/>
    </row>
    <row r="44" spans="1:14" x14ac:dyDescent="0.25">
      <c r="C44" s="8">
        <v>4041284</v>
      </c>
      <c r="D44" s="8"/>
      <c r="E44" s="8">
        <v>15026.84</v>
      </c>
      <c r="F44" s="8">
        <f>E44</f>
        <v>15026.84</v>
      </c>
      <c r="G44" s="15">
        <v>0.21</v>
      </c>
      <c r="H44" s="8">
        <f t="shared" ref="H44:H50" si="6">F44*G44</f>
        <v>3155.6363999999999</v>
      </c>
      <c r="I44" s="12"/>
      <c r="J44" s="12"/>
      <c r="K44" s="12"/>
    </row>
    <row r="45" spans="1:14" x14ac:dyDescent="0.25">
      <c r="C45" s="8">
        <v>199697</v>
      </c>
      <c r="D45" s="8"/>
      <c r="E45" s="8">
        <v>752.52</v>
      </c>
      <c r="F45" s="8">
        <f t="shared" ref="F45:F50" si="7">E45</f>
        <v>752.52</v>
      </c>
      <c r="G45" s="15">
        <v>0.21</v>
      </c>
      <c r="H45" s="8">
        <f t="shared" si="6"/>
        <v>158.0292</v>
      </c>
      <c r="I45" s="12"/>
      <c r="J45" s="12"/>
      <c r="K45" s="12"/>
    </row>
    <row r="46" spans="1:14" x14ac:dyDescent="0.25">
      <c r="C46" s="8">
        <v>39689535</v>
      </c>
      <c r="D46" s="8"/>
      <c r="E46" s="8">
        <v>161668.71</v>
      </c>
      <c r="F46" s="8">
        <f t="shared" si="7"/>
        <v>161668.71</v>
      </c>
      <c r="G46" s="15">
        <v>0.21</v>
      </c>
      <c r="H46" s="8">
        <f t="shared" si="6"/>
        <v>33950.429099999994</v>
      </c>
      <c r="I46" s="12"/>
      <c r="J46" s="12"/>
      <c r="K46" s="12"/>
    </row>
    <row r="47" spans="1:14" x14ac:dyDescent="0.25">
      <c r="C47" s="8">
        <v>226548</v>
      </c>
      <c r="D47" s="8"/>
      <c r="E47" s="8">
        <v>922.81</v>
      </c>
      <c r="F47" s="8">
        <f t="shared" si="7"/>
        <v>922.81</v>
      </c>
      <c r="G47" s="15">
        <v>0.21</v>
      </c>
      <c r="H47" s="8">
        <f t="shared" si="6"/>
        <v>193.7901</v>
      </c>
      <c r="I47" s="12"/>
      <c r="J47" s="12"/>
      <c r="K47" s="12"/>
    </row>
    <row r="48" spans="1:14" x14ac:dyDescent="0.25">
      <c r="C48" s="8">
        <v>19943355</v>
      </c>
      <c r="D48" s="8"/>
      <c r="E48" s="8">
        <v>87833.86</v>
      </c>
      <c r="F48" s="8">
        <f t="shared" si="7"/>
        <v>87833.86</v>
      </c>
      <c r="G48" s="15">
        <v>0.21</v>
      </c>
      <c r="H48" s="8">
        <f t="shared" si="6"/>
        <v>18445.1106</v>
      </c>
      <c r="I48" s="22"/>
      <c r="J48" s="12"/>
      <c r="K48" s="12"/>
    </row>
    <row r="49" spans="3:11" x14ac:dyDescent="0.25">
      <c r="C49" s="8">
        <v>1516.95</v>
      </c>
      <c r="D49" s="8"/>
      <c r="E49" s="8">
        <v>6.68</v>
      </c>
      <c r="F49" s="8">
        <f t="shared" si="7"/>
        <v>6.68</v>
      </c>
      <c r="G49" s="15">
        <v>0.21</v>
      </c>
      <c r="H49" s="8">
        <f t="shared" si="6"/>
        <v>1.4027999999999998</v>
      </c>
      <c r="I49" s="12"/>
      <c r="J49" s="12"/>
      <c r="K49" s="12"/>
    </row>
    <row r="50" spans="3:11" x14ac:dyDescent="0.25">
      <c r="C50" s="8">
        <v>2553020.2999999998</v>
      </c>
      <c r="D50" s="8"/>
      <c r="E50" s="8">
        <v>11243.93</v>
      </c>
      <c r="F50" s="8">
        <f t="shared" si="7"/>
        <v>11243.93</v>
      </c>
      <c r="G50" s="23">
        <v>0.21</v>
      </c>
      <c r="H50" s="8">
        <f t="shared" si="6"/>
        <v>2361.2253000000001</v>
      </c>
      <c r="I50" s="22"/>
      <c r="J50" s="12"/>
      <c r="K50" s="12"/>
    </row>
    <row r="51" spans="3:11" ht="16.5" x14ac:dyDescent="0.35">
      <c r="C51" s="8">
        <f>53674128+3491542</f>
        <v>57165670</v>
      </c>
      <c r="D51" s="8"/>
      <c r="E51" s="24">
        <f>298651.79+19427.52+120.97</f>
        <v>318200.27999999997</v>
      </c>
      <c r="F51" s="24">
        <f>E51</f>
        <v>318200.27999999997</v>
      </c>
      <c r="G51" s="23">
        <v>0.21</v>
      </c>
      <c r="H51" s="24">
        <f>F51*G51</f>
        <v>66822.058799999984</v>
      </c>
      <c r="I51" s="12"/>
      <c r="J51" s="12"/>
      <c r="K51" s="12"/>
    </row>
    <row r="52" spans="3:11" x14ac:dyDescent="0.25">
      <c r="C52" s="8"/>
      <c r="D52" s="8"/>
      <c r="E52" s="8">
        <f>SUM(E43:E51)</f>
        <v>603218.18999999994</v>
      </c>
      <c r="F52" s="8">
        <f>SUM(F43:F51)</f>
        <v>248682.45</v>
      </c>
      <c r="G52" s="23" t="s">
        <v>29</v>
      </c>
      <c r="H52" s="8">
        <f>SUM(H43:H51)</f>
        <v>52223.314499999993</v>
      </c>
      <c r="I52" s="12"/>
      <c r="J52" s="12"/>
      <c r="K52" s="12"/>
    </row>
    <row r="53" spans="3:11" ht="16.5" x14ac:dyDescent="0.35">
      <c r="C53" s="12"/>
      <c r="D53" s="12"/>
      <c r="E53" s="16"/>
      <c r="F53" s="16"/>
      <c r="G53" s="22" t="s">
        <v>30</v>
      </c>
      <c r="H53" s="24">
        <f>-H66*0.21</f>
        <v>-4363.5054749999999</v>
      </c>
      <c r="I53" s="12"/>
      <c r="J53" s="12"/>
      <c r="K53" s="12"/>
    </row>
    <row r="54" spans="3:11" x14ac:dyDescent="0.25">
      <c r="C54" s="12"/>
      <c r="D54" s="12"/>
      <c r="E54" s="12"/>
      <c r="F54" s="12"/>
      <c r="G54" s="12"/>
      <c r="H54" s="8">
        <f>H52+H53</f>
        <v>47859.809024999995</v>
      </c>
      <c r="I54" s="12"/>
      <c r="J54" s="12"/>
      <c r="K54" s="12"/>
    </row>
    <row r="55" spans="3:11" x14ac:dyDescent="0.25">
      <c r="C55" s="12"/>
      <c r="D55" s="12"/>
      <c r="E55" s="12"/>
      <c r="F55" s="12"/>
      <c r="G55" s="12"/>
      <c r="H55" s="8">
        <f>H54-K33</f>
        <v>1510.9876900000017</v>
      </c>
      <c r="I55" s="22" t="s">
        <v>31</v>
      </c>
      <c r="J55" s="12"/>
      <c r="K55" s="12"/>
    </row>
    <row r="56" spans="3:11" x14ac:dyDescent="0.25">
      <c r="C56" s="16" t="s">
        <v>32</v>
      </c>
      <c r="D56" s="18" t="s">
        <v>25</v>
      </c>
      <c r="E56" s="19" t="s">
        <v>33</v>
      </c>
      <c r="F56" s="16" t="s">
        <v>34</v>
      </c>
      <c r="G56" s="15" t="s">
        <v>13</v>
      </c>
      <c r="H56" s="16" t="s">
        <v>35</v>
      </c>
      <c r="I56" s="12"/>
      <c r="J56" s="12"/>
      <c r="K56" s="12"/>
    </row>
    <row r="57" spans="3:11" x14ac:dyDescent="0.25">
      <c r="C57" s="8">
        <v>4067716.87</v>
      </c>
      <c r="D57" s="8">
        <v>354535.74</v>
      </c>
      <c r="E57" s="8">
        <v>15125.13</v>
      </c>
      <c r="F57" s="8">
        <f>-D57+E57</f>
        <v>-339410.61</v>
      </c>
      <c r="G57" s="15">
        <v>0.05</v>
      </c>
      <c r="H57" s="8">
        <f>F57*G57</f>
        <v>-16970.530500000001</v>
      </c>
      <c r="I57" s="12"/>
      <c r="J57" s="12"/>
      <c r="K57" s="12"/>
    </row>
    <row r="58" spans="3:11" x14ac:dyDescent="0.25">
      <c r="C58" s="8">
        <v>8082569</v>
      </c>
      <c r="D58" s="8"/>
      <c r="E58" s="8">
        <v>30053.69</v>
      </c>
      <c r="F58" s="8">
        <f>E58</f>
        <v>30053.69</v>
      </c>
      <c r="G58" s="15">
        <v>0.05</v>
      </c>
      <c r="H58" s="8">
        <f t="shared" ref="H58:H64" si="8">F58*G58</f>
        <v>1502.6845000000001</v>
      </c>
      <c r="I58" s="12"/>
      <c r="J58" s="12"/>
      <c r="K58" s="12"/>
    </row>
    <row r="59" spans="3:11" x14ac:dyDescent="0.25">
      <c r="C59" s="8">
        <v>199697</v>
      </c>
      <c r="D59" s="8"/>
      <c r="E59" s="8">
        <v>752.52</v>
      </c>
      <c r="F59" s="8">
        <f t="shared" ref="F59:F64" si="9">E59</f>
        <v>752.52</v>
      </c>
      <c r="G59" s="15">
        <v>0.05</v>
      </c>
      <c r="H59" s="8">
        <f t="shared" si="8"/>
        <v>37.625999999999998</v>
      </c>
      <c r="I59" s="12"/>
      <c r="J59" s="12"/>
      <c r="K59" s="12"/>
    </row>
    <row r="60" spans="3:11" x14ac:dyDescent="0.25">
      <c r="C60" s="8">
        <v>66149226</v>
      </c>
      <c r="D60" s="8"/>
      <c r="E60" s="8">
        <v>269447.84999999998</v>
      </c>
      <c r="F60" s="8">
        <f t="shared" si="9"/>
        <v>269447.84999999998</v>
      </c>
      <c r="G60" s="15">
        <v>0.05</v>
      </c>
      <c r="H60" s="8">
        <f t="shared" si="8"/>
        <v>13472.3925</v>
      </c>
      <c r="I60" s="12"/>
      <c r="J60" s="12"/>
      <c r="K60" s="12"/>
    </row>
    <row r="61" spans="3:11" x14ac:dyDescent="0.25">
      <c r="C61" s="8">
        <v>226548</v>
      </c>
      <c r="D61" s="8"/>
      <c r="E61" s="8">
        <v>922.81</v>
      </c>
      <c r="F61" s="8">
        <f t="shared" si="9"/>
        <v>922.81</v>
      </c>
      <c r="G61" s="15">
        <v>0.05</v>
      </c>
      <c r="H61" s="8">
        <f t="shared" si="8"/>
        <v>46.140500000000003</v>
      </c>
      <c r="I61" s="12"/>
      <c r="J61" s="12"/>
      <c r="K61" s="12"/>
    </row>
    <row r="62" spans="3:11" x14ac:dyDescent="0.25">
      <c r="C62" s="8">
        <v>28235715</v>
      </c>
      <c r="D62" s="12"/>
      <c r="E62" s="8">
        <v>124354.8</v>
      </c>
      <c r="F62" s="8">
        <f t="shared" si="9"/>
        <v>124354.8</v>
      </c>
      <c r="G62" s="15">
        <v>0.05</v>
      </c>
      <c r="H62" s="8">
        <f t="shared" si="8"/>
        <v>6217.7400000000007</v>
      </c>
      <c r="I62" s="12"/>
      <c r="J62" s="12"/>
      <c r="K62" s="12"/>
    </row>
    <row r="63" spans="3:11" x14ac:dyDescent="0.25">
      <c r="C63" s="8">
        <v>1516.95</v>
      </c>
      <c r="D63" s="12"/>
      <c r="E63" s="8">
        <v>6.68</v>
      </c>
      <c r="F63" s="8">
        <f t="shared" si="9"/>
        <v>6.68</v>
      </c>
      <c r="G63" s="15">
        <v>0.05</v>
      </c>
      <c r="H63" s="8">
        <f t="shared" si="8"/>
        <v>0.33400000000000002</v>
      </c>
      <c r="I63" s="12"/>
      <c r="J63" s="12"/>
      <c r="K63" s="12"/>
    </row>
    <row r="64" spans="3:11" x14ac:dyDescent="0.25">
      <c r="C64" s="8">
        <v>2553020.2999999998</v>
      </c>
      <c r="D64" s="12"/>
      <c r="E64" s="8">
        <v>11243.93</v>
      </c>
      <c r="F64" s="8">
        <f t="shared" si="9"/>
        <v>11243.93</v>
      </c>
      <c r="G64" s="23">
        <v>0.05</v>
      </c>
      <c r="H64" s="8">
        <f t="shared" si="8"/>
        <v>562.19650000000001</v>
      </c>
      <c r="I64" s="22"/>
      <c r="J64" s="12"/>
      <c r="K64" s="12"/>
    </row>
    <row r="65" spans="3:11" ht="16.5" x14ac:dyDescent="0.35">
      <c r="C65" s="8">
        <f>C51</f>
        <v>57165670</v>
      </c>
      <c r="D65" s="12"/>
      <c r="E65" s="24">
        <f>298651.79+19427.52+120.97</f>
        <v>318200.27999999997</v>
      </c>
      <c r="F65" s="24">
        <f>E65</f>
        <v>318200.27999999997</v>
      </c>
      <c r="G65" s="23">
        <v>0.05</v>
      </c>
      <c r="H65" s="24">
        <f>F65*G65</f>
        <v>15910.013999999999</v>
      </c>
      <c r="I65" s="12"/>
      <c r="J65" s="12"/>
      <c r="K65" s="12"/>
    </row>
    <row r="66" spans="3:11" x14ac:dyDescent="0.25">
      <c r="C66" s="12"/>
      <c r="D66" s="12"/>
      <c r="E66" s="8">
        <f>SUM(E57:E65)</f>
        <v>770107.69</v>
      </c>
      <c r="F66" s="8">
        <f>SUM(F57:F65)</f>
        <v>415571.94999999995</v>
      </c>
      <c r="G66" s="12"/>
      <c r="H66" s="8">
        <f>SUM(H57:H65)</f>
        <v>20778.5975</v>
      </c>
      <c r="I66" s="12"/>
      <c r="J66" s="12"/>
      <c r="K66" s="12"/>
    </row>
    <row r="67" spans="3:11" x14ac:dyDescent="0.25">
      <c r="C67" s="12"/>
      <c r="D67" s="12"/>
      <c r="E67" s="12"/>
      <c r="F67" s="12"/>
      <c r="G67" s="12"/>
      <c r="H67" s="16">
        <f>H66-L33</f>
        <v>9.9999999656574801E-4</v>
      </c>
      <c r="I67" s="12"/>
      <c r="J67" s="12"/>
      <c r="K67" s="12"/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7D633-2A86-4E0B-B239-0AD34C8568D5}">
  <dimension ref="A1:N57"/>
  <sheetViews>
    <sheetView workbookViewId="0">
      <selection activeCell="M27" sqref="M27"/>
    </sheetView>
  </sheetViews>
  <sheetFormatPr defaultRowHeight="15" x14ac:dyDescent="0.25"/>
  <cols>
    <col min="1" max="1" width="11.28515625" customWidth="1"/>
    <col min="2" max="2" width="1.7109375" customWidth="1"/>
    <col min="3" max="3" width="13.7109375" customWidth="1"/>
    <col min="4" max="4" width="12.7109375" customWidth="1"/>
    <col min="5" max="5" width="16.42578125" customWidth="1"/>
    <col min="6" max="6" width="15" customWidth="1"/>
    <col min="7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25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20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6">
        <v>1393388</v>
      </c>
      <c r="N9" s="12"/>
    </row>
    <row r="10" spans="1:14" x14ac:dyDescent="0.25">
      <c r="A10" s="11">
        <v>44994</v>
      </c>
      <c r="B10" s="12"/>
      <c r="C10" s="8">
        <v>7413755</v>
      </c>
      <c r="D10" s="9">
        <v>21905.5</v>
      </c>
      <c r="E10" s="9">
        <f>14288.6</f>
        <v>14288.6</v>
      </c>
      <c r="F10" s="9">
        <f>28577.2</f>
        <v>28577.200000000001</v>
      </c>
      <c r="G10" s="26">
        <f t="shared" ref="G10:G33" si="0">E10-D10</f>
        <v>-7616.9</v>
      </c>
      <c r="H10" s="26">
        <f t="shared" ref="H10:H33" si="1">F10-D10</f>
        <v>6671.7000000000007</v>
      </c>
      <c r="I10" s="15">
        <v>0.21</v>
      </c>
      <c r="J10" s="15">
        <v>0.05</v>
      </c>
      <c r="K10" s="16">
        <f>G10*I10-334*I10-1031.39</f>
        <v>-2701.0789999999997</v>
      </c>
      <c r="L10" s="16">
        <f t="shared" ref="L10:L15" si="2">H10*J10-1.88</f>
        <v>331.70500000000004</v>
      </c>
      <c r="M10" s="16">
        <f t="shared" ref="M10:M33" si="3">M9+K10+L10</f>
        <v>1391018.6260000002</v>
      </c>
      <c r="N10" s="16">
        <v>0</v>
      </c>
    </row>
    <row r="11" spans="1:14" x14ac:dyDescent="0.25">
      <c r="A11" s="11">
        <v>45017</v>
      </c>
      <c r="B11" s="12"/>
      <c r="C11" s="8">
        <v>7413755</v>
      </c>
      <c r="D11" s="9">
        <v>21906</v>
      </c>
      <c r="E11" s="9">
        <f>14288.6</f>
        <v>14288.6</v>
      </c>
      <c r="F11" s="9">
        <f>28577.2</f>
        <v>28577.200000000001</v>
      </c>
      <c r="G11" s="26">
        <f t="shared" si="0"/>
        <v>-7617.4</v>
      </c>
      <c r="H11" s="26">
        <f t="shared" si="1"/>
        <v>6671.2000000000007</v>
      </c>
      <c r="I11" s="15">
        <v>0.21</v>
      </c>
      <c r="J11" s="15">
        <v>0.05</v>
      </c>
      <c r="K11" s="16">
        <f>G11*I11-334*I11-1031.39</f>
        <v>-2701.1840000000002</v>
      </c>
      <c r="L11" s="16">
        <f t="shared" si="2"/>
        <v>331.68000000000006</v>
      </c>
      <c r="M11" s="16">
        <f t="shared" si="3"/>
        <v>1388649.1220000002</v>
      </c>
      <c r="N11" s="16">
        <v>0</v>
      </c>
    </row>
    <row r="12" spans="1:14" x14ac:dyDescent="0.25">
      <c r="A12" s="11">
        <v>45047</v>
      </c>
      <c r="B12" s="12"/>
      <c r="C12" s="8">
        <v>7413755</v>
      </c>
      <c r="D12" s="9">
        <v>21906</v>
      </c>
      <c r="E12" s="9">
        <f>14288.6</f>
        <v>14288.6</v>
      </c>
      <c r="F12" s="9">
        <f>28577.2</f>
        <v>28577.200000000001</v>
      </c>
      <c r="G12" s="26">
        <f t="shared" si="0"/>
        <v>-7617.4</v>
      </c>
      <c r="H12" s="26">
        <f t="shared" si="1"/>
        <v>6671.2000000000007</v>
      </c>
      <c r="I12" s="15">
        <v>0.21</v>
      </c>
      <c r="J12" s="15">
        <v>0.05</v>
      </c>
      <c r="K12" s="16">
        <f>G12*I12-334*I12-1031.39</f>
        <v>-2701.1840000000002</v>
      </c>
      <c r="L12" s="16">
        <f t="shared" si="2"/>
        <v>331.68000000000006</v>
      </c>
      <c r="M12" s="16">
        <f t="shared" si="3"/>
        <v>1386279.6180000002</v>
      </c>
      <c r="N12" s="16">
        <v>0</v>
      </c>
    </row>
    <row r="13" spans="1:14" x14ac:dyDescent="0.25">
      <c r="A13" s="11">
        <v>45078</v>
      </c>
      <c r="B13" s="12"/>
      <c r="C13" s="8">
        <v>7413755</v>
      </c>
      <c r="D13" s="9">
        <v>21905.5</v>
      </c>
      <c r="E13" s="9">
        <f>14289.4</f>
        <v>14289.4</v>
      </c>
      <c r="F13" s="9">
        <f>28577.4</f>
        <v>28577.4</v>
      </c>
      <c r="G13" s="26">
        <f t="shared" si="0"/>
        <v>-7616.1</v>
      </c>
      <c r="H13" s="26">
        <f t="shared" si="1"/>
        <v>6671.9000000000015</v>
      </c>
      <c r="I13" s="15">
        <v>0.21</v>
      </c>
      <c r="J13" s="15">
        <v>0.05</v>
      </c>
      <c r="K13" s="16">
        <f>G13*I13-334*I13-1031</f>
        <v>-2700.5210000000002</v>
      </c>
      <c r="L13" s="16">
        <f t="shared" si="2"/>
        <v>331.71500000000009</v>
      </c>
      <c r="M13" s="16">
        <f t="shared" si="3"/>
        <v>1383910.8120000004</v>
      </c>
      <c r="N13" s="16">
        <v>0</v>
      </c>
    </row>
    <row r="14" spans="1:14" x14ac:dyDescent="0.25">
      <c r="A14" s="11">
        <v>45108</v>
      </c>
      <c r="B14" s="12"/>
      <c r="C14" s="8">
        <v>7413755</v>
      </c>
      <c r="D14" s="9">
        <v>21906</v>
      </c>
      <c r="E14" s="9">
        <f>14288.6</f>
        <v>14288.6</v>
      </c>
      <c r="F14" s="9">
        <f>28577.2</f>
        <v>28577.200000000001</v>
      </c>
      <c r="G14" s="26">
        <f t="shared" si="0"/>
        <v>-7617.4</v>
      </c>
      <c r="H14" s="26">
        <f t="shared" si="1"/>
        <v>6671.2000000000007</v>
      </c>
      <c r="I14" s="15">
        <v>0.21</v>
      </c>
      <c r="J14" s="15">
        <v>0.05</v>
      </c>
      <c r="K14" s="16">
        <f>G14*I14-334*I14-1031.39</f>
        <v>-2701.1840000000002</v>
      </c>
      <c r="L14" s="16">
        <f t="shared" si="2"/>
        <v>331.68000000000006</v>
      </c>
      <c r="M14" s="16">
        <f t="shared" si="3"/>
        <v>1381541.3080000004</v>
      </c>
      <c r="N14" s="16">
        <v>0</v>
      </c>
    </row>
    <row r="15" spans="1:14" x14ac:dyDescent="0.25">
      <c r="A15" s="11">
        <v>45139</v>
      </c>
      <c r="B15" s="12"/>
      <c r="C15" s="8">
        <v>7413755</v>
      </c>
      <c r="D15" s="9">
        <v>21906</v>
      </c>
      <c r="E15" s="9">
        <f>14288.6</f>
        <v>14288.6</v>
      </c>
      <c r="F15" s="9">
        <f>28577.2</f>
        <v>28577.200000000001</v>
      </c>
      <c r="G15" s="26">
        <f t="shared" si="0"/>
        <v>-7617.4</v>
      </c>
      <c r="H15" s="26">
        <f t="shared" si="1"/>
        <v>6671.2000000000007</v>
      </c>
      <c r="I15" s="15">
        <v>0.21</v>
      </c>
      <c r="J15" s="15">
        <v>0.05</v>
      </c>
      <c r="K15" s="16">
        <f>G15*I15-334*I15-1031.39</f>
        <v>-2701.1840000000002</v>
      </c>
      <c r="L15" s="16">
        <f t="shared" si="2"/>
        <v>331.68000000000006</v>
      </c>
      <c r="M15" s="16">
        <f t="shared" si="3"/>
        <v>1379171.8040000005</v>
      </c>
      <c r="N15" s="16">
        <v>0</v>
      </c>
    </row>
    <row r="16" spans="1:14" x14ac:dyDescent="0.25">
      <c r="A16" s="11">
        <v>45178</v>
      </c>
      <c r="B16" s="12"/>
      <c r="C16" s="8">
        <v>7413755</v>
      </c>
      <c r="D16" s="9">
        <v>21906</v>
      </c>
      <c r="E16" s="9">
        <f>14288.5977812833-1.99</f>
        <v>14286.607781283301</v>
      </c>
      <c r="F16" s="9">
        <f>28577.1955625667-1.99</f>
        <v>28575.205562566698</v>
      </c>
      <c r="G16" s="26">
        <f t="shared" si="0"/>
        <v>-7619.3922187166991</v>
      </c>
      <c r="H16" s="26">
        <f t="shared" si="1"/>
        <v>6669.2055625666981</v>
      </c>
      <c r="I16" s="15">
        <v>0.21</v>
      </c>
      <c r="J16" s="15">
        <v>0.05</v>
      </c>
      <c r="K16" s="16">
        <f>G16*I16-333*I16-1031.39</f>
        <v>-2701.3923659305069</v>
      </c>
      <c r="L16" s="16">
        <f>H16*J16-1.88</f>
        <v>331.58027812833495</v>
      </c>
      <c r="M16" s="16">
        <f t="shared" si="3"/>
        <v>1376801.9919121983</v>
      </c>
      <c r="N16" s="16">
        <v>0</v>
      </c>
    </row>
    <row r="17" spans="1:14" x14ac:dyDescent="0.25">
      <c r="A17" s="11">
        <v>45200</v>
      </c>
      <c r="B17" s="12"/>
      <c r="C17" s="8">
        <v>7413755</v>
      </c>
      <c r="D17" s="9">
        <v>21906</v>
      </c>
      <c r="E17" s="9">
        <f>14288.5977812833-1.5*0</f>
        <v>14288.597781283301</v>
      </c>
      <c r="F17" s="9">
        <f>28577.1955625667-1.5</f>
        <v>28575.6955625667</v>
      </c>
      <c r="G17" s="26">
        <f t="shared" si="0"/>
        <v>-7617.4022187166993</v>
      </c>
      <c r="H17" s="26">
        <f t="shared" si="1"/>
        <v>6669.6955625666997</v>
      </c>
      <c r="I17" s="15">
        <v>0.21</v>
      </c>
      <c r="J17" s="15">
        <v>0.05</v>
      </c>
      <c r="K17" s="16">
        <f>G17*I17-333*I17-1031.39</f>
        <v>-2700.974465930507</v>
      </c>
      <c r="L17" s="16">
        <f>H17*J17-1.88</f>
        <v>331.604778128335</v>
      </c>
      <c r="M17" s="35">
        <f t="shared" si="3"/>
        <v>1374432.6222243961</v>
      </c>
      <c r="N17" s="16">
        <v>0</v>
      </c>
    </row>
    <row r="18" spans="1:14" x14ac:dyDescent="0.25">
      <c r="A18" s="11">
        <v>45231</v>
      </c>
      <c r="B18" s="12"/>
      <c r="C18" s="8">
        <v>7413755</v>
      </c>
      <c r="D18" s="9">
        <v>21906</v>
      </c>
      <c r="E18" s="9">
        <f>14288.5977812833</f>
        <v>14288.597781283301</v>
      </c>
      <c r="F18" s="9">
        <f>28577.1955625667</f>
        <v>28577.1955625667</v>
      </c>
      <c r="G18" s="26">
        <f t="shared" si="0"/>
        <v>-7617.4022187166993</v>
      </c>
      <c r="H18" s="26">
        <f t="shared" si="1"/>
        <v>6671.1955625666997</v>
      </c>
      <c r="I18" s="15">
        <v>0.21</v>
      </c>
      <c r="J18" s="15">
        <v>0.05</v>
      </c>
      <c r="K18" s="16">
        <f>G18*I18-334*I18-1031</f>
        <v>-2700.7944659305067</v>
      </c>
      <c r="L18" s="16">
        <f>H18*J18-1.5</f>
        <v>332.05977812833498</v>
      </c>
      <c r="M18" s="16">
        <f t="shared" si="3"/>
        <v>1372063.8875365939</v>
      </c>
      <c r="N18" s="16">
        <v>0</v>
      </c>
    </row>
    <row r="19" spans="1:14" x14ac:dyDescent="0.25">
      <c r="A19" s="11">
        <v>45261</v>
      </c>
      <c r="B19" s="12"/>
      <c r="C19" s="8">
        <v>7413755</v>
      </c>
      <c r="D19" s="9">
        <v>21906</v>
      </c>
      <c r="E19" s="9">
        <f>14288.5977812833</f>
        <v>14288.597781283301</v>
      </c>
      <c r="F19" s="9">
        <v>28577.195562566663</v>
      </c>
      <c r="G19" s="26">
        <f t="shared" si="0"/>
        <v>-7617.4022187166993</v>
      </c>
      <c r="H19" s="26">
        <f t="shared" si="1"/>
        <v>6671.1955625666633</v>
      </c>
      <c r="I19" s="15">
        <v>0.21</v>
      </c>
      <c r="J19" s="15">
        <v>0.05</v>
      </c>
      <c r="K19" s="16">
        <f>G19*I19-334*I19-1031.39</f>
        <v>-2701.184465930507</v>
      </c>
      <c r="L19" s="16">
        <f>H19*J19-1.88</f>
        <v>331.67977812833317</v>
      </c>
      <c r="M19" s="16">
        <f t="shared" si="3"/>
        <v>1369694.3828487918</v>
      </c>
      <c r="N19" s="16">
        <v>0</v>
      </c>
    </row>
    <row r="20" spans="1:14" x14ac:dyDescent="0.25">
      <c r="A20" s="11">
        <v>45292</v>
      </c>
      <c r="B20" s="12"/>
      <c r="C20" s="8">
        <v>7413755</v>
      </c>
      <c r="D20" s="9">
        <v>21906</v>
      </c>
      <c r="E20" s="9">
        <v>13854.87</v>
      </c>
      <c r="F20" s="9">
        <v>27709.73</v>
      </c>
      <c r="G20" s="26">
        <f t="shared" si="0"/>
        <v>-8051.1299999999992</v>
      </c>
      <c r="H20" s="26">
        <f t="shared" si="1"/>
        <v>5803.73</v>
      </c>
      <c r="I20" s="15">
        <v>0.21</v>
      </c>
      <c r="J20" s="15">
        <v>0.05</v>
      </c>
      <c r="K20" s="16">
        <f>G20*I20-290*I20-1088.47</f>
        <v>-2840.1072999999997</v>
      </c>
      <c r="L20" s="16">
        <f>H20*J20-3.64</f>
        <v>286.54649999999998</v>
      </c>
      <c r="M20" s="16">
        <f t="shared" si="3"/>
        <v>1367140.8220487917</v>
      </c>
      <c r="N20" s="16">
        <v>0</v>
      </c>
    </row>
    <row r="21" spans="1:14" x14ac:dyDescent="0.25">
      <c r="A21" s="11">
        <v>45323</v>
      </c>
      <c r="B21" s="12"/>
      <c r="C21" s="8">
        <v>7413755</v>
      </c>
      <c r="D21" s="9">
        <v>21906</v>
      </c>
      <c r="E21" s="9">
        <f>13854.87-0.68</f>
        <v>13854.19</v>
      </c>
      <c r="F21" s="9">
        <f t="shared" ref="F21:F26" si="4">27709.73</f>
        <v>27709.73</v>
      </c>
      <c r="G21" s="26">
        <f t="shared" si="0"/>
        <v>-8051.8099999999995</v>
      </c>
      <c r="H21" s="26">
        <f t="shared" si="1"/>
        <v>5803.73</v>
      </c>
      <c r="I21" s="15">
        <v>0.21</v>
      </c>
      <c r="J21" s="15">
        <v>0.05</v>
      </c>
      <c r="K21" s="16">
        <f>G21*I21-290*I21-1088.47</f>
        <v>-2840.2501000000002</v>
      </c>
      <c r="L21" s="16">
        <f>H21*J21-3.64</f>
        <v>286.54649999999998</v>
      </c>
      <c r="M21" s="16">
        <f t="shared" si="3"/>
        <v>1364587.1184487916</v>
      </c>
      <c r="N21" s="16">
        <v>0</v>
      </c>
    </row>
    <row r="22" spans="1:14" x14ac:dyDescent="0.25">
      <c r="A22" s="11">
        <v>45360</v>
      </c>
      <c r="B22" s="12"/>
      <c r="C22" s="8">
        <v>7413755</v>
      </c>
      <c r="D22" s="9">
        <v>21906.49</v>
      </c>
      <c r="E22" s="9">
        <f>13854.87</f>
        <v>13854.87</v>
      </c>
      <c r="F22" s="9">
        <f t="shared" si="4"/>
        <v>27709.73</v>
      </c>
      <c r="G22" s="26">
        <f t="shared" si="0"/>
        <v>-8051.6200000000008</v>
      </c>
      <c r="H22" s="26">
        <f t="shared" si="1"/>
        <v>5803.239999999998</v>
      </c>
      <c r="I22" s="15">
        <v>0.21</v>
      </c>
      <c r="J22" s="15">
        <v>0.05</v>
      </c>
      <c r="K22" s="16">
        <f t="shared" ref="K22:K27" si="5">G22*I22-290*I22-1088.47</f>
        <v>-2840.2102000000004</v>
      </c>
      <c r="L22" s="16">
        <f t="shared" ref="L22:L27" si="6">H22*J22-3.64</f>
        <v>286.52199999999993</v>
      </c>
      <c r="M22" s="35">
        <f t="shared" si="3"/>
        <v>1362033.4302487916</v>
      </c>
      <c r="N22" s="16">
        <v>0</v>
      </c>
    </row>
    <row r="23" spans="1:14" x14ac:dyDescent="0.25">
      <c r="A23" s="11">
        <v>45383</v>
      </c>
      <c r="B23" s="12"/>
      <c r="C23" s="8">
        <v>7413755</v>
      </c>
      <c r="D23" s="9">
        <v>21906</v>
      </c>
      <c r="E23" s="9">
        <f>13854.87</f>
        <v>13854.87</v>
      </c>
      <c r="F23" s="9">
        <f t="shared" si="4"/>
        <v>27709.73</v>
      </c>
      <c r="G23" s="26">
        <f t="shared" si="0"/>
        <v>-8051.1299999999992</v>
      </c>
      <c r="H23" s="26">
        <f t="shared" si="1"/>
        <v>5803.73</v>
      </c>
      <c r="I23" s="15">
        <v>0.21</v>
      </c>
      <c r="J23" s="15">
        <v>0.05</v>
      </c>
      <c r="K23" s="16">
        <f t="shared" si="5"/>
        <v>-2840.1072999999997</v>
      </c>
      <c r="L23" s="16">
        <f t="shared" si="6"/>
        <v>286.54649999999998</v>
      </c>
      <c r="M23" s="16">
        <f t="shared" si="3"/>
        <v>1359479.8694487915</v>
      </c>
      <c r="N23" s="16">
        <v>0</v>
      </c>
    </row>
    <row r="24" spans="1:14" x14ac:dyDescent="0.25">
      <c r="A24" s="11">
        <v>45413</v>
      </c>
      <c r="B24" s="12"/>
      <c r="C24" s="8">
        <v>7413755</v>
      </c>
      <c r="D24" s="9">
        <v>21906</v>
      </c>
      <c r="E24" s="9">
        <f>13854.87</f>
        <v>13854.87</v>
      </c>
      <c r="F24" s="9">
        <f t="shared" si="4"/>
        <v>27709.73</v>
      </c>
      <c r="G24" s="26">
        <f t="shared" si="0"/>
        <v>-8051.1299999999992</v>
      </c>
      <c r="H24" s="26">
        <f t="shared" si="1"/>
        <v>5803.73</v>
      </c>
      <c r="I24" s="15">
        <v>0.21</v>
      </c>
      <c r="J24" s="15">
        <v>0.05</v>
      </c>
      <c r="K24" s="16">
        <f t="shared" si="5"/>
        <v>-2840.1072999999997</v>
      </c>
      <c r="L24" s="16">
        <f t="shared" si="6"/>
        <v>286.54649999999998</v>
      </c>
      <c r="M24" s="16">
        <f t="shared" si="3"/>
        <v>1356926.3086487914</v>
      </c>
      <c r="N24" s="16">
        <v>0</v>
      </c>
    </row>
    <row r="25" spans="1:14" x14ac:dyDescent="0.25">
      <c r="A25" s="11">
        <v>45444</v>
      </c>
      <c r="B25" s="12"/>
      <c r="C25" s="8">
        <v>7413755</v>
      </c>
      <c r="D25" s="9">
        <v>21906</v>
      </c>
      <c r="E25" s="9">
        <f>13854.87</f>
        <v>13854.87</v>
      </c>
      <c r="F25" s="9">
        <f t="shared" si="4"/>
        <v>27709.73</v>
      </c>
      <c r="G25" s="26">
        <f t="shared" si="0"/>
        <v>-8051.1299999999992</v>
      </c>
      <c r="H25" s="26">
        <f t="shared" si="1"/>
        <v>5803.73</v>
      </c>
      <c r="I25" s="15">
        <v>0.21</v>
      </c>
      <c r="J25" s="15">
        <v>0.05</v>
      </c>
      <c r="K25" s="16">
        <f t="shared" si="5"/>
        <v>-2840.1072999999997</v>
      </c>
      <c r="L25" s="16">
        <f t="shared" si="6"/>
        <v>286.54649999999998</v>
      </c>
      <c r="M25" s="16">
        <f t="shared" si="3"/>
        <v>1354372.7478487913</v>
      </c>
      <c r="N25" s="16">
        <v>0</v>
      </c>
    </row>
    <row r="26" spans="1:14" x14ac:dyDescent="0.25">
      <c r="A26" s="11">
        <v>45474</v>
      </c>
      <c r="B26" s="12"/>
      <c r="C26" s="8">
        <v>7413755</v>
      </c>
      <c r="D26" s="9">
        <v>21906</v>
      </c>
      <c r="E26" s="9">
        <f>13854.87</f>
        <v>13854.87</v>
      </c>
      <c r="F26" s="9">
        <f t="shared" si="4"/>
        <v>27709.73</v>
      </c>
      <c r="G26" s="26">
        <f t="shared" si="0"/>
        <v>-8051.1299999999992</v>
      </c>
      <c r="H26" s="26">
        <f t="shared" si="1"/>
        <v>5803.73</v>
      </c>
      <c r="I26" s="15">
        <v>0.21</v>
      </c>
      <c r="J26" s="15">
        <v>0.05</v>
      </c>
      <c r="K26" s="16">
        <f t="shared" si="5"/>
        <v>-2840.1072999999997</v>
      </c>
      <c r="L26" s="16">
        <f t="shared" si="6"/>
        <v>286.54649999999998</v>
      </c>
      <c r="M26" s="16">
        <f t="shared" si="3"/>
        <v>1351819.1870487912</v>
      </c>
      <c r="N26" s="16">
        <v>0</v>
      </c>
    </row>
    <row r="27" spans="1:14" x14ac:dyDescent="0.25">
      <c r="A27" s="11">
        <v>45505</v>
      </c>
      <c r="B27" s="12"/>
      <c r="C27" s="8">
        <v>7413755</v>
      </c>
      <c r="D27" s="9">
        <v>21906.400000000001</v>
      </c>
      <c r="E27" s="9">
        <f>13854.5</f>
        <v>13854.5</v>
      </c>
      <c r="F27" s="9">
        <f>27709.5</f>
        <v>27709.5</v>
      </c>
      <c r="G27" s="26">
        <f t="shared" si="0"/>
        <v>-8051.9000000000015</v>
      </c>
      <c r="H27" s="26">
        <f t="shared" si="1"/>
        <v>5803.0999999999985</v>
      </c>
      <c r="I27" s="15">
        <v>0.21</v>
      </c>
      <c r="J27" s="15">
        <v>0.05</v>
      </c>
      <c r="K27" s="16">
        <f t="shared" si="5"/>
        <v>-2840.2690000000002</v>
      </c>
      <c r="L27" s="16">
        <f t="shared" si="6"/>
        <v>286.51499999999993</v>
      </c>
      <c r="M27" s="16">
        <f t="shared" si="3"/>
        <v>1349265.433048791</v>
      </c>
      <c r="N27" s="16">
        <v>0</v>
      </c>
    </row>
    <row r="28" spans="1:14" x14ac:dyDescent="0.25">
      <c r="A28" s="11">
        <v>45544</v>
      </c>
      <c r="B28" s="12"/>
      <c r="C28" s="8">
        <v>7413755</v>
      </c>
      <c r="D28" s="9">
        <v>21906</v>
      </c>
      <c r="E28" s="9">
        <f>13854.87+2.16</f>
        <v>13857.03</v>
      </c>
      <c r="F28" s="9">
        <f>27709.73+2.16</f>
        <v>27711.89</v>
      </c>
      <c r="G28" s="26">
        <f t="shared" si="0"/>
        <v>-8048.9699999999993</v>
      </c>
      <c r="H28" s="26">
        <f t="shared" si="1"/>
        <v>5805.8899999999994</v>
      </c>
      <c r="I28" s="15">
        <v>0.21</v>
      </c>
      <c r="J28" s="15">
        <v>0.05</v>
      </c>
      <c r="K28" s="16">
        <f>G28*I28-290*I28-1088.47</f>
        <v>-2839.6536999999998</v>
      </c>
      <c r="L28" s="16">
        <f>H28*J28-3.64</f>
        <v>286.65449999999998</v>
      </c>
      <c r="M28" s="16">
        <f t="shared" si="3"/>
        <v>1346712.4338487911</v>
      </c>
      <c r="N28" s="16">
        <v>0</v>
      </c>
    </row>
    <row r="29" spans="1:14" x14ac:dyDescent="0.25">
      <c r="A29" s="11">
        <v>45566</v>
      </c>
      <c r="B29" s="12"/>
      <c r="C29" s="8">
        <v>7413755</v>
      </c>
      <c r="D29" s="9">
        <v>21906.49</v>
      </c>
      <c r="E29" s="9">
        <f>13854.5</f>
        <v>13854.5</v>
      </c>
      <c r="F29" s="9">
        <f>27709.5</f>
        <v>27709.5</v>
      </c>
      <c r="G29" s="26">
        <f t="shared" si="0"/>
        <v>-8051.9900000000016</v>
      </c>
      <c r="H29" s="26">
        <f t="shared" si="1"/>
        <v>5803.0099999999984</v>
      </c>
      <c r="I29" s="15">
        <v>0.21</v>
      </c>
      <c r="J29" s="15">
        <v>0.05</v>
      </c>
      <c r="K29" s="16">
        <f>G29*I29-291*I29-1088.47</f>
        <v>-2840.4979000000003</v>
      </c>
      <c r="L29" s="16">
        <f>H29*J29-3.64</f>
        <v>286.51049999999992</v>
      </c>
      <c r="M29" s="16">
        <f t="shared" si="3"/>
        <v>1344158.4464487911</v>
      </c>
      <c r="N29" s="16">
        <v>0</v>
      </c>
    </row>
    <row r="30" spans="1:14" x14ac:dyDescent="0.25">
      <c r="A30" s="11">
        <v>45597</v>
      </c>
      <c r="B30" s="12"/>
      <c r="C30" s="8">
        <v>7413755</v>
      </c>
      <c r="D30" s="9">
        <v>21906</v>
      </c>
      <c r="E30" s="9">
        <f>13854.87+2.16</f>
        <v>13857.03</v>
      </c>
      <c r="F30" s="9">
        <f>27709.73+2.16</f>
        <v>27711.89</v>
      </c>
      <c r="G30" s="26">
        <f t="shared" si="0"/>
        <v>-8048.9699999999993</v>
      </c>
      <c r="H30" s="26">
        <f t="shared" si="1"/>
        <v>5805.8899999999994</v>
      </c>
      <c r="I30" s="15">
        <v>0.21</v>
      </c>
      <c r="J30" s="15">
        <v>0.05</v>
      </c>
      <c r="K30" s="16">
        <f>G30*I30-290*I30-1088.47</f>
        <v>-2839.6536999999998</v>
      </c>
      <c r="L30" s="16">
        <f>H30*J30-3.64</f>
        <v>286.65449999999998</v>
      </c>
      <c r="M30" s="16">
        <f t="shared" si="3"/>
        <v>1341605.4472487911</v>
      </c>
      <c r="N30" s="16">
        <v>0</v>
      </c>
    </row>
    <row r="31" spans="1:14" x14ac:dyDescent="0.25">
      <c r="A31" s="11">
        <v>45627</v>
      </c>
      <c r="B31" s="12"/>
      <c r="C31" s="8">
        <v>7413755</v>
      </c>
      <c r="D31" s="9">
        <v>21906.49</v>
      </c>
      <c r="E31" s="9">
        <f>13854.87+0.2</f>
        <v>13855.070000000002</v>
      </c>
      <c r="F31" s="9">
        <f>27709.73+0.2</f>
        <v>27709.93</v>
      </c>
      <c r="G31" s="26">
        <f t="shared" si="0"/>
        <v>-8051.42</v>
      </c>
      <c r="H31" s="26">
        <f t="shared" si="1"/>
        <v>5803.4399999999987</v>
      </c>
      <c r="I31" s="15">
        <v>0.21</v>
      </c>
      <c r="J31" s="15">
        <v>0.05</v>
      </c>
      <c r="K31" s="16">
        <f>G31*I31-292*I31-1088.4</f>
        <v>-2840.5182</v>
      </c>
      <c r="L31" s="16">
        <f>H31*J31-3.65</f>
        <v>286.52199999999999</v>
      </c>
      <c r="M31" s="16">
        <f t="shared" si="3"/>
        <v>1339051.4510487912</v>
      </c>
      <c r="N31" s="16">
        <v>0</v>
      </c>
    </row>
    <row r="32" spans="1:14" x14ac:dyDescent="0.25">
      <c r="A32" s="11">
        <v>45658</v>
      </c>
      <c r="B32" s="12"/>
      <c r="C32" s="8">
        <v>7413755</v>
      </c>
      <c r="D32" s="9">
        <v>21905.96</v>
      </c>
      <c r="E32" s="9">
        <f>13781.48-2</f>
        <v>13779.48</v>
      </c>
      <c r="F32" s="9">
        <f>27562.95-2</f>
        <v>27560.95</v>
      </c>
      <c r="G32" s="26">
        <f t="shared" si="0"/>
        <v>-8126.48</v>
      </c>
      <c r="H32" s="26">
        <f t="shared" si="1"/>
        <v>5654.9900000000016</v>
      </c>
      <c r="I32" s="15">
        <v>0.21</v>
      </c>
      <c r="J32" s="15">
        <v>0.05</v>
      </c>
      <c r="K32" s="16">
        <f>G32*I32-282*I32-1098.15</f>
        <v>-2863.9308000000001</v>
      </c>
      <c r="L32" s="16">
        <f>H32*J32-3.93</f>
        <v>278.81950000000006</v>
      </c>
      <c r="M32" s="16">
        <f t="shared" si="3"/>
        <v>1336466.3397487912</v>
      </c>
      <c r="N32" s="16">
        <v>0</v>
      </c>
    </row>
    <row r="33" spans="1:14" x14ac:dyDescent="0.25">
      <c r="A33" s="11">
        <v>45689</v>
      </c>
      <c r="B33" s="12"/>
      <c r="C33" s="8">
        <v>7413755</v>
      </c>
      <c r="D33" s="9">
        <v>21905.96</v>
      </c>
      <c r="E33" s="9">
        <f>13781.48-2</f>
        <v>13779.48</v>
      </c>
      <c r="F33" s="9">
        <f>27562.95-2</f>
        <v>27560.95</v>
      </c>
      <c r="G33" s="26">
        <f t="shared" si="0"/>
        <v>-8126.48</v>
      </c>
      <c r="H33" s="26">
        <f t="shared" si="1"/>
        <v>5654.9900000000016</v>
      </c>
      <c r="I33" s="15">
        <v>0.21</v>
      </c>
      <c r="J33" s="15">
        <v>0.05</v>
      </c>
      <c r="K33" s="16">
        <f>G33*I33-282*I33-1098.15</f>
        <v>-2863.9308000000001</v>
      </c>
      <c r="L33" s="16">
        <f>H33*J33-3.93</f>
        <v>278.81950000000006</v>
      </c>
      <c r="M33" s="16">
        <f t="shared" si="3"/>
        <v>1333881.2284487912</v>
      </c>
      <c r="N33" s="16">
        <v>0</v>
      </c>
    </row>
    <row r="35" spans="1:14" x14ac:dyDescent="0.25">
      <c r="C35" s="28" t="s">
        <v>37</v>
      </c>
      <c r="D35" s="29"/>
      <c r="E35" s="29"/>
      <c r="F35" s="29"/>
      <c r="G35" s="26"/>
      <c r="H35" s="26"/>
      <c r="I35" s="26"/>
      <c r="J35" s="28"/>
      <c r="K35" s="28"/>
    </row>
    <row r="36" spans="1:14" x14ac:dyDescent="0.25">
      <c r="C36" s="28"/>
      <c r="D36" s="29"/>
      <c r="E36" s="29"/>
      <c r="F36" s="29"/>
      <c r="G36" s="26"/>
      <c r="H36" s="26"/>
      <c r="I36" s="26"/>
      <c r="J36" s="28"/>
      <c r="K36" s="28"/>
    </row>
    <row r="37" spans="1:14" x14ac:dyDescent="0.25">
      <c r="C37" s="30" t="s">
        <v>38</v>
      </c>
      <c r="D37" s="18"/>
      <c r="E37" s="18"/>
      <c r="F37" s="18"/>
      <c r="G37" s="19"/>
      <c r="H37" s="19"/>
      <c r="I37" s="31"/>
      <c r="J37" s="31"/>
      <c r="K37" s="31"/>
    </row>
    <row r="38" spans="1:14" x14ac:dyDescent="0.25">
      <c r="C38" s="30" t="s">
        <v>21</v>
      </c>
      <c r="D38" s="18"/>
      <c r="E38" s="18"/>
      <c r="F38" s="18"/>
      <c r="G38" s="19"/>
      <c r="H38" s="19"/>
      <c r="I38" s="31"/>
      <c r="J38" s="31"/>
      <c r="K38" s="31"/>
    </row>
    <row r="39" spans="1:14" x14ac:dyDescent="0.25">
      <c r="C39" s="30" t="s">
        <v>22</v>
      </c>
      <c r="D39" s="18"/>
      <c r="E39" s="18"/>
      <c r="F39" s="18"/>
      <c r="G39" s="19"/>
      <c r="H39" s="19"/>
      <c r="I39" s="31"/>
      <c r="J39" s="31"/>
      <c r="K39" s="31"/>
    </row>
    <row r="40" spans="1:14" x14ac:dyDescent="0.25">
      <c r="C40" s="28" t="s">
        <v>23</v>
      </c>
      <c r="D40" s="18"/>
      <c r="E40" s="18"/>
      <c r="F40" s="18"/>
      <c r="G40" s="19"/>
      <c r="H40" s="19"/>
      <c r="I40" s="31"/>
      <c r="J40" s="31"/>
      <c r="K40" s="31"/>
    </row>
    <row r="41" spans="1:14" x14ac:dyDescent="0.25">
      <c r="C41" s="32"/>
      <c r="D41" s="18"/>
      <c r="E41" s="18"/>
      <c r="F41" s="18"/>
      <c r="G41" s="18"/>
      <c r="H41" s="18"/>
      <c r="I41" s="31"/>
      <c r="J41" s="31"/>
      <c r="K41" s="31"/>
    </row>
    <row r="42" spans="1:14" x14ac:dyDescent="0.25">
      <c r="C42" s="28" t="s">
        <v>24</v>
      </c>
      <c r="D42" s="21" t="s">
        <v>25</v>
      </c>
      <c r="E42" s="19" t="s">
        <v>26</v>
      </c>
      <c r="F42" s="28" t="s">
        <v>27</v>
      </c>
      <c r="G42" s="33" t="s">
        <v>12</v>
      </c>
      <c r="H42" s="28" t="s">
        <v>28</v>
      </c>
      <c r="I42" s="31"/>
      <c r="J42" s="31"/>
      <c r="K42" s="31"/>
    </row>
    <row r="43" spans="1:14" x14ac:dyDescent="0.25">
      <c r="C43" s="28">
        <v>2318136</v>
      </c>
      <c r="D43" s="28">
        <v>21905.96</v>
      </c>
      <c r="E43" s="28">
        <v>8617.67</v>
      </c>
      <c r="F43" s="28">
        <f>-D43+E43</f>
        <v>-13288.289999999999</v>
      </c>
      <c r="G43" s="33">
        <v>0.21</v>
      </c>
      <c r="H43" s="28">
        <f>F43*G43</f>
        <v>-2790.5408999999995</v>
      </c>
      <c r="I43" s="31"/>
      <c r="J43" s="31"/>
      <c r="K43" s="31"/>
    </row>
    <row r="44" spans="1:14" x14ac:dyDescent="0.25">
      <c r="C44" s="28">
        <v>-39771</v>
      </c>
      <c r="D44" s="28"/>
      <c r="E44" s="28">
        <v>-147.88</v>
      </c>
      <c r="F44" s="28">
        <f>E44</f>
        <v>-147.88</v>
      </c>
      <c r="G44" s="33">
        <v>0.21</v>
      </c>
      <c r="H44" s="28">
        <f t="shared" ref="H44:H46" si="7">F44*G44</f>
        <v>-31.054799999999997</v>
      </c>
      <c r="I44" s="31"/>
      <c r="J44" s="31"/>
      <c r="K44" s="31"/>
    </row>
    <row r="45" spans="1:14" x14ac:dyDescent="0.25">
      <c r="C45" s="28">
        <v>1088793</v>
      </c>
      <c r="D45" s="28"/>
      <c r="E45" s="28">
        <v>4048.5</v>
      </c>
      <c r="F45" s="28">
        <f t="shared" ref="F45:F46" si="8">E45</f>
        <v>4048.5</v>
      </c>
      <c r="G45" s="33">
        <v>0.21</v>
      </c>
      <c r="H45" s="28">
        <f t="shared" si="7"/>
        <v>850.18499999999995</v>
      </c>
      <c r="I45" s="31"/>
      <c r="J45" s="31"/>
      <c r="K45" s="31"/>
    </row>
    <row r="46" spans="1:14" ht="16.5" x14ac:dyDescent="0.35">
      <c r="C46" s="28">
        <v>339720</v>
      </c>
      <c r="D46" s="28"/>
      <c r="E46" s="27">
        <f>1263.19-2</f>
        <v>1261.19</v>
      </c>
      <c r="F46" s="27">
        <f t="shared" si="8"/>
        <v>1261.19</v>
      </c>
      <c r="G46" s="33">
        <v>0.21</v>
      </c>
      <c r="H46" s="27">
        <f t="shared" si="7"/>
        <v>264.84989999999999</v>
      </c>
      <c r="I46" s="31"/>
      <c r="J46" s="31"/>
      <c r="K46" s="31"/>
    </row>
    <row r="47" spans="1:14" x14ac:dyDescent="0.25">
      <c r="C47" s="28"/>
      <c r="D47" s="28"/>
      <c r="E47" s="28">
        <f>SUM(E43:E46)</f>
        <v>13779.480000000001</v>
      </c>
      <c r="F47" s="28">
        <f>SUM(F43:F46)</f>
        <v>-8126.4799999999977</v>
      </c>
      <c r="G47" s="33" t="s">
        <v>29</v>
      </c>
      <c r="H47" s="28">
        <f>SUM(H43:H46)</f>
        <v>-1706.5607999999995</v>
      </c>
      <c r="I47" s="31"/>
      <c r="J47" s="31"/>
      <c r="K47" s="31"/>
    </row>
    <row r="48" spans="1:14" ht="16.5" x14ac:dyDescent="0.35">
      <c r="C48" s="31"/>
      <c r="D48" s="31"/>
      <c r="E48" s="28"/>
      <c r="F48" s="28"/>
      <c r="G48" s="31" t="s">
        <v>30</v>
      </c>
      <c r="H48" s="27">
        <f>-H56*0.21</f>
        <v>-59.377395000000014</v>
      </c>
      <c r="I48" s="31"/>
      <c r="J48" s="31"/>
      <c r="K48" s="31"/>
    </row>
    <row r="49" spans="3:11" x14ac:dyDescent="0.25">
      <c r="C49" s="31"/>
      <c r="D49" s="31"/>
      <c r="E49" s="31"/>
      <c r="F49" s="31"/>
      <c r="G49" s="31"/>
      <c r="H49" s="28">
        <f>H47+H48</f>
        <v>-1765.9381949999995</v>
      </c>
      <c r="I49" s="31"/>
      <c r="J49" s="31"/>
      <c r="K49" s="31"/>
    </row>
    <row r="50" spans="3:11" x14ac:dyDescent="0.25">
      <c r="C50" s="31"/>
      <c r="D50" s="31"/>
      <c r="E50" s="31"/>
      <c r="F50" s="31"/>
      <c r="G50" s="31"/>
      <c r="H50" s="28">
        <f>H49-K33</f>
        <v>1097.9926050000006</v>
      </c>
      <c r="I50" s="31" t="s">
        <v>31</v>
      </c>
      <c r="J50" s="31"/>
      <c r="K50" s="31"/>
    </row>
    <row r="51" spans="3:11" x14ac:dyDescent="0.25">
      <c r="C51" s="28" t="s">
        <v>32</v>
      </c>
      <c r="D51" s="18" t="s">
        <v>25</v>
      </c>
      <c r="E51" s="19" t="s">
        <v>33</v>
      </c>
      <c r="F51" s="28" t="s">
        <v>34</v>
      </c>
      <c r="G51" s="33" t="s">
        <v>13</v>
      </c>
      <c r="H51" s="28" t="s">
        <v>35</v>
      </c>
      <c r="I51" s="12"/>
      <c r="J51" s="12"/>
      <c r="K51" s="12"/>
    </row>
    <row r="52" spans="3:11" x14ac:dyDescent="0.25">
      <c r="C52" s="28">
        <v>4636272</v>
      </c>
      <c r="D52" s="28">
        <v>21905.96</v>
      </c>
      <c r="E52" s="28">
        <v>17235.34</v>
      </c>
      <c r="F52" s="28">
        <f>-D52+E52</f>
        <v>-4670.619999999999</v>
      </c>
      <c r="G52" s="33">
        <v>0.05</v>
      </c>
      <c r="H52" s="28">
        <f>F52*G52</f>
        <v>-233.53099999999995</v>
      </c>
      <c r="I52" s="12"/>
      <c r="J52" s="12"/>
      <c r="K52" s="12"/>
    </row>
    <row r="53" spans="3:11" x14ac:dyDescent="0.25">
      <c r="C53" s="28">
        <v>-79542</v>
      </c>
      <c r="D53" s="28"/>
      <c r="E53" s="28">
        <v>-295.76</v>
      </c>
      <c r="F53" s="28">
        <f>E53</f>
        <v>-295.76</v>
      </c>
      <c r="G53" s="33">
        <v>0.05</v>
      </c>
      <c r="H53" s="28">
        <f t="shared" ref="H53:H55" si="9">F53*G53</f>
        <v>-14.788</v>
      </c>
      <c r="I53" s="12"/>
      <c r="J53" s="12"/>
      <c r="K53" s="12"/>
    </row>
    <row r="54" spans="3:11" x14ac:dyDescent="0.25">
      <c r="C54" s="28">
        <v>2177586</v>
      </c>
      <c r="D54" s="28"/>
      <c r="E54" s="28">
        <v>8096.99</v>
      </c>
      <c r="F54" s="28">
        <f t="shared" ref="F54:F55" si="10">E54</f>
        <v>8096.99</v>
      </c>
      <c r="G54" s="33">
        <v>0.05</v>
      </c>
      <c r="H54" s="28">
        <f t="shared" si="9"/>
        <v>404.84950000000003</v>
      </c>
      <c r="I54" s="12"/>
      <c r="J54" s="12"/>
      <c r="K54" s="12"/>
    </row>
    <row r="55" spans="3:11" ht="16.5" x14ac:dyDescent="0.35">
      <c r="C55" s="28">
        <v>679439</v>
      </c>
      <c r="D55" s="28"/>
      <c r="E55" s="27">
        <f>2526.38-2</f>
        <v>2524.38</v>
      </c>
      <c r="F55" s="27">
        <f t="shared" si="10"/>
        <v>2524.38</v>
      </c>
      <c r="G55" s="33">
        <v>0.05</v>
      </c>
      <c r="H55" s="27">
        <f t="shared" si="9"/>
        <v>126.21900000000001</v>
      </c>
      <c r="I55" s="12"/>
      <c r="J55" s="12"/>
      <c r="K55" s="12"/>
    </row>
    <row r="56" spans="3:11" x14ac:dyDescent="0.25">
      <c r="C56" s="31"/>
      <c r="D56" s="31"/>
      <c r="E56" s="28">
        <f>SUM(E52:E55)</f>
        <v>27560.95</v>
      </c>
      <c r="F56" s="28">
        <f>SUM(F52:F55)</f>
        <v>5654.9900000000007</v>
      </c>
      <c r="G56" s="31"/>
      <c r="H56" s="28">
        <f>SUM(H52:H55)</f>
        <v>282.74950000000007</v>
      </c>
      <c r="I56" s="12"/>
      <c r="J56" s="12"/>
      <c r="K56" s="12"/>
    </row>
    <row r="57" spans="3:11" x14ac:dyDescent="0.25">
      <c r="C57" s="31"/>
      <c r="D57" s="31"/>
      <c r="E57" s="31"/>
      <c r="F57" s="31"/>
      <c r="G57" s="31"/>
      <c r="H57" s="28">
        <f>H56-L33</f>
        <v>3.9300000000000068</v>
      </c>
      <c r="I57" s="31" t="s">
        <v>39</v>
      </c>
      <c r="J57" s="12"/>
      <c r="K57" s="12"/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D8FD-B08E-4F28-8505-EC6FBF3FD508}">
  <dimension ref="A1:N65"/>
  <sheetViews>
    <sheetView workbookViewId="0">
      <selection activeCell="M27" sqref="M27"/>
    </sheetView>
  </sheetViews>
  <sheetFormatPr defaultRowHeight="15" x14ac:dyDescent="0.25"/>
  <cols>
    <col min="1" max="1" width="11.28515625" customWidth="1"/>
    <col min="2" max="2" width="1.7109375" customWidth="1"/>
    <col min="3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25" t="s">
        <v>40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20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6">
        <v>23403072</v>
      </c>
      <c r="N9" s="12"/>
    </row>
    <row r="10" spans="1:14" x14ac:dyDescent="0.25">
      <c r="A10" s="11">
        <v>44994</v>
      </c>
      <c r="B10" s="12"/>
      <c r="C10" s="8">
        <v>228618614</v>
      </c>
      <c r="D10" s="9">
        <v>920826.5</v>
      </c>
      <c r="E10" s="26">
        <f>1220445.28</f>
        <v>1220445.28</v>
      </c>
      <c r="F10" s="26">
        <f>1857450.24</f>
        <v>1857450.24</v>
      </c>
      <c r="G10" s="8">
        <f t="shared" ref="G10:G33" si="0">E10-D10</f>
        <v>299618.78000000003</v>
      </c>
      <c r="H10" s="8">
        <f t="shared" ref="H10:H33" si="1">F10-D10</f>
        <v>936623.74</v>
      </c>
      <c r="I10" s="15">
        <v>0.21</v>
      </c>
      <c r="J10" s="15">
        <v>0.05</v>
      </c>
      <c r="K10" s="16">
        <f>G10*I10-46831*I10-3214</f>
        <v>49871.433799999999</v>
      </c>
      <c r="L10" s="16">
        <f t="shared" ref="L10:L15" si="2">H10*J10-17</f>
        <v>46814.187000000005</v>
      </c>
      <c r="M10" s="16">
        <f t="shared" ref="M10:M33" si="3">M9+K10+L10</f>
        <v>23499757.6208</v>
      </c>
      <c r="N10" s="16">
        <v>0</v>
      </c>
    </row>
    <row r="11" spans="1:14" x14ac:dyDescent="0.25">
      <c r="A11" s="11">
        <v>45017</v>
      </c>
      <c r="B11" s="12"/>
      <c r="C11" s="8">
        <v>228618614</v>
      </c>
      <c r="D11" s="9">
        <v>920827</v>
      </c>
      <c r="E11" s="26">
        <f>1220445.28</f>
        <v>1220445.28</v>
      </c>
      <c r="F11" s="26">
        <f>1857450.24</f>
        <v>1857450.24</v>
      </c>
      <c r="G11" s="8">
        <f t="shared" si="0"/>
        <v>299618.28000000003</v>
      </c>
      <c r="H11" s="8">
        <f t="shared" si="1"/>
        <v>936623.24</v>
      </c>
      <c r="I11" s="15">
        <v>0.21</v>
      </c>
      <c r="J11" s="15">
        <v>0.05</v>
      </c>
      <c r="K11" s="16">
        <f>G11*I11-46831*I11-3214</f>
        <v>49871.328800000003</v>
      </c>
      <c r="L11" s="16">
        <f t="shared" si="2"/>
        <v>46814.162000000004</v>
      </c>
      <c r="M11" s="16">
        <f t="shared" si="3"/>
        <v>23596443.1116</v>
      </c>
      <c r="N11" s="16">
        <v>0</v>
      </c>
    </row>
    <row r="12" spans="1:14" x14ac:dyDescent="0.25">
      <c r="A12" s="11">
        <v>45047</v>
      </c>
      <c r="B12" s="12"/>
      <c r="C12" s="8">
        <v>230149304</v>
      </c>
      <c r="D12" s="9">
        <v>923926</v>
      </c>
      <c r="E12" s="26">
        <f>1232164.62-2713</f>
        <v>1229451.6200000001</v>
      </c>
      <c r="F12" s="26">
        <f>1869169.58-2713</f>
        <v>1866456.58</v>
      </c>
      <c r="G12" s="8">
        <f>E12-D12</f>
        <v>305525.62000000011</v>
      </c>
      <c r="H12" s="8">
        <f>F12-D12</f>
        <v>942530.58000000007</v>
      </c>
      <c r="I12" s="15">
        <v>0.21</v>
      </c>
      <c r="J12" s="15">
        <v>0.05</v>
      </c>
      <c r="K12" s="16">
        <f>G12*I12-47127*I12-3214</f>
        <v>51049.710200000023</v>
      </c>
      <c r="L12" s="16">
        <f t="shared" si="2"/>
        <v>47109.52900000001</v>
      </c>
      <c r="M12" s="16">
        <f t="shared" si="3"/>
        <v>23694602.3508</v>
      </c>
      <c r="N12" s="16">
        <v>0</v>
      </c>
    </row>
    <row r="13" spans="1:14" x14ac:dyDescent="0.25">
      <c r="A13" s="11">
        <v>45078</v>
      </c>
      <c r="B13" s="12"/>
      <c r="C13" s="8">
        <v>230149304</v>
      </c>
      <c r="D13" s="9">
        <v>927026</v>
      </c>
      <c r="E13" s="26">
        <f>1232164.62+382</f>
        <v>1232546.6200000001</v>
      </c>
      <c r="F13" s="26">
        <f>1869169.58+382</f>
        <v>1869551.58</v>
      </c>
      <c r="G13" s="8">
        <f t="shared" si="0"/>
        <v>305520.62000000011</v>
      </c>
      <c r="H13" s="8">
        <f t="shared" si="1"/>
        <v>942525.58000000007</v>
      </c>
      <c r="I13" s="15">
        <v>0.21</v>
      </c>
      <c r="J13" s="15">
        <v>0.05</v>
      </c>
      <c r="K13" s="16">
        <f>G13*I13-47126*I13-3214</f>
        <v>51048.870200000019</v>
      </c>
      <c r="L13" s="16">
        <f t="shared" si="2"/>
        <v>47109.27900000001</v>
      </c>
      <c r="M13" s="16">
        <f t="shared" si="3"/>
        <v>23792760.5</v>
      </c>
      <c r="N13" s="16">
        <v>0</v>
      </c>
    </row>
    <row r="14" spans="1:14" x14ac:dyDescent="0.25">
      <c r="A14" s="11">
        <v>45108</v>
      </c>
      <c r="B14" s="12"/>
      <c r="C14" s="8">
        <v>230149304</v>
      </c>
      <c r="D14" s="9">
        <v>927026</v>
      </c>
      <c r="E14" s="26">
        <f>1232164.62+389</f>
        <v>1232553.6200000001</v>
      </c>
      <c r="F14" s="26">
        <f>1869169.58+389</f>
        <v>1869558.58</v>
      </c>
      <c r="G14" s="8">
        <f>E14-D14</f>
        <v>305527.62000000011</v>
      </c>
      <c r="H14" s="8">
        <f>F14-D14</f>
        <v>942532.58000000007</v>
      </c>
      <c r="I14" s="15">
        <v>0.21</v>
      </c>
      <c r="J14" s="15">
        <v>0.05</v>
      </c>
      <c r="K14" s="16">
        <f>G14*I14-47127*I14-3214</f>
        <v>51050.130200000021</v>
      </c>
      <c r="L14" s="16">
        <f t="shared" si="2"/>
        <v>47109.629000000008</v>
      </c>
      <c r="M14" s="16">
        <f t="shared" si="3"/>
        <v>23890920.259199999</v>
      </c>
      <c r="N14" s="16">
        <v>0</v>
      </c>
    </row>
    <row r="15" spans="1:14" x14ac:dyDescent="0.25">
      <c r="A15" s="11">
        <v>45139</v>
      </c>
      <c r="B15" s="12"/>
      <c r="C15" s="8">
        <v>230149304</v>
      </c>
      <c r="D15" s="9">
        <v>927026.49</v>
      </c>
      <c r="E15" s="26">
        <f>1232164.62+387</f>
        <v>1232551.6200000001</v>
      </c>
      <c r="F15" s="26">
        <f>1869169.58+387</f>
        <v>1869556.58</v>
      </c>
      <c r="G15" s="8">
        <f t="shared" si="0"/>
        <v>305525.13000000012</v>
      </c>
      <c r="H15" s="8">
        <f t="shared" si="1"/>
        <v>942530.09000000008</v>
      </c>
      <c r="I15" s="15">
        <v>0.21</v>
      </c>
      <c r="J15" s="15">
        <v>0.05</v>
      </c>
      <c r="K15" s="16">
        <f>G15*I15-47127*I15-3214</f>
        <v>51049.607300000025</v>
      </c>
      <c r="L15" s="16">
        <f t="shared" si="2"/>
        <v>47109.50450000001</v>
      </c>
      <c r="M15" s="16">
        <f t="shared" si="3"/>
        <v>23989079.370999999</v>
      </c>
      <c r="N15" s="16">
        <v>0</v>
      </c>
    </row>
    <row r="16" spans="1:14" x14ac:dyDescent="0.25">
      <c r="A16" s="11">
        <v>45178</v>
      </c>
      <c r="B16" s="12"/>
      <c r="C16" s="8">
        <v>230149304</v>
      </c>
      <c r="D16" s="9">
        <v>927026</v>
      </c>
      <c r="E16" s="36">
        <f>1232164.62395132+387.01</f>
        <v>1232551.6339513201</v>
      </c>
      <c r="F16" s="36">
        <f>1869169.5836078+387.01</f>
        <v>1869556.5936078001</v>
      </c>
      <c r="G16" s="8">
        <f t="shared" si="0"/>
        <v>305525.63395132008</v>
      </c>
      <c r="H16" s="8">
        <f t="shared" si="1"/>
        <v>942530.59360780008</v>
      </c>
      <c r="I16" s="15">
        <v>0.21</v>
      </c>
      <c r="J16" s="15">
        <v>0.05</v>
      </c>
      <c r="K16" s="16">
        <f>G16*I16-47127*I16-3214.12</f>
        <v>51049.593129777211</v>
      </c>
      <c r="L16" s="16">
        <f>H16*J16-17.26</f>
        <v>47109.269680390003</v>
      </c>
      <c r="M16" s="16">
        <f t="shared" si="3"/>
        <v>24087238.233810164</v>
      </c>
      <c r="N16" s="16">
        <v>0</v>
      </c>
    </row>
    <row r="17" spans="1:14" x14ac:dyDescent="0.25">
      <c r="A17" s="11">
        <v>45200</v>
      </c>
      <c r="B17" s="12"/>
      <c r="C17" s="8">
        <v>230149304</v>
      </c>
      <c r="D17" s="9">
        <v>927026</v>
      </c>
      <c r="E17" s="36">
        <f>1232164.62395132+390</f>
        <v>1232554.6239513201</v>
      </c>
      <c r="F17" s="36">
        <f>1869169.5836078+390</f>
        <v>1869559.5836078001</v>
      </c>
      <c r="G17" s="8">
        <f t="shared" si="0"/>
        <v>305528.62395132007</v>
      </c>
      <c r="H17" s="8">
        <f t="shared" si="1"/>
        <v>942533.58360780007</v>
      </c>
      <c r="I17" s="15">
        <v>0.21</v>
      </c>
      <c r="J17" s="15">
        <v>0.05</v>
      </c>
      <c r="K17" s="16">
        <f>G17*I17-47127*I17-3214.12</f>
        <v>51050.221029777211</v>
      </c>
      <c r="L17" s="16">
        <f>H17*J17-17.26</f>
        <v>47109.419180390003</v>
      </c>
      <c r="M17" s="16">
        <f t="shared" si="3"/>
        <v>24185397.874020331</v>
      </c>
      <c r="N17" s="16">
        <v>0</v>
      </c>
    </row>
    <row r="18" spans="1:14" x14ac:dyDescent="0.25">
      <c r="A18" s="11">
        <v>45231</v>
      </c>
      <c r="B18" s="12"/>
      <c r="C18" s="8">
        <v>230149304</v>
      </c>
      <c r="D18" s="9">
        <v>927026.49</v>
      </c>
      <c r="E18" s="36">
        <f>1232164.62395132+390</f>
        <v>1232554.6239513201</v>
      </c>
      <c r="F18" s="36">
        <f>1869169.5836078+390</f>
        <v>1869559.5836078001</v>
      </c>
      <c r="G18" s="8">
        <f>E18-D18</f>
        <v>305528.13395132008</v>
      </c>
      <c r="H18" s="8">
        <f>F18-D18</f>
        <v>942533.09360780008</v>
      </c>
      <c r="I18" s="15">
        <v>0.21</v>
      </c>
      <c r="J18" s="15">
        <v>0.05</v>
      </c>
      <c r="K18" s="16">
        <f>G18*I18-47127*I18-3214.12</f>
        <v>51050.118129777213</v>
      </c>
      <c r="L18" s="16">
        <f>H18*J18-17.26</f>
        <v>47109.394680390003</v>
      </c>
      <c r="M18" s="16">
        <f t="shared" si="3"/>
        <v>24283557.386830498</v>
      </c>
      <c r="N18" s="16">
        <v>0</v>
      </c>
    </row>
    <row r="19" spans="1:14" x14ac:dyDescent="0.25">
      <c r="A19" s="11">
        <v>45261</v>
      </c>
      <c r="B19" s="12"/>
      <c r="C19" s="8">
        <v>230149304</v>
      </c>
      <c r="D19" s="9">
        <v>927026</v>
      </c>
      <c r="E19" s="26">
        <f>1232164.62395132+387.9</f>
        <v>1232552.52395132</v>
      </c>
      <c r="F19" s="26">
        <f>1869169.5836078+387.9</f>
        <v>1869557.4836078</v>
      </c>
      <c r="G19" s="8">
        <f t="shared" si="0"/>
        <v>305526.52395131998</v>
      </c>
      <c r="H19" s="8">
        <f t="shared" si="1"/>
        <v>942531.48360779998</v>
      </c>
      <c r="I19" s="15">
        <v>0.21</v>
      </c>
      <c r="J19" s="15">
        <v>0.05</v>
      </c>
      <c r="K19" s="16">
        <f>G19*I19-47127*I19-3214.12</f>
        <v>51049.78002977719</v>
      </c>
      <c r="L19" s="16">
        <f>H19*J19-17.26</f>
        <v>47109.31418039</v>
      </c>
      <c r="M19" s="35">
        <f t="shared" si="3"/>
        <v>24381716.481040664</v>
      </c>
      <c r="N19" s="16">
        <v>0</v>
      </c>
    </row>
    <row r="20" spans="1:14" x14ac:dyDescent="0.25">
      <c r="A20" s="11">
        <v>45292</v>
      </c>
      <c r="B20" s="12"/>
      <c r="C20" s="8">
        <v>230149304</v>
      </c>
      <c r="D20" s="9">
        <v>927026</v>
      </c>
      <c r="E20" s="26">
        <f>1147717</f>
        <v>1147717</v>
      </c>
      <c r="F20" s="26">
        <f>1729899</f>
        <v>1729899</v>
      </c>
      <c r="G20" s="8">
        <f>E20-D20</f>
        <v>220691</v>
      </c>
      <c r="H20" s="8">
        <f>F20-D20</f>
        <v>802873</v>
      </c>
      <c r="I20" s="15">
        <v>0.21</v>
      </c>
      <c r="J20" s="15">
        <v>0.05</v>
      </c>
      <c r="K20" s="16">
        <f>G20*I20-40144*I20-3328.74</f>
        <v>34586.130000000005</v>
      </c>
      <c r="L20" s="16">
        <f>H20*J20-19.67</f>
        <v>40123.980000000003</v>
      </c>
      <c r="M20" s="16">
        <f t="shared" si="3"/>
        <v>24456426.591040663</v>
      </c>
      <c r="N20" s="16">
        <v>0</v>
      </c>
    </row>
    <row r="21" spans="1:14" x14ac:dyDescent="0.25">
      <c r="A21" s="11">
        <v>45323</v>
      </c>
      <c r="B21" s="12"/>
      <c r="C21" s="8">
        <v>230149304</v>
      </c>
      <c r="D21" s="9">
        <v>927026</v>
      </c>
      <c r="E21" s="26">
        <f>1147717-4640</f>
        <v>1143077</v>
      </c>
      <c r="F21" s="26">
        <f>1729899-4640</f>
        <v>1725259</v>
      </c>
      <c r="G21" s="8">
        <f t="shared" si="0"/>
        <v>216051</v>
      </c>
      <c r="H21" s="8">
        <f t="shared" si="1"/>
        <v>798233</v>
      </c>
      <c r="I21" s="15">
        <v>0.21</v>
      </c>
      <c r="J21" s="15">
        <v>0.05</v>
      </c>
      <c r="K21" s="16">
        <f>G21*I21-39912*I21-3328.74</f>
        <v>33660.450000000004</v>
      </c>
      <c r="L21" s="16">
        <f>H21*J21-19.67</f>
        <v>39891.980000000003</v>
      </c>
      <c r="M21" s="16">
        <f t="shared" si="3"/>
        <v>24529979.021040663</v>
      </c>
      <c r="N21" s="16">
        <v>0</v>
      </c>
    </row>
    <row r="22" spans="1:14" x14ac:dyDescent="0.25">
      <c r="A22" s="11">
        <v>45360</v>
      </c>
      <c r="B22" s="12"/>
      <c r="C22" s="8">
        <v>230149304</v>
      </c>
      <c r="D22" s="9">
        <v>927026</v>
      </c>
      <c r="E22" s="26">
        <f>1145413.68</f>
        <v>1145413.68</v>
      </c>
      <c r="F22" s="26">
        <f>1727495.19</f>
        <v>1727495.19</v>
      </c>
      <c r="G22" s="8">
        <f t="shared" si="0"/>
        <v>218387.67999999993</v>
      </c>
      <c r="H22" s="8">
        <f t="shared" si="1"/>
        <v>800469.19</v>
      </c>
      <c r="I22" s="15">
        <v>0.21</v>
      </c>
      <c r="J22" s="15">
        <v>0.05</v>
      </c>
      <c r="K22" s="16">
        <f t="shared" ref="K22:K27" si="4">G22*I22-40023*I22-3328.74</f>
        <v>34127.842799999984</v>
      </c>
      <c r="L22" s="16">
        <f t="shared" ref="L22:L27" si="5">H22*J22-19.67</f>
        <v>40003.789499999999</v>
      </c>
      <c r="M22" s="16">
        <f t="shared" si="3"/>
        <v>24604110.653340664</v>
      </c>
      <c r="N22" s="16">
        <v>0</v>
      </c>
    </row>
    <row r="23" spans="1:14" x14ac:dyDescent="0.25">
      <c r="A23" s="11">
        <v>45383</v>
      </c>
      <c r="B23" s="12"/>
      <c r="C23" s="8">
        <v>230149304</v>
      </c>
      <c r="D23" s="9">
        <v>927026</v>
      </c>
      <c r="E23" s="26">
        <f>1145413.68</f>
        <v>1145413.68</v>
      </c>
      <c r="F23" s="26">
        <f>1727495.19</f>
        <v>1727495.19</v>
      </c>
      <c r="G23" s="8">
        <f t="shared" si="0"/>
        <v>218387.67999999993</v>
      </c>
      <c r="H23" s="8">
        <f t="shared" si="1"/>
        <v>800469.19</v>
      </c>
      <c r="I23" s="15">
        <v>0.21</v>
      </c>
      <c r="J23" s="15">
        <v>0.05</v>
      </c>
      <c r="K23" s="16">
        <f t="shared" si="4"/>
        <v>34127.842799999984</v>
      </c>
      <c r="L23" s="16">
        <f t="shared" si="5"/>
        <v>40003.789499999999</v>
      </c>
      <c r="M23" s="16">
        <f t="shared" si="3"/>
        <v>24678242.285640664</v>
      </c>
      <c r="N23" s="16">
        <v>0</v>
      </c>
    </row>
    <row r="24" spans="1:14" x14ac:dyDescent="0.25">
      <c r="A24" s="11">
        <v>45413</v>
      </c>
      <c r="B24" s="12"/>
      <c r="C24" s="8">
        <v>230149304</v>
      </c>
      <c r="D24" s="9">
        <v>927026</v>
      </c>
      <c r="E24" s="26">
        <f>1145413.68</f>
        <v>1145413.68</v>
      </c>
      <c r="F24" s="26">
        <f>1727495.19</f>
        <v>1727495.19</v>
      </c>
      <c r="G24" s="8">
        <f>E24-D24</f>
        <v>218387.67999999993</v>
      </c>
      <c r="H24" s="8">
        <f>F24-D24</f>
        <v>800469.19</v>
      </c>
      <c r="I24" s="15">
        <v>0.21</v>
      </c>
      <c r="J24" s="15">
        <v>0.05</v>
      </c>
      <c r="K24" s="16">
        <f t="shared" si="4"/>
        <v>34127.842799999984</v>
      </c>
      <c r="L24" s="16">
        <f t="shared" si="5"/>
        <v>40003.789499999999</v>
      </c>
      <c r="M24" s="16">
        <f t="shared" si="3"/>
        <v>24752373.917940665</v>
      </c>
      <c r="N24" s="16">
        <v>0</v>
      </c>
    </row>
    <row r="25" spans="1:14" x14ac:dyDescent="0.25">
      <c r="A25" s="11">
        <v>45444</v>
      </c>
      <c r="B25" s="12"/>
      <c r="C25" s="8">
        <v>230149304</v>
      </c>
      <c r="D25" s="9">
        <v>927026.49</v>
      </c>
      <c r="E25" s="26">
        <f>1145413.68</f>
        <v>1145413.68</v>
      </c>
      <c r="F25" s="26">
        <f>1727495.19</f>
        <v>1727495.19</v>
      </c>
      <c r="G25" s="8">
        <f t="shared" si="0"/>
        <v>218387.18999999994</v>
      </c>
      <c r="H25" s="8">
        <f t="shared" si="1"/>
        <v>800468.7</v>
      </c>
      <c r="I25" s="15">
        <v>0.21</v>
      </c>
      <c r="J25" s="15">
        <v>0.05</v>
      </c>
      <c r="K25" s="16">
        <f t="shared" si="4"/>
        <v>34127.739899999986</v>
      </c>
      <c r="L25" s="16">
        <f t="shared" si="5"/>
        <v>40003.764999999999</v>
      </c>
      <c r="M25" s="16">
        <f t="shared" si="3"/>
        <v>24826505.422840666</v>
      </c>
      <c r="N25" s="16">
        <v>0</v>
      </c>
    </row>
    <row r="26" spans="1:14" x14ac:dyDescent="0.25">
      <c r="A26" s="11">
        <v>45474</v>
      </c>
      <c r="B26" s="12"/>
      <c r="C26" s="8">
        <v>230149304</v>
      </c>
      <c r="D26" s="9">
        <v>927026</v>
      </c>
      <c r="E26" s="26">
        <f>1145413.68</f>
        <v>1145413.68</v>
      </c>
      <c r="F26" s="26">
        <f>1727495.19</f>
        <v>1727495.19</v>
      </c>
      <c r="G26" s="8">
        <f>E26-D26</f>
        <v>218387.67999999993</v>
      </c>
      <c r="H26" s="8">
        <f>F26-D26</f>
        <v>800469.19</v>
      </c>
      <c r="I26" s="15">
        <v>0.21</v>
      </c>
      <c r="J26" s="15">
        <v>0.05</v>
      </c>
      <c r="K26" s="16">
        <f t="shared" si="4"/>
        <v>34127.842799999984</v>
      </c>
      <c r="L26" s="16">
        <f t="shared" si="5"/>
        <v>40003.789499999999</v>
      </c>
      <c r="M26" s="16">
        <f t="shared" si="3"/>
        <v>24900637.055140667</v>
      </c>
      <c r="N26" s="16">
        <v>0</v>
      </c>
    </row>
    <row r="27" spans="1:14" x14ac:dyDescent="0.25">
      <c r="A27" s="11">
        <v>45505</v>
      </c>
      <c r="B27" s="12"/>
      <c r="C27" s="8">
        <v>230149304</v>
      </c>
      <c r="D27" s="9">
        <v>927026.49</v>
      </c>
      <c r="E27" s="26">
        <f>1145413.5</f>
        <v>1145413.5</v>
      </c>
      <c r="F27" s="26">
        <f>1727494.5</f>
        <v>1727494.5</v>
      </c>
      <c r="G27" s="8">
        <f t="shared" si="0"/>
        <v>218387.01</v>
      </c>
      <c r="H27" s="8">
        <f t="shared" si="1"/>
        <v>800468.01</v>
      </c>
      <c r="I27" s="15">
        <v>0.21</v>
      </c>
      <c r="J27" s="15">
        <v>0.05</v>
      </c>
      <c r="K27" s="16">
        <f t="shared" si="4"/>
        <v>34127.702100000002</v>
      </c>
      <c r="L27" s="16">
        <f t="shared" si="5"/>
        <v>40003.730500000005</v>
      </c>
      <c r="M27" s="16">
        <f t="shared" si="3"/>
        <v>24974768.487740669</v>
      </c>
      <c r="N27" s="16">
        <v>0</v>
      </c>
    </row>
    <row r="28" spans="1:14" x14ac:dyDescent="0.25">
      <c r="A28" s="11">
        <v>45544</v>
      </c>
      <c r="B28" s="12"/>
      <c r="C28" s="8">
        <v>230149304</v>
      </c>
      <c r="D28" s="9">
        <v>927026</v>
      </c>
      <c r="E28" s="26">
        <f>1145413.68+2.22</f>
        <v>1145415.8999999999</v>
      </c>
      <c r="F28" s="26">
        <f>1727495.19+2.22</f>
        <v>1727497.41</v>
      </c>
      <c r="G28" s="8">
        <f t="shared" si="0"/>
        <v>218389.89999999991</v>
      </c>
      <c r="H28" s="8">
        <f t="shared" si="1"/>
        <v>800471.40999999992</v>
      </c>
      <c r="I28" s="15">
        <v>0.21</v>
      </c>
      <c r="J28" s="15">
        <v>0.05</v>
      </c>
      <c r="K28" s="16">
        <f>G28*I28-40024*I28-3328.74</f>
        <v>34128.09899999998</v>
      </c>
      <c r="L28" s="16">
        <f>H28*J28-19.67</f>
        <v>40003.900500000003</v>
      </c>
      <c r="M28" s="16">
        <f t="shared" si="3"/>
        <v>25048900.487240668</v>
      </c>
      <c r="N28" s="16">
        <v>0</v>
      </c>
    </row>
    <row r="29" spans="1:14" x14ac:dyDescent="0.25">
      <c r="A29" s="11">
        <v>45566</v>
      </c>
      <c r="B29" s="12"/>
      <c r="C29" s="8">
        <v>230149304</v>
      </c>
      <c r="D29" s="9">
        <v>927026</v>
      </c>
      <c r="E29" s="26">
        <f>1145413.68+2.22</f>
        <v>1145415.8999999999</v>
      </c>
      <c r="F29" s="26">
        <f>1727495.19+2.22</f>
        <v>1727497.41</v>
      </c>
      <c r="G29" s="8">
        <f t="shared" si="0"/>
        <v>218389.89999999991</v>
      </c>
      <c r="H29" s="8">
        <f t="shared" si="1"/>
        <v>800471.40999999992</v>
      </c>
      <c r="I29" s="15">
        <v>0.21</v>
      </c>
      <c r="J29" s="15">
        <v>0.05</v>
      </c>
      <c r="K29" s="16">
        <f>G29*I29-40024*I29-3328.74</f>
        <v>34128.09899999998</v>
      </c>
      <c r="L29" s="16">
        <f>H29*J29-19.67</f>
        <v>40003.900500000003</v>
      </c>
      <c r="M29" s="16">
        <f t="shared" si="3"/>
        <v>25123032.486740667</v>
      </c>
      <c r="N29" s="16">
        <v>0</v>
      </c>
    </row>
    <row r="30" spans="1:14" x14ac:dyDescent="0.25">
      <c r="A30" s="11">
        <v>45597</v>
      </c>
      <c r="B30" s="12"/>
      <c r="C30" s="8">
        <v>230149304</v>
      </c>
      <c r="D30" s="9">
        <v>927026.49</v>
      </c>
      <c r="E30" s="26">
        <f>1145412.5</f>
        <v>1145412.5</v>
      </c>
      <c r="F30" s="26">
        <f>1727493.5</f>
        <v>1727493.5</v>
      </c>
      <c r="G30" s="8">
        <f>E30-D30</f>
        <v>218386.01</v>
      </c>
      <c r="H30" s="8">
        <f>F30-D30</f>
        <v>800467.01</v>
      </c>
      <c r="I30" s="15">
        <v>0.21</v>
      </c>
      <c r="J30" s="15">
        <v>0.05</v>
      </c>
      <c r="K30" s="16">
        <f>G30*I30-40024*I30-3328.74</f>
        <v>34127.282100000004</v>
      </c>
      <c r="L30" s="16">
        <f>H30*J30-19.67</f>
        <v>40003.680500000002</v>
      </c>
      <c r="M30" s="16">
        <f t="shared" si="3"/>
        <v>25197163.449340668</v>
      </c>
      <c r="N30" s="16">
        <v>0</v>
      </c>
    </row>
    <row r="31" spans="1:14" x14ac:dyDescent="0.25">
      <c r="A31" s="11">
        <v>45627</v>
      </c>
      <c r="B31" s="12"/>
      <c r="C31" s="8">
        <v>230149304</v>
      </c>
      <c r="D31" s="9">
        <v>927026</v>
      </c>
      <c r="E31" s="26">
        <f>1145413.68+2.22</f>
        <v>1145415.8999999999</v>
      </c>
      <c r="F31" s="26">
        <f>1727495.19+2.22</f>
        <v>1727497.41</v>
      </c>
      <c r="G31" s="8">
        <f t="shared" si="0"/>
        <v>218389.89999999991</v>
      </c>
      <c r="H31" s="8">
        <f t="shared" si="1"/>
        <v>800471.40999999992</v>
      </c>
      <c r="I31" s="15">
        <v>0.21</v>
      </c>
      <c r="J31" s="15">
        <v>0.05</v>
      </c>
      <c r="K31" s="16">
        <f>G31*I31-40024*I31-3328.74</f>
        <v>34128.09899999998</v>
      </c>
      <c r="L31" s="16">
        <f>H31*J31-19.67</f>
        <v>40003.900500000003</v>
      </c>
      <c r="M31" s="16">
        <f t="shared" si="3"/>
        <v>25271295.448840667</v>
      </c>
      <c r="N31" s="16">
        <v>0</v>
      </c>
    </row>
    <row r="32" spans="1:14" x14ac:dyDescent="0.25">
      <c r="A32" s="11">
        <v>45658</v>
      </c>
      <c r="B32" s="12"/>
      <c r="C32" s="8">
        <v>230149304</v>
      </c>
      <c r="D32" s="9">
        <v>927026</v>
      </c>
      <c r="E32" s="26">
        <f>591477.53-3</f>
        <v>591474.53</v>
      </c>
      <c r="F32" s="26">
        <f>816931.91-3</f>
        <v>816928.91</v>
      </c>
      <c r="G32" s="8">
        <f>E32-D32</f>
        <v>-335551.47</v>
      </c>
      <c r="H32" s="8">
        <f>F32-D32</f>
        <v>-110097.08999999997</v>
      </c>
      <c r="I32" s="15">
        <v>0.21</v>
      </c>
      <c r="J32" s="15">
        <v>0.05</v>
      </c>
      <c r="K32" s="16">
        <f>G32*I32+5506*I32-3347.53</f>
        <v>-72657.078699999998</v>
      </c>
      <c r="L32" s="16">
        <f>H32*J32-20.07</f>
        <v>-5524.9244999999983</v>
      </c>
      <c r="M32" s="16">
        <f t="shared" si="3"/>
        <v>25193113.445640668</v>
      </c>
      <c r="N32" s="16">
        <v>0</v>
      </c>
    </row>
    <row r="33" spans="1:14" x14ac:dyDescent="0.25">
      <c r="A33" s="11">
        <v>45689</v>
      </c>
      <c r="B33" s="12"/>
      <c r="C33" s="8">
        <v>230149304</v>
      </c>
      <c r="D33" s="9">
        <v>927026</v>
      </c>
      <c r="E33" s="26">
        <f>591477.53</f>
        <v>591477.53</v>
      </c>
      <c r="F33" s="26">
        <f>816931.91</f>
        <v>816931.91</v>
      </c>
      <c r="G33" s="8">
        <f t="shared" si="0"/>
        <v>-335548.47</v>
      </c>
      <c r="H33" s="8">
        <f t="shared" si="1"/>
        <v>-110094.08999999997</v>
      </c>
      <c r="I33" s="15">
        <v>0.21</v>
      </c>
      <c r="J33" s="15">
        <v>0.05</v>
      </c>
      <c r="K33" s="16">
        <f>G33*I33+5506*I33-3347.53</f>
        <v>-72656.448699999994</v>
      </c>
      <c r="L33" s="16">
        <f>H33*J33-20.07</f>
        <v>-5524.7744999999986</v>
      </c>
      <c r="M33" s="16">
        <f t="shared" si="3"/>
        <v>25114932.222440667</v>
      </c>
      <c r="N33" s="16">
        <v>0</v>
      </c>
    </row>
    <row r="35" spans="1:14" x14ac:dyDescent="0.25">
      <c r="C35" s="28" t="s">
        <v>37</v>
      </c>
      <c r="D35" s="29"/>
      <c r="E35" s="29"/>
      <c r="F35" s="29"/>
      <c r="G35" s="26"/>
      <c r="H35" s="26"/>
      <c r="I35" s="26"/>
      <c r="J35" s="28"/>
      <c r="K35" s="28"/>
    </row>
    <row r="36" spans="1:14" x14ac:dyDescent="0.25">
      <c r="C36" s="28"/>
      <c r="D36" s="29"/>
      <c r="E36" s="29"/>
      <c r="F36" s="29"/>
      <c r="G36" s="26"/>
      <c r="H36" s="26"/>
      <c r="I36" s="26"/>
      <c r="J36" s="28"/>
      <c r="K36" s="28"/>
    </row>
    <row r="37" spans="1:14" x14ac:dyDescent="0.25">
      <c r="C37" s="30" t="s">
        <v>42</v>
      </c>
      <c r="D37" s="31"/>
      <c r="E37" s="31"/>
      <c r="F37" s="31"/>
      <c r="G37" s="31"/>
      <c r="H37" s="31"/>
      <c r="I37" s="31"/>
      <c r="J37" s="31"/>
      <c r="K37" s="31"/>
    </row>
    <row r="38" spans="1:14" x14ac:dyDescent="0.25">
      <c r="C38" s="30" t="s">
        <v>21</v>
      </c>
      <c r="D38" s="31"/>
      <c r="E38" s="31"/>
      <c r="F38" s="31"/>
      <c r="G38" s="31"/>
      <c r="H38" s="31"/>
      <c r="I38" s="31"/>
      <c r="J38" s="31"/>
      <c r="K38" s="31"/>
    </row>
    <row r="39" spans="1:14" x14ac:dyDescent="0.25">
      <c r="C39" s="30" t="s">
        <v>22</v>
      </c>
      <c r="D39" s="31"/>
      <c r="E39" s="31"/>
      <c r="F39" s="31"/>
      <c r="G39" s="31"/>
      <c r="H39" s="31"/>
      <c r="I39" s="31"/>
      <c r="J39" s="31"/>
      <c r="K39" s="31"/>
    </row>
    <row r="40" spans="1:14" x14ac:dyDescent="0.25">
      <c r="C40" s="28" t="s">
        <v>23</v>
      </c>
      <c r="D40" s="31"/>
      <c r="E40" s="31"/>
      <c r="F40" s="31"/>
      <c r="G40" s="31"/>
      <c r="H40" s="31"/>
      <c r="I40" s="31"/>
      <c r="J40" s="31"/>
      <c r="K40" s="31"/>
    </row>
    <row r="41" spans="1:14" x14ac:dyDescent="0.25">
      <c r="C41" s="12"/>
      <c r="D41" s="12"/>
      <c r="E41" s="12"/>
      <c r="F41" s="12"/>
      <c r="G41" s="12"/>
      <c r="H41" s="12"/>
      <c r="I41" s="12"/>
      <c r="J41" s="12"/>
      <c r="K41" s="12"/>
    </row>
    <row r="42" spans="1:14" x14ac:dyDescent="0.25">
      <c r="C42" s="28" t="s">
        <v>24</v>
      </c>
      <c r="D42" s="21" t="s">
        <v>25</v>
      </c>
      <c r="E42" s="19" t="s">
        <v>26</v>
      </c>
      <c r="F42" s="28" t="s">
        <v>27</v>
      </c>
      <c r="G42" s="33" t="s">
        <v>12</v>
      </c>
      <c r="H42" s="28" t="s">
        <v>28</v>
      </c>
      <c r="I42" s="31"/>
      <c r="J42" s="31"/>
      <c r="K42" s="31"/>
    </row>
    <row r="43" spans="1:14" x14ac:dyDescent="0.25">
      <c r="C43" s="28">
        <v>4378287</v>
      </c>
      <c r="D43" s="28">
        <v>927026</v>
      </c>
      <c r="E43" s="28">
        <f>3255.99+8139.97</f>
        <v>11395.96</v>
      </c>
      <c r="F43" s="28">
        <f>-D43+E43</f>
        <v>-915630.04</v>
      </c>
      <c r="G43" s="33">
        <v>0.21</v>
      </c>
      <c r="H43" s="28">
        <f>F43*G43</f>
        <v>-192282.30840000001</v>
      </c>
      <c r="I43" s="31"/>
      <c r="J43" s="31"/>
      <c r="K43" s="31"/>
    </row>
    <row r="44" spans="1:14" x14ac:dyDescent="0.25">
      <c r="C44" s="28">
        <v>1178248</v>
      </c>
      <c r="D44" s="28"/>
      <c r="E44" s="28">
        <f>888.01+2220.02</f>
        <v>3108.0299999999997</v>
      </c>
      <c r="F44" s="28">
        <f>-D44+E44</f>
        <v>3108.0299999999997</v>
      </c>
      <c r="G44" s="33">
        <v>0.21</v>
      </c>
      <c r="H44" s="28">
        <f t="shared" ref="H44:H49" si="6">F44*G44</f>
        <v>652.68629999999996</v>
      </c>
      <c r="I44" s="31"/>
      <c r="J44" s="31"/>
      <c r="K44" s="31"/>
    </row>
    <row r="45" spans="1:14" x14ac:dyDescent="0.25">
      <c r="C45" s="28">
        <v>527243</v>
      </c>
      <c r="D45" s="28"/>
      <c r="E45" s="28">
        <f>429.53+1073.82</f>
        <v>1503.35</v>
      </c>
      <c r="F45" s="28">
        <f>E45</f>
        <v>1503.35</v>
      </c>
      <c r="G45" s="33">
        <v>0.21</v>
      </c>
      <c r="H45" s="28">
        <f t="shared" si="6"/>
        <v>315.70349999999996</v>
      </c>
      <c r="I45" s="31"/>
      <c r="J45" s="31"/>
      <c r="K45" s="31"/>
    </row>
    <row r="46" spans="1:14" x14ac:dyDescent="0.25">
      <c r="C46" s="28">
        <v>110974612</v>
      </c>
      <c r="D46" s="28"/>
      <c r="E46" s="28">
        <v>316425.61</v>
      </c>
      <c r="F46" s="28">
        <f t="shared" ref="F46:F49" si="7">E46</f>
        <v>316425.61</v>
      </c>
      <c r="G46" s="33">
        <v>0.21</v>
      </c>
      <c r="H46" s="28">
        <f t="shared" si="6"/>
        <v>66449.378100000002</v>
      </c>
      <c r="I46" s="31"/>
      <c r="J46" s="31"/>
      <c r="K46" s="31"/>
    </row>
    <row r="47" spans="1:14" x14ac:dyDescent="0.25">
      <c r="C47" s="28">
        <v>3397057.0700000003</v>
      </c>
      <c r="D47" s="28"/>
      <c r="E47" s="28">
        <f>8492.64+2992.24+7480.6</f>
        <v>18965.48</v>
      </c>
      <c r="F47" s="28">
        <f t="shared" si="7"/>
        <v>18965.48</v>
      </c>
      <c r="G47" s="33">
        <v>0.21</v>
      </c>
      <c r="H47" s="28">
        <f t="shared" si="6"/>
        <v>3982.7507999999998</v>
      </c>
      <c r="I47" s="31"/>
      <c r="J47" s="31"/>
      <c r="K47" s="31"/>
    </row>
    <row r="48" spans="1:14" x14ac:dyDescent="0.25">
      <c r="C48" s="28">
        <v>6388511.0600000005</v>
      </c>
      <c r="D48" s="28"/>
      <c r="E48" s="28">
        <f>31942.56+5627.21+14068.03</f>
        <v>51637.8</v>
      </c>
      <c r="F48" s="28">
        <f t="shared" si="7"/>
        <v>51637.8</v>
      </c>
      <c r="G48" s="33">
        <v>0.21</v>
      </c>
      <c r="H48" s="28">
        <f t="shared" si="6"/>
        <v>10843.938</v>
      </c>
      <c r="I48" s="31"/>
      <c r="J48" s="31"/>
      <c r="K48" s="31"/>
    </row>
    <row r="49" spans="3:11" x14ac:dyDescent="0.25">
      <c r="C49" s="28">
        <v>20981002</v>
      </c>
      <c r="D49" s="28"/>
      <c r="E49" s="28">
        <f>104905.01+69920.94</f>
        <v>174825.95</v>
      </c>
      <c r="F49" s="28">
        <f t="shared" si="7"/>
        <v>174825.95</v>
      </c>
      <c r="G49" s="33">
        <v>0.21</v>
      </c>
      <c r="H49" s="28">
        <f t="shared" si="6"/>
        <v>36713.449500000002</v>
      </c>
      <c r="I49" s="31"/>
      <c r="J49" s="31"/>
      <c r="K49" s="31"/>
    </row>
    <row r="50" spans="3:11" ht="16.5" x14ac:dyDescent="0.35">
      <c r="C50" s="28">
        <f>459207+1071483</f>
        <v>1530690</v>
      </c>
      <c r="D50" s="28"/>
      <c r="E50" s="27">
        <f>7653.45+5961.91</f>
        <v>13615.36</v>
      </c>
      <c r="F50" s="27">
        <f>E50</f>
        <v>13615.36</v>
      </c>
      <c r="G50" s="33">
        <v>0.21</v>
      </c>
      <c r="H50" s="27">
        <f>F50*G50</f>
        <v>2859.2256000000002</v>
      </c>
      <c r="I50" s="31"/>
      <c r="J50" s="31"/>
      <c r="K50" s="31"/>
    </row>
    <row r="51" spans="3:11" x14ac:dyDescent="0.25">
      <c r="C51" s="31"/>
      <c r="D51" s="31"/>
      <c r="E51" s="28">
        <f>SUM(E43:E50)</f>
        <v>591477.53999999992</v>
      </c>
      <c r="F51" s="28">
        <f>SUM(F43:F50)</f>
        <v>-335548.46000000008</v>
      </c>
      <c r="G51" s="31" t="s">
        <v>29</v>
      </c>
      <c r="H51" s="28">
        <f>SUM(H43:H50)</f>
        <v>-70465.176600000006</v>
      </c>
      <c r="I51" s="31"/>
      <c r="J51" s="31"/>
      <c r="K51" s="31"/>
    </row>
    <row r="52" spans="3:11" ht="16.5" x14ac:dyDescent="0.35">
      <c r="C52" s="31"/>
      <c r="D52" s="31"/>
      <c r="E52" s="31"/>
      <c r="F52" s="31"/>
      <c r="G52" s="31" t="s">
        <v>30</v>
      </c>
      <c r="H52" s="27">
        <f>-H64*0.21</f>
        <v>1155.9880499999981</v>
      </c>
      <c r="I52" s="31"/>
      <c r="J52" s="31"/>
      <c r="K52" s="31"/>
    </row>
    <row r="53" spans="3:11" x14ac:dyDescent="0.25">
      <c r="C53" s="31"/>
      <c r="D53" s="31"/>
      <c r="E53" s="31"/>
      <c r="F53" s="31"/>
      <c r="G53" s="31"/>
      <c r="H53" s="28">
        <f>H51+H52</f>
        <v>-69309.188550000006</v>
      </c>
      <c r="I53" s="31"/>
      <c r="J53" s="31"/>
      <c r="K53" s="31"/>
    </row>
    <row r="54" spans="3:11" x14ac:dyDescent="0.25">
      <c r="C54" s="31"/>
      <c r="D54" s="31"/>
      <c r="E54" s="31"/>
      <c r="F54" s="31"/>
      <c r="G54" s="31"/>
      <c r="H54" s="28">
        <f>H53-K33</f>
        <v>3347.2601499999873</v>
      </c>
      <c r="I54" s="31" t="s">
        <v>31</v>
      </c>
      <c r="J54" s="31"/>
      <c r="K54" s="31"/>
    </row>
    <row r="55" spans="3:11" x14ac:dyDescent="0.25">
      <c r="C55" s="28" t="s">
        <v>32</v>
      </c>
      <c r="D55" s="18" t="s">
        <v>25</v>
      </c>
      <c r="E55" s="19" t="s">
        <v>33</v>
      </c>
      <c r="F55" s="28" t="s">
        <v>34</v>
      </c>
      <c r="G55" s="33" t="s">
        <v>13</v>
      </c>
      <c r="H55" s="28" t="s">
        <v>35</v>
      </c>
      <c r="I55" s="31"/>
      <c r="J55" s="31"/>
      <c r="K55" s="31"/>
    </row>
    <row r="56" spans="3:11" x14ac:dyDescent="0.25">
      <c r="C56" s="28">
        <v>8756574</v>
      </c>
      <c r="D56" s="28">
        <v>927026</v>
      </c>
      <c r="E56" s="28">
        <f>6511.97+16279.93</f>
        <v>22791.9</v>
      </c>
      <c r="F56" s="28">
        <f>-D56+E56</f>
        <v>-904234.1</v>
      </c>
      <c r="G56" s="33">
        <v>0.05</v>
      </c>
      <c r="H56" s="28">
        <f>F56*G56</f>
        <v>-45211.705000000002</v>
      </c>
      <c r="I56" s="31"/>
      <c r="J56" s="31"/>
      <c r="K56" s="31"/>
    </row>
    <row r="57" spans="3:11" x14ac:dyDescent="0.25">
      <c r="C57" s="28">
        <v>2356496</v>
      </c>
      <c r="D57" s="31"/>
      <c r="E57" s="28">
        <f>1776.01+4440.03</f>
        <v>6216.04</v>
      </c>
      <c r="F57" s="28">
        <f>E57</f>
        <v>6216.04</v>
      </c>
      <c r="G57" s="33">
        <v>0.05</v>
      </c>
      <c r="H57" s="28">
        <f t="shared" ref="H57:H62" si="8">F57*G57</f>
        <v>310.80200000000002</v>
      </c>
      <c r="I57" s="31"/>
      <c r="J57" s="31"/>
      <c r="K57" s="31"/>
    </row>
    <row r="58" spans="3:11" x14ac:dyDescent="0.25">
      <c r="C58" s="28">
        <v>527243</v>
      </c>
      <c r="D58" s="31"/>
      <c r="E58" s="28">
        <f>429.53+1073.82</f>
        <v>1503.35</v>
      </c>
      <c r="F58" s="28">
        <f t="shared" ref="F58:F62" si="9">E58</f>
        <v>1503.35</v>
      </c>
      <c r="G58" s="33">
        <v>0.05</v>
      </c>
      <c r="H58" s="28">
        <f t="shared" si="8"/>
        <v>75.167500000000004</v>
      </c>
      <c r="I58" s="31"/>
      <c r="J58" s="31"/>
      <c r="K58" s="31"/>
    </row>
    <row r="59" spans="3:11" x14ac:dyDescent="0.25">
      <c r="C59" s="28">
        <v>184957686</v>
      </c>
      <c r="D59" s="31"/>
      <c r="E59" s="28">
        <f>527376.02</f>
        <v>527376.02</v>
      </c>
      <c r="F59" s="28">
        <f t="shared" si="9"/>
        <v>527376.02</v>
      </c>
      <c r="G59" s="33">
        <v>0.05</v>
      </c>
      <c r="H59" s="28">
        <f t="shared" si="8"/>
        <v>26368.801000000003</v>
      </c>
      <c r="I59" s="31"/>
      <c r="J59" s="31"/>
      <c r="K59" s="31"/>
    </row>
    <row r="60" spans="3:11" x14ac:dyDescent="0.25">
      <c r="C60" s="28">
        <v>3397057.0700000003</v>
      </c>
      <c r="D60" s="31"/>
      <c r="E60" s="28">
        <f>8492.64+2992.24+7480.6</f>
        <v>18965.48</v>
      </c>
      <c r="F60" s="28">
        <f t="shared" si="9"/>
        <v>18965.48</v>
      </c>
      <c r="G60" s="33">
        <v>0.05</v>
      </c>
      <c r="H60" s="28">
        <f t="shared" si="8"/>
        <v>948.274</v>
      </c>
      <c r="I60" s="31"/>
      <c r="J60" s="31"/>
      <c r="K60" s="31"/>
    </row>
    <row r="61" spans="3:11" x14ac:dyDescent="0.25">
      <c r="C61" s="28">
        <v>6388511.0600000005</v>
      </c>
      <c r="D61" s="31"/>
      <c r="E61" s="28">
        <f>31942.56+5627.21+14068.03</f>
        <v>51637.8</v>
      </c>
      <c r="F61" s="28">
        <f t="shared" si="9"/>
        <v>51637.8</v>
      </c>
      <c r="G61" s="33">
        <v>0.05</v>
      </c>
      <c r="H61" s="28">
        <f t="shared" si="8"/>
        <v>2581.8900000000003</v>
      </c>
      <c r="I61" s="31"/>
      <c r="J61" s="31"/>
      <c r="K61" s="31"/>
    </row>
    <row r="62" spans="3:11" x14ac:dyDescent="0.25">
      <c r="C62" s="28">
        <v>20981002</v>
      </c>
      <c r="D62" s="31"/>
      <c r="E62" s="28">
        <f>104905.01+69920.94</f>
        <v>174825.95</v>
      </c>
      <c r="F62" s="28">
        <f t="shared" si="9"/>
        <v>174825.95</v>
      </c>
      <c r="G62" s="33">
        <v>0.05</v>
      </c>
      <c r="H62" s="28">
        <f t="shared" si="8"/>
        <v>8741.2975000000006</v>
      </c>
      <c r="I62" s="31"/>
      <c r="J62" s="31"/>
      <c r="K62" s="31"/>
    </row>
    <row r="63" spans="3:11" ht="16.5" x14ac:dyDescent="0.35">
      <c r="C63" s="28">
        <f>C50</f>
        <v>1530690</v>
      </c>
      <c r="D63" s="31"/>
      <c r="E63" s="27">
        <f>7653.45+5961.91</f>
        <v>13615.36</v>
      </c>
      <c r="F63" s="27">
        <f>E63</f>
        <v>13615.36</v>
      </c>
      <c r="G63" s="33">
        <v>0.05</v>
      </c>
      <c r="H63" s="27">
        <f>F63*G63</f>
        <v>680.76800000000003</v>
      </c>
      <c r="I63" s="31"/>
      <c r="J63" s="31"/>
      <c r="K63" s="31"/>
    </row>
    <row r="64" spans="3:11" x14ac:dyDescent="0.25">
      <c r="C64" s="31"/>
      <c r="D64" s="31"/>
      <c r="E64" s="28">
        <f>SUM(E56:E63)</f>
        <v>816931.9</v>
      </c>
      <c r="F64" s="28">
        <f>SUM(F56:F63)</f>
        <v>-110094.09999999996</v>
      </c>
      <c r="G64" s="31"/>
      <c r="H64" s="28">
        <f>SUM(H56:H63)</f>
        <v>-5504.7049999999908</v>
      </c>
      <c r="I64" s="31"/>
      <c r="J64" s="31"/>
      <c r="K64" s="31"/>
    </row>
    <row r="65" spans="3:11" x14ac:dyDescent="0.25">
      <c r="C65" s="31"/>
      <c r="D65" s="31"/>
      <c r="E65" s="31"/>
      <c r="F65" s="31"/>
      <c r="G65" s="31"/>
      <c r="H65" s="28">
        <f>H64-L33</f>
        <v>20.069500000007793</v>
      </c>
      <c r="I65" s="31" t="s">
        <v>39</v>
      </c>
      <c r="J65" s="31"/>
      <c r="K65" s="31"/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E104-9E63-43C7-A782-69533640E3E5}">
  <dimension ref="A1:N58"/>
  <sheetViews>
    <sheetView topLeftCell="A6" workbookViewId="0">
      <selection activeCell="M27" sqref="M27"/>
    </sheetView>
  </sheetViews>
  <sheetFormatPr defaultRowHeight="15" x14ac:dyDescent="0.25"/>
  <cols>
    <col min="1" max="1" width="11.28515625" customWidth="1"/>
    <col min="2" max="2" width="1.7109375" customWidth="1"/>
    <col min="3" max="3" width="13.42578125" customWidth="1"/>
    <col min="4" max="4" width="12.7109375" customWidth="1"/>
    <col min="5" max="5" width="15.85546875" customWidth="1"/>
    <col min="6" max="6" width="14.7109375" customWidth="1"/>
    <col min="7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43</v>
      </c>
      <c r="N4" s="3"/>
    </row>
    <row r="5" spans="1:14" x14ac:dyDescent="0.25">
      <c r="A5" s="25" t="s">
        <v>40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20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6">
        <v>4368160</v>
      </c>
      <c r="N9" s="12"/>
    </row>
    <row r="10" spans="1:14" x14ac:dyDescent="0.25">
      <c r="A10" s="11">
        <v>44994</v>
      </c>
      <c r="B10" s="12"/>
      <c r="C10" s="8">
        <v>44210372</v>
      </c>
      <c r="D10" s="9">
        <v>96526.49</v>
      </c>
      <c r="E10" s="9">
        <f>133776.51</f>
        <v>133776.51</v>
      </c>
      <c r="F10" s="9">
        <f>210356.02</f>
        <v>210356.02</v>
      </c>
      <c r="G10" s="26">
        <f t="shared" ref="G10:G13" si="0">E10-D10</f>
        <v>37250.020000000004</v>
      </c>
      <c r="H10" s="26">
        <f t="shared" ref="H10:H13" si="1">F10-D10</f>
        <v>113829.52999999998</v>
      </c>
      <c r="I10" s="15">
        <v>0.21</v>
      </c>
      <c r="J10" s="15">
        <v>0.05</v>
      </c>
      <c r="K10" s="16">
        <f>G10*I10-L10*I10-7.37</f>
        <v>6619.9241350000002</v>
      </c>
      <c r="L10" s="16">
        <f t="shared" ref="L10:L13" si="2">H10*J10</f>
        <v>5691.4764999999998</v>
      </c>
      <c r="M10" s="16">
        <f t="shared" ref="M10:M21" si="3">M9+K10+L10</f>
        <v>4380471.4006350003</v>
      </c>
      <c r="N10" s="16">
        <v>0</v>
      </c>
    </row>
    <row r="11" spans="1:14" x14ac:dyDescent="0.25">
      <c r="A11" s="11">
        <v>45017</v>
      </c>
      <c r="B11" s="12"/>
      <c r="C11" s="8">
        <v>44210372</v>
      </c>
      <c r="D11" s="9">
        <v>96526</v>
      </c>
      <c r="E11" s="9">
        <f>133776.51</f>
        <v>133776.51</v>
      </c>
      <c r="F11" s="9">
        <f>210356.02</f>
        <v>210356.02</v>
      </c>
      <c r="G11" s="26">
        <f t="shared" si="0"/>
        <v>37250.510000000009</v>
      </c>
      <c r="H11" s="26">
        <f t="shared" si="1"/>
        <v>113830.01999999999</v>
      </c>
      <c r="I11" s="15">
        <v>0.21</v>
      </c>
      <c r="J11" s="15">
        <v>0.05</v>
      </c>
      <c r="K11" s="16">
        <f>G11*I11-L11*I11-7.37</f>
        <v>6620.0218900000018</v>
      </c>
      <c r="L11" s="16">
        <f t="shared" si="2"/>
        <v>5691.5010000000002</v>
      </c>
      <c r="M11" s="16">
        <f t="shared" si="3"/>
        <v>4392782.9235250009</v>
      </c>
      <c r="N11" s="16">
        <v>0</v>
      </c>
    </row>
    <row r="12" spans="1:14" x14ac:dyDescent="0.25">
      <c r="A12" s="11">
        <v>45047</v>
      </c>
      <c r="B12" s="12"/>
      <c r="C12" s="8">
        <v>45463620</v>
      </c>
      <c r="D12" s="9">
        <v>97894</v>
      </c>
      <c r="E12" s="9">
        <f>139651.11-1197.77</f>
        <v>138453.34</v>
      </c>
      <c r="F12" s="9">
        <f>216230.62-1197.77</f>
        <v>215032.85</v>
      </c>
      <c r="G12" s="26">
        <f t="shared" si="0"/>
        <v>40559.339999999997</v>
      </c>
      <c r="H12" s="26">
        <f t="shared" si="1"/>
        <v>117138.85</v>
      </c>
      <c r="I12" s="15">
        <v>0.21</v>
      </c>
      <c r="J12" s="15">
        <v>0.05</v>
      </c>
      <c r="K12" s="16">
        <f>G12*I12-L12*I12-7.37</f>
        <v>7280.1334749999978</v>
      </c>
      <c r="L12" s="16">
        <f t="shared" si="2"/>
        <v>5856.942500000001</v>
      </c>
      <c r="M12" s="16">
        <f t="shared" si="3"/>
        <v>4405919.9995000008</v>
      </c>
      <c r="N12" s="16">
        <v>379810.06</v>
      </c>
    </row>
    <row r="13" spans="1:14" x14ac:dyDescent="0.25">
      <c r="A13" s="11">
        <v>45078</v>
      </c>
      <c r="B13" s="12"/>
      <c r="C13" s="8">
        <v>45463620</v>
      </c>
      <c r="D13" s="9">
        <v>99262</v>
      </c>
      <c r="E13" s="9">
        <f>139651.11+169.93</f>
        <v>139821.03999999998</v>
      </c>
      <c r="F13" s="9">
        <f>216230.62+169.93</f>
        <v>216400.55</v>
      </c>
      <c r="G13" s="26">
        <f t="shared" si="0"/>
        <v>40559.039999999979</v>
      </c>
      <c r="H13" s="26">
        <f t="shared" si="1"/>
        <v>117138.54999999999</v>
      </c>
      <c r="I13" s="15">
        <v>0.21</v>
      </c>
      <c r="J13" s="15">
        <v>0.05</v>
      </c>
      <c r="K13" s="16">
        <f>G13*I13-L13*I13-7.37</f>
        <v>7280.0736249999945</v>
      </c>
      <c r="L13" s="16">
        <f t="shared" si="2"/>
        <v>5856.9274999999998</v>
      </c>
      <c r="M13" s="16">
        <f t="shared" si="3"/>
        <v>4419057.0006250013</v>
      </c>
      <c r="N13" s="16">
        <v>379810.06</v>
      </c>
    </row>
    <row r="14" spans="1:14" x14ac:dyDescent="0.25">
      <c r="A14" s="11">
        <v>45108</v>
      </c>
      <c r="B14" s="12"/>
      <c r="C14" s="8">
        <v>45463620</v>
      </c>
      <c r="D14" s="9">
        <v>99262</v>
      </c>
      <c r="E14" s="9">
        <f>139651.11+169.93</f>
        <v>139821.03999999998</v>
      </c>
      <c r="F14" s="9">
        <f>216230.62+169.93</f>
        <v>216400.55</v>
      </c>
      <c r="G14" s="26">
        <f>E14-D14</f>
        <v>40559.039999999979</v>
      </c>
      <c r="H14" s="26">
        <f>F14-D14</f>
        <v>117138.54999999999</v>
      </c>
      <c r="I14" s="15">
        <v>0.21</v>
      </c>
      <c r="J14" s="15">
        <v>0.05</v>
      </c>
      <c r="K14" s="16">
        <f>G14*I14-L14*I14-7.37</f>
        <v>7280.0736249999945</v>
      </c>
      <c r="L14" s="16">
        <f>H14*J14</f>
        <v>5856.9274999999998</v>
      </c>
      <c r="M14" s="16">
        <f t="shared" si="3"/>
        <v>4432194.0017500017</v>
      </c>
      <c r="N14" s="16">
        <v>379810.06</v>
      </c>
    </row>
    <row r="15" spans="1:14" x14ac:dyDescent="0.25">
      <c r="A15" s="11">
        <v>45139</v>
      </c>
      <c r="B15" s="12"/>
      <c r="C15" s="8">
        <v>45463620</v>
      </c>
      <c r="D15" s="9">
        <v>99261.5</v>
      </c>
      <c r="E15" s="9">
        <f>139651.11+171</f>
        <v>139822.10999999999</v>
      </c>
      <c r="F15" s="9">
        <f>216230.62+171</f>
        <v>216401.62</v>
      </c>
      <c r="G15" s="26">
        <f>E15-D15</f>
        <v>40560.609999999986</v>
      </c>
      <c r="H15" s="26">
        <f>F15-D15</f>
        <v>117140.12</v>
      </c>
      <c r="I15" s="15">
        <v>0.21</v>
      </c>
      <c r="J15" s="15">
        <v>0.05</v>
      </c>
      <c r="K15" s="16">
        <f>G15*I15-L15*I15-7.25</f>
        <v>7280.5068399999964</v>
      </c>
      <c r="L15" s="16">
        <f>H15*J15</f>
        <v>5857.0060000000003</v>
      </c>
      <c r="M15" s="16">
        <f t="shared" si="3"/>
        <v>4445331.5145900017</v>
      </c>
      <c r="N15" s="16">
        <v>379810.06</v>
      </c>
    </row>
    <row r="16" spans="1:14" x14ac:dyDescent="0.25">
      <c r="A16" s="11">
        <v>45178</v>
      </c>
      <c r="B16" s="12"/>
      <c r="C16" s="8">
        <v>45463620</v>
      </c>
      <c r="D16" s="9">
        <v>99262</v>
      </c>
      <c r="E16" s="9">
        <f>139651.11271646+169.92</f>
        <v>139821.03271646</v>
      </c>
      <c r="F16" s="9">
        <f>216230.617217883+169.92</f>
        <v>216400.53721788301</v>
      </c>
      <c r="G16" s="26">
        <f t="shared" ref="G16:G19" si="4">E16-D16</f>
        <v>40559.032716460002</v>
      </c>
      <c r="H16" s="26">
        <f t="shared" ref="H16:H19" si="5">F16-D16</f>
        <v>117138.53721788301</v>
      </c>
      <c r="I16" s="15">
        <v>0.21</v>
      </c>
      <c r="J16" s="15">
        <v>0.05</v>
      </c>
      <c r="K16" s="16">
        <f>G16*I16-L16*I16-7.37</f>
        <v>7280.0722296688282</v>
      </c>
      <c r="L16" s="16">
        <f t="shared" ref="L16:L19" si="6">H16*J16</f>
        <v>5856.9268608941511</v>
      </c>
      <c r="M16" s="16">
        <f t="shared" si="3"/>
        <v>4458468.5136805642</v>
      </c>
      <c r="N16" s="16">
        <v>379810.06</v>
      </c>
    </row>
    <row r="17" spans="1:14" x14ac:dyDescent="0.25">
      <c r="A17" s="11">
        <v>45200</v>
      </c>
      <c r="B17" s="12"/>
      <c r="C17" s="8">
        <v>45463620</v>
      </c>
      <c r="D17" s="9">
        <v>99262</v>
      </c>
      <c r="E17" s="9">
        <f>139651.11271646+169.92</f>
        <v>139821.03271646</v>
      </c>
      <c r="F17" s="9">
        <f>216230.617217883+169.92</f>
        <v>216400.53721788301</v>
      </c>
      <c r="G17" s="26">
        <f t="shared" si="4"/>
        <v>40559.032716460002</v>
      </c>
      <c r="H17" s="26">
        <f t="shared" si="5"/>
        <v>117138.53721788301</v>
      </c>
      <c r="I17" s="15">
        <v>0.21</v>
      </c>
      <c r="J17" s="15">
        <v>0.05</v>
      </c>
      <c r="K17" s="16">
        <f>G17*I17-L17*I17-7.37</f>
        <v>7280.0722296688282</v>
      </c>
      <c r="L17" s="16">
        <f t="shared" si="6"/>
        <v>5856.9268608941511</v>
      </c>
      <c r="M17" s="16">
        <f t="shared" si="3"/>
        <v>4471605.5127711268</v>
      </c>
      <c r="N17" s="16">
        <v>379810.06</v>
      </c>
    </row>
    <row r="18" spans="1:14" x14ac:dyDescent="0.25">
      <c r="A18" s="11">
        <v>45231</v>
      </c>
      <c r="B18" s="12"/>
      <c r="C18" s="8">
        <v>45463620</v>
      </c>
      <c r="D18" s="9">
        <v>99262</v>
      </c>
      <c r="E18" s="9">
        <f>139651.11271646+169.92</f>
        <v>139821.03271646</v>
      </c>
      <c r="F18" s="9">
        <f>216230.617217883+169.92</f>
        <v>216400.53721788301</v>
      </c>
      <c r="G18" s="26">
        <f t="shared" si="4"/>
        <v>40559.032716460002</v>
      </c>
      <c r="H18" s="26">
        <f t="shared" si="5"/>
        <v>117138.53721788301</v>
      </c>
      <c r="I18" s="15">
        <v>0.21</v>
      </c>
      <c r="J18" s="15">
        <v>0.05</v>
      </c>
      <c r="K18" s="16">
        <f>G18*I18-L18*I18-7.37</f>
        <v>7280.0722296688282</v>
      </c>
      <c r="L18" s="16">
        <f t="shared" si="6"/>
        <v>5856.9268608941511</v>
      </c>
      <c r="M18" s="16">
        <f t="shared" si="3"/>
        <v>4484742.5118616894</v>
      </c>
      <c r="N18" s="16">
        <v>379810.06</v>
      </c>
    </row>
    <row r="19" spans="1:14" x14ac:dyDescent="0.25">
      <c r="A19" s="11">
        <v>45261</v>
      </c>
      <c r="B19" s="12"/>
      <c r="C19" s="8">
        <v>45463620</v>
      </c>
      <c r="D19" s="9">
        <v>99262</v>
      </c>
      <c r="E19" s="9">
        <f>139651.11271646+169.92</f>
        <v>139821.03271646</v>
      </c>
      <c r="F19" s="9">
        <f>216230.617217883+169.92</f>
        <v>216400.53721788301</v>
      </c>
      <c r="G19" s="26">
        <f t="shared" si="4"/>
        <v>40559.032716460002</v>
      </c>
      <c r="H19" s="26">
        <f t="shared" si="5"/>
        <v>117138.53721788301</v>
      </c>
      <c r="I19" s="15">
        <v>0.21</v>
      </c>
      <c r="J19" s="15">
        <v>0.05</v>
      </c>
      <c r="K19" s="16">
        <f>G19*I19-L19*I19-7.37</f>
        <v>7280.0722296688282</v>
      </c>
      <c r="L19" s="16">
        <f t="shared" si="6"/>
        <v>5856.9268608941511</v>
      </c>
      <c r="M19" s="16">
        <f t="shared" si="3"/>
        <v>4497879.510952252</v>
      </c>
      <c r="N19" s="16">
        <v>379810.06</v>
      </c>
    </row>
    <row r="20" spans="1:14" x14ac:dyDescent="0.25">
      <c r="A20" s="11">
        <v>45292</v>
      </c>
      <c r="B20" s="12"/>
      <c r="C20" s="8">
        <v>45463620</v>
      </c>
      <c r="D20" s="9">
        <v>99261.5</v>
      </c>
      <c r="E20" s="9">
        <f>132322.49</f>
        <v>132322.49</v>
      </c>
      <c r="F20" s="9">
        <f>203165.49</f>
        <v>203165.49</v>
      </c>
      <c r="G20" s="26">
        <f>E20-D20</f>
        <v>33060.989999999991</v>
      </c>
      <c r="H20" s="26">
        <f>F20-D20</f>
        <v>103903.98999999999</v>
      </c>
      <c r="I20" s="15">
        <v>0.21</v>
      </c>
      <c r="J20" s="15">
        <v>0.05</v>
      </c>
      <c r="K20" s="16">
        <f>G20*I20-L20*I20-15</f>
        <v>5836.8160049999979</v>
      </c>
      <c r="L20" s="16">
        <f>H20*J20</f>
        <v>5195.1994999999997</v>
      </c>
      <c r="M20" s="16">
        <f t="shared" si="3"/>
        <v>4508911.526457252</v>
      </c>
      <c r="N20" s="16">
        <v>379810.06</v>
      </c>
    </row>
    <row r="21" spans="1:14" x14ac:dyDescent="0.25">
      <c r="A21" s="11">
        <v>45323</v>
      </c>
      <c r="B21" s="12"/>
      <c r="C21" s="8">
        <v>45463620</v>
      </c>
      <c r="D21" s="9">
        <v>99262</v>
      </c>
      <c r="E21" s="9">
        <f>131293.79-1218.54</f>
        <v>130075.25000000001</v>
      </c>
      <c r="F21" s="9">
        <f>202136.23</f>
        <v>202136.23</v>
      </c>
      <c r="G21" s="26">
        <f>E21-D21</f>
        <v>30813.250000000015</v>
      </c>
      <c r="H21" s="26">
        <f>F21-D21</f>
        <v>102874.23000000001</v>
      </c>
      <c r="I21" s="15">
        <v>0.21</v>
      </c>
      <c r="J21" s="15">
        <v>0.05</v>
      </c>
      <c r="K21" s="16">
        <f>G21*I21-L21*I21-15.04</f>
        <v>5375.5630850000025</v>
      </c>
      <c r="L21" s="16">
        <f>H21*J21</f>
        <v>5143.7115000000013</v>
      </c>
      <c r="M21" s="16">
        <f t="shared" si="3"/>
        <v>4519430.8010422522</v>
      </c>
      <c r="N21" s="16">
        <v>379810.06</v>
      </c>
    </row>
    <row r="22" spans="1:14" x14ac:dyDescent="0.25">
      <c r="A22" s="11">
        <v>45360</v>
      </c>
      <c r="B22" s="12"/>
      <c r="C22" s="8">
        <v>45463620</v>
      </c>
      <c r="D22" s="9">
        <v>99262</v>
      </c>
      <c r="E22" s="9">
        <f>131293.79</f>
        <v>131293.79</v>
      </c>
      <c r="F22" s="9">
        <f>202136.23</f>
        <v>202136.23</v>
      </c>
      <c r="G22" s="26">
        <f t="shared" ref="G22:G25" si="7">E22-D22</f>
        <v>32031.790000000008</v>
      </c>
      <c r="H22" s="26">
        <f t="shared" ref="H22:H25" si="8">F22-D22</f>
        <v>102874.23000000001</v>
      </c>
      <c r="I22" s="15">
        <v>0.21</v>
      </c>
      <c r="J22" s="15">
        <v>0.05</v>
      </c>
      <c r="K22" s="16">
        <f t="shared" ref="K22:K27" si="9">G22*I22-L22*I22-15.04</f>
        <v>5631.4564850000006</v>
      </c>
      <c r="L22" s="16">
        <f t="shared" ref="L22:L25" si="10">H22*J22</f>
        <v>5143.7115000000013</v>
      </c>
      <c r="M22" s="16">
        <f t="shared" ref="M10:M33" si="11">M21+K22+L22</f>
        <v>4530205.9690272529</v>
      </c>
      <c r="N22" s="16">
        <v>379810.06</v>
      </c>
    </row>
    <row r="23" spans="1:14" x14ac:dyDescent="0.25">
      <c r="A23" s="11">
        <v>45383</v>
      </c>
      <c r="B23" s="12"/>
      <c r="C23" s="8">
        <v>45463620</v>
      </c>
      <c r="D23" s="9">
        <v>99262</v>
      </c>
      <c r="E23" s="9">
        <f>131293.79</f>
        <v>131293.79</v>
      </c>
      <c r="F23" s="9">
        <f t="shared" ref="F23:F27" si="12">202136.23</f>
        <v>202136.23</v>
      </c>
      <c r="G23" s="26">
        <f t="shared" si="7"/>
        <v>32031.790000000008</v>
      </c>
      <c r="H23" s="26">
        <f t="shared" si="8"/>
        <v>102874.23000000001</v>
      </c>
      <c r="I23" s="15">
        <v>0.21</v>
      </c>
      <c r="J23" s="15">
        <v>0.05</v>
      </c>
      <c r="K23" s="16">
        <f t="shared" si="9"/>
        <v>5631.4564850000006</v>
      </c>
      <c r="L23" s="16">
        <f t="shared" si="10"/>
        <v>5143.7115000000013</v>
      </c>
      <c r="M23" s="16">
        <f t="shared" si="11"/>
        <v>4540981.1370122535</v>
      </c>
      <c r="N23" s="16">
        <v>379810.06</v>
      </c>
    </row>
    <row r="24" spans="1:14" x14ac:dyDescent="0.25">
      <c r="A24" s="11">
        <v>45413</v>
      </c>
      <c r="B24" s="12"/>
      <c r="C24" s="8">
        <v>45463620</v>
      </c>
      <c r="D24" s="9">
        <v>99262.399999999994</v>
      </c>
      <c r="E24" s="9">
        <f>131293.79</f>
        <v>131293.79</v>
      </c>
      <c r="F24" s="9">
        <f t="shared" si="12"/>
        <v>202136.23</v>
      </c>
      <c r="G24" s="26">
        <f t="shared" si="7"/>
        <v>32031.390000000014</v>
      </c>
      <c r="H24" s="26">
        <f t="shared" si="8"/>
        <v>102873.83000000002</v>
      </c>
      <c r="I24" s="15">
        <v>0.21</v>
      </c>
      <c r="J24" s="15">
        <v>0.05</v>
      </c>
      <c r="K24" s="16">
        <f t="shared" si="9"/>
        <v>5631.3766850000029</v>
      </c>
      <c r="L24" s="16">
        <f t="shared" si="10"/>
        <v>5143.6915000000008</v>
      </c>
      <c r="M24" s="16">
        <f t="shared" si="11"/>
        <v>4551756.2051972533</v>
      </c>
      <c r="N24" s="16">
        <v>379810.06</v>
      </c>
    </row>
    <row r="25" spans="1:14" x14ac:dyDescent="0.25">
      <c r="A25" s="11">
        <v>45444</v>
      </c>
      <c r="B25" s="12"/>
      <c r="C25" s="8">
        <v>45463620</v>
      </c>
      <c r="D25" s="9">
        <v>99262.399999999994</v>
      </c>
      <c r="E25" s="9">
        <f>131293.79</f>
        <v>131293.79</v>
      </c>
      <c r="F25" s="9">
        <f t="shared" si="12"/>
        <v>202136.23</v>
      </c>
      <c r="G25" s="26">
        <f t="shared" si="7"/>
        <v>32031.390000000014</v>
      </c>
      <c r="H25" s="26">
        <f t="shared" si="8"/>
        <v>102873.83000000002</v>
      </c>
      <c r="I25" s="15">
        <v>0.21</v>
      </c>
      <c r="J25" s="15">
        <v>0.05</v>
      </c>
      <c r="K25" s="16">
        <f t="shared" si="9"/>
        <v>5631.3766850000029</v>
      </c>
      <c r="L25" s="16">
        <f t="shared" si="10"/>
        <v>5143.6915000000008</v>
      </c>
      <c r="M25" s="16">
        <f t="shared" si="11"/>
        <v>4562531.273382253</v>
      </c>
      <c r="N25" s="16">
        <v>379810.06</v>
      </c>
    </row>
    <row r="26" spans="1:14" x14ac:dyDescent="0.25">
      <c r="A26" s="11">
        <v>45474</v>
      </c>
      <c r="B26" s="12"/>
      <c r="C26" s="8">
        <v>45463620</v>
      </c>
      <c r="D26" s="9">
        <v>99262.399999999994</v>
      </c>
      <c r="E26" s="9">
        <f>131293.5</f>
        <v>131293.5</v>
      </c>
      <c r="F26" s="9">
        <f t="shared" si="12"/>
        <v>202136.23</v>
      </c>
      <c r="G26" s="26">
        <f>E26-D26</f>
        <v>32031.100000000006</v>
      </c>
      <c r="H26" s="26">
        <f>F26-D26</f>
        <v>102873.83000000002</v>
      </c>
      <c r="I26" s="15">
        <v>0.21</v>
      </c>
      <c r="J26" s="15">
        <v>0.05</v>
      </c>
      <c r="K26" s="16">
        <f t="shared" si="9"/>
        <v>5631.3157850000007</v>
      </c>
      <c r="L26" s="16">
        <f>H26*J26</f>
        <v>5143.6915000000008</v>
      </c>
      <c r="M26" s="16">
        <f t="shared" si="11"/>
        <v>4573306.2806672528</v>
      </c>
      <c r="N26" s="16">
        <v>379810.06</v>
      </c>
    </row>
    <row r="27" spans="1:14" x14ac:dyDescent="0.25">
      <c r="A27" s="11">
        <v>45505</v>
      </c>
      <c r="B27" s="12"/>
      <c r="C27" s="8">
        <v>45463620</v>
      </c>
      <c r="D27" s="9">
        <v>99262.399999999994</v>
      </c>
      <c r="E27" s="9">
        <f>131293.5</f>
        <v>131293.5</v>
      </c>
      <c r="F27" s="9">
        <f t="shared" si="12"/>
        <v>202136.23</v>
      </c>
      <c r="G27" s="26">
        <f>E27-D27</f>
        <v>32031.100000000006</v>
      </c>
      <c r="H27" s="26">
        <f>F27-D27</f>
        <v>102873.83000000002</v>
      </c>
      <c r="I27" s="15">
        <v>0.21</v>
      </c>
      <c r="J27" s="15">
        <v>0.05</v>
      </c>
      <c r="K27" s="16">
        <f t="shared" si="9"/>
        <v>5631.3157850000007</v>
      </c>
      <c r="L27" s="16">
        <f>H27*J27</f>
        <v>5143.6915000000008</v>
      </c>
      <c r="M27" s="16">
        <f t="shared" si="11"/>
        <v>4584081.2879522527</v>
      </c>
      <c r="N27" s="16">
        <v>379810.06</v>
      </c>
    </row>
    <row r="28" spans="1:14" x14ac:dyDescent="0.25">
      <c r="A28" s="11">
        <v>45544</v>
      </c>
      <c r="B28" s="12"/>
      <c r="C28" s="8">
        <v>45463620</v>
      </c>
      <c r="D28" s="9">
        <v>99262</v>
      </c>
      <c r="E28" s="9">
        <f>131293.79-0.67</f>
        <v>131293.12</v>
      </c>
      <c r="F28" s="9">
        <f>202136.23-0.67</f>
        <v>202135.56</v>
      </c>
      <c r="G28" s="26">
        <f t="shared" ref="G28:G31" si="13">E28-D28</f>
        <v>32031.119999999995</v>
      </c>
      <c r="H28" s="26">
        <f t="shared" ref="H28:H31" si="14">F28-D28</f>
        <v>102873.56</v>
      </c>
      <c r="I28" s="15">
        <v>0.21</v>
      </c>
      <c r="J28" s="15">
        <v>0.05</v>
      </c>
      <c r="K28" s="16">
        <f>G28*I28-L28*I28-15.04</f>
        <v>5631.3228199999985</v>
      </c>
      <c r="L28" s="16">
        <f t="shared" ref="L28:L31" si="15">H28*J28</f>
        <v>5143.6779999999999</v>
      </c>
      <c r="M28" s="16">
        <f t="shared" si="11"/>
        <v>4594856.2887722533</v>
      </c>
      <c r="N28" s="16">
        <v>379810.06</v>
      </c>
    </row>
    <row r="29" spans="1:14" x14ac:dyDescent="0.25">
      <c r="A29" s="11">
        <v>45566</v>
      </c>
      <c r="B29" s="12"/>
      <c r="C29" s="8">
        <v>45463620</v>
      </c>
      <c r="D29" s="9">
        <v>99262</v>
      </c>
      <c r="E29" s="9">
        <f>131293.79-0.67</f>
        <v>131293.12</v>
      </c>
      <c r="F29" s="9">
        <f>202136.23-0.67</f>
        <v>202135.56</v>
      </c>
      <c r="G29" s="26">
        <f t="shared" si="13"/>
        <v>32031.119999999995</v>
      </c>
      <c r="H29" s="26">
        <f t="shared" si="14"/>
        <v>102873.56</v>
      </c>
      <c r="I29" s="15">
        <v>0.21</v>
      </c>
      <c r="J29" s="15">
        <v>0.05</v>
      </c>
      <c r="K29" s="16">
        <f>G29*I29-L29*I29-15.04</f>
        <v>5631.3228199999985</v>
      </c>
      <c r="L29" s="16">
        <f t="shared" si="15"/>
        <v>5143.6779999999999</v>
      </c>
      <c r="M29" s="16">
        <f t="shared" si="11"/>
        <v>4605631.289592254</v>
      </c>
      <c r="N29" s="16">
        <v>379810.06</v>
      </c>
    </row>
    <row r="30" spans="1:14" x14ac:dyDescent="0.25">
      <c r="A30" s="11">
        <v>45597</v>
      </c>
      <c r="B30" s="12"/>
      <c r="C30" s="8">
        <v>45463620</v>
      </c>
      <c r="D30" s="9">
        <v>99261.5</v>
      </c>
      <c r="E30" s="9">
        <f>131294.49</f>
        <v>131294.49</v>
      </c>
      <c r="F30" s="9">
        <f>202137.49</f>
        <v>202137.49</v>
      </c>
      <c r="G30" s="26">
        <f t="shared" si="13"/>
        <v>32032.989999999991</v>
      </c>
      <c r="H30" s="26">
        <f t="shared" si="14"/>
        <v>102875.98999999999</v>
      </c>
      <c r="I30" s="15">
        <v>0.21</v>
      </c>
      <c r="J30" s="15">
        <v>0.05</v>
      </c>
      <c r="K30" s="16">
        <f>G30*I30-L30*I30-15.03</f>
        <v>5631.7000049999979</v>
      </c>
      <c r="L30" s="16">
        <f t="shared" si="15"/>
        <v>5143.7995000000001</v>
      </c>
      <c r="M30" s="16">
        <f t="shared" si="11"/>
        <v>4616406.7890972542</v>
      </c>
      <c r="N30" s="16">
        <v>379810.06</v>
      </c>
    </row>
    <row r="31" spans="1:14" x14ac:dyDescent="0.25">
      <c r="A31" s="11">
        <v>45627</v>
      </c>
      <c r="B31" s="12"/>
      <c r="C31" s="8">
        <v>45463620</v>
      </c>
      <c r="D31" s="9">
        <v>99262</v>
      </c>
      <c r="E31" s="9">
        <f>131293.79-0.67</f>
        <v>131293.12</v>
      </c>
      <c r="F31" s="9">
        <f>202136.23-0.67</f>
        <v>202135.56</v>
      </c>
      <c r="G31" s="26">
        <f t="shared" si="13"/>
        <v>32031.119999999995</v>
      </c>
      <c r="H31" s="26">
        <f t="shared" si="14"/>
        <v>102873.56</v>
      </c>
      <c r="I31" s="15">
        <v>0.21</v>
      </c>
      <c r="J31" s="15">
        <v>0.05</v>
      </c>
      <c r="K31" s="16">
        <f>G31*I31-L31*I31-15.04</f>
        <v>5631.3228199999985</v>
      </c>
      <c r="L31" s="16">
        <f t="shared" si="15"/>
        <v>5143.6779999999999</v>
      </c>
      <c r="M31" s="16">
        <f t="shared" si="11"/>
        <v>4627181.7899172548</v>
      </c>
      <c r="N31" s="16">
        <v>379810.06</v>
      </c>
    </row>
    <row r="32" spans="1:14" x14ac:dyDescent="0.25">
      <c r="A32" s="11">
        <v>45658</v>
      </c>
      <c r="B32" s="12"/>
      <c r="C32" s="8">
        <v>45463620</v>
      </c>
      <c r="D32" s="9">
        <v>99262.49</v>
      </c>
      <c r="E32" s="9">
        <f>121475.5</f>
        <v>121475.5</v>
      </c>
      <c r="F32" s="9">
        <f>187040.5</f>
        <v>187040.5</v>
      </c>
      <c r="G32" s="26">
        <f>E32-D32</f>
        <v>22213.009999999995</v>
      </c>
      <c r="H32" s="26">
        <f>F32-D32</f>
        <v>87778.01</v>
      </c>
      <c r="I32" s="15">
        <v>0.21</v>
      </c>
      <c r="J32" s="15">
        <v>0.05</v>
      </c>
      <c r="K32" s="16">
        <f>G32*I32-L32*I32-16.29</f>
        <v>3726.7729949999984</v>
      </c>
      <c r="L32" s="16">
        <f>H32*J32</f>
        <v>4388.9004999999997</v>
      </c>
      <c r="M32" s="16">
        <f t="shared" si="11"/>
        <v>4635297.463412255</v>
      </c>
      <c r="N32" s="16">
        <v>379810.06</v>
      </c>
    </row>
    <row r="33" spans="1:14" x14ac:dyDescent="0.25">
      <c r="A33" s="11">
        <v>45689</v>
      </c>
      <c r="B33" s="12"/>
      <c r="C33" s="8">
        <v>45463620</v>
      </c>
      <c r="D33" s="9">
        <v>99262</v>
      </c>
      <c r="E33" s="9">
        <f>121475.71</f>
        <v>121475.71</v>
      </c>
      <c r="F33" s="9">
        <f>187040.78</f>
        <v>187040.78</v>
      </c>
      <c r="G33" s="26">
        <f>E33-D33</f>
        <v>22213.710000000006</v>
      </c>
      <c r="H33" s="26">
        <f>F33-D33</f>
        <v>87778.78</v>
      </c>
      <c r="I33" s="15">
        <v>0.21</v>
      </c>
      <c r="J33" s="15">
        <v>0.05</v>
      </c>
      <c r="K33" s="16">
        <f>G33*I33-L33*I33-16.29</f>
        <v>3726.9119100000012</v>
      </c>
      <c r="L33" s="16">
        <f>H33*J33</f>
        <v>4388.9390000000003</v>
      </c>
      <c r="M33" s="16">
        <f t="shared" si="11"/>
        <v>4643413.3143222556</v>
      </c>
      <c r="N33" s="16">
        <v>379810.06</v>
      </c>
    </row>
    <row r="35" spans="1:14" x14ac:dyDescent="0.25">
      <c r="C35" s="8" t="s">
        <v>19</v>
      </c>
      <c r="D35" s="9"/>
      <c r="E35" s="9"/>
      <c r="F35" s="9"/>
      <c r="G35" s="26"/>
      <c r="H35" s="26"/>
      <c r="I35" s="26"/>
      <c r="J35" s="8"/>
      <c r="K35" s="8"/>
    </row>
    <row r="36" spans="1:14" x14ac:dyDescent="0.25">
      <c r="C36" s="8"/>
      <c r="D36" s="9"/>
      <c r="E36" s="9"/>
      <c r="F36" s="9"/>
      <c r="G36" s="26"/>
      <c r="H36" s="26"/>
      <c r="I36" s="26"/>
      <c r="J36" s="8"/>
      <c r="K36" s="8"/>
    </row>
    <row r="37" spans="1:14" x14ac:dyDescent="0.25">
      <c r="C37" s="30" t="s">
        <v>45</v>
      </c>
      <c r="D37" s="18"/>
      <c r="E37" s="18"/>
      <c r="F37" s="18"/>
      <c r="G37" s="19"/>
      <c r="H37" s="19"/>
      <c r="I37" s="31"/>
      <c r="J37" s="31"/>
      <c r="K37" s="31"/>
    </row>
    <row r="38" spans="1:14" x14ac:dyDescent="0.25">
      <c r="C38" s="30" t="s">
        <v>21</v>
      </c>
      <c r="D38" s="18"/>
      <c r="E38" s="18"/>
      <c r="F38" s="18"/>
      <c r="G38" s="19"/>
      <c r="H38" s="19"/>
      <c r="I38" s="31"/>
      <c r="J38" s="31"/>
      <c r="K38" s="31"/>
    </row>
    <row r="39" spans="1:14" x14ac:dyDescent="0.25">
      <c r="C39" s="30" t="s">
        <v>22</v>
      </c>
      <c r="D39" s="18"/>
      <c r="E39" s="18"/>
      <c r="F39" s="18"/>
      <c r="G39" s="19"/>
      <c r="H39" s="19"/>
      <c r="I39" s="31"/>
      <c r="J39" s="31"/>
      <c r="K39" s="31"/>
    </row>
    <row r="40" spans="1:14" x14ac:dyDescent="0.25">
      <c r="C40" s="28" t="s">
        <v>23</v>
      </c>
      <c r="D40" s="18"/>
      <c r="E40" s="18"/>
      <c r="F40" s="18"/>
      <c r="G40" s="19"/>
      <c r="H40" s="19"/>
      <c r="I40" s="31"/>
      <c r="J40" s="31"/>
      <c r="K40" s="31"/>
    </row>
    <row r="41" spans="1:14" x14ac:dyDescent="0.25">
      <c r="C41" s="32"/>
      <c r="D41" s="18"/>
      <c r="E41" s="18"/>
      <c r="F41" s="18"/>
      <c r="G41" s="18"/>
      <c r="H41" s="18"/>
      <c r="I41" s="31"/>
      <c r="J41" s="31"/>
      <c r="K41" s="31"/>
    </row>
    <row r="42" spans="1:14" x14ac:dyDescent="0.25">
      <c r="C42" s="28" t="s">
        <v>24</v>
      </c>
      <c r="D42" s="21" t="s">
        <v>25</v>
      </c>
      <c r="E42" s="19" t="s">
        <v>26</v>
      </c>
      <c r="F42" s="28" t="s">
        <v>27</v>
      </c>
      <c r="G42" s="33" t="s">
        <v>12</v>
      </c>
      <c r="H42" s="28" t="s">
        <v>28</v>
      </c>
      <c r="I42" s="31"/>
      <c r="J42" s="31"/>
      <c r="K42" s="31"/>
    </row>
    <row r="43" spans="1:14" x14ac:dyDescent="0.25">
      <c r="C43" s="28">
        <v>189606.505</v>
      </c>
      <c r="D43" s="28">
        <v>99262</v>
      </c>
      <c r="E43" s="28">
        <v>705.02</v>
      </c>
      <c r="F43" s="28">
        <f>-D43+E43</f>
        <v>-98556.98</v>
      </c>
      <c r="G43" s="33">
        <v>0.21</v>
      </c>
      <c r="H43" s="28">
        <f>F43*G43</f>
        <v>-20696.965799999998</v>
      </c>
      <c r="I43" s="31"/>
      <c r="J43" s="31"/>
      <c r="K43" s="31"/>
    </row>
    <row r="44" spans="1:14" x14ac:dyDescent="0.25">
      <c r="C44" s="28">
        <v>27735645</v>
      </c>
      <c r="D44" s="28"/>
      <c r="E44" s="28">
        <v>112976.53</v>
      </c>
      <c r="F44" s="28">
        <f>E44</f>
        <v>112976.53</v>
      </c>
      <c r="G44" s="33">
        <v>0.21</v>
      </c>
      <c r="H44" s="28">
        <f>F44*G44</f>
        <v>23725.0713</v>
      </c>
      <c r="I44" s="31"/>
      <c r="J44" s="31"/>
      <c r="K44" s="31"/>
    </row>
    <row r="45" spans="1:14" x14ac:dyDescent="0.25">
      <c r="C45" s="28">
        <v>172425</v>
      </c>
      <c r="D45" s="28"/>
      <c r="E45" s="28">
        <v>820.89</v>
      </c>
      <c r="F45" s="28">
        <f>E45</f>
        <v>820.89</v>
      </c>
      <c r="G45" s="33">
        <v>0.21</v>
      </c>
      <c r="H45" s="28">
        <f>F45*G45</f>
        <v>172.3869</v>
      </c>
      <c r="I45" s="31"/>
      <c r="J45" s="31"/>
      <c r="K45" s="31"/>
    </row>
    <row r="46" spans="1:14" ht="16.5" x14ac:dyDescent="0.35">
      <c r="C46" s="28">
        <v>1253248</v>
      </c>
      <c r="D46" s="28"/>
      <c r="E46" s="27">
        <v>6973.28</v>
      </c>
      <c r="F46" s="27">
        <f>E46</f>
        <v>6973.28</v>
      </c>
      <c r="G46" s="33">
        <v>0.21</v>
      </c>
      <c r="H46" s="27">
        <f>F46*G46</f>
        <v>1464.3887999999999</v>
      </c>
      <c r="I46" s="31"/>
      <c r="J46" s="31"/>
      <c r="K46" s="31"/>
    </row>
    <row r="47" spans="1:14" x14ac:dyDescent="0.25">
      <c r="C47" s="28"/>
      <c r="D47" s="28"/>
      <c r="E47" s="28">
        <f>SUM(E43:E46)</f>
        <v>121475.72</v>
      </c>
      <c r="F47" s="28">
        <f>SUM(F43:F46)</f>
        <v>22213.72</v>
      </c>
      <c r="G47" s="33" t="s">
        <v>29</v>
      </c>
      <c r="H47" s="28">
        <f>SUM(H43:H46)</f>
        <v>4664.8812000000016</v>
      </c>
      <c r="I47" s="31"/>
      <c r="J47" s="31"/>
      <c r="K47" s="31"/>
    </row>
    <row r="48" spans="1:14" ht="16.5" x14ac:dyDescent="0.35">
      <c r="C48" s="28"/>
      <c r="D48" s="28"/>
      <c r="E48" s="28"/>
      <c r="F48" s="28"/>
      <c r="G48" s="31" t="s">
        <v>30</v>
      </c>
      <c r="H48" s="27">
        <f>-H56*0.21</f>
        <v>-921.67729499999962</v>
      </c>
      <c r="I48" s="31"/>
      <c r="J48" s="31"/>
      <c r="K48" s="31"/>
    </row>
    <row r="49" spans="3:11" x14ac:dyDescent="0.25">
      <c r="C49" s="31"/>
      <c r="D49" s="31"/>
      <c r="E49" s="31"/>
      <c r="F49" s="31"/>
      <c r="G49" s="31"/>
      <c r="H49" s="28">
        <f>H47+H48</f>
        <v>3743.2039050000021</v>
      </c>
      <c r="I49" s="31"/>
      <c r="J49" s="31"/>
      <c r="K49" s="31"/>
    </row>
    <row r="50" spans="3:11" x14ac:dyDescent="0.25">
      <c r="C50" s="31"/>
      <c r="D50" s="31"/>
      <c r="E50" s="31"/>
      <c r="F50" s="31"/>
      <c r="G50" s="31"/>
      <c r="H50" s="28">
        <f>H49-K33</f>
        <v>16.291995000000952</v>
      </c>
      <c r="I50" s="22" t="s">
        <v>31</v>
      </c>
      <c r="J50" s="31"/>
      <c r="K50" s="31"/>
    </row>
    <row r="51" spans="3:11" x14ac:dyDescent="0.25">
      <c r="C51" s="28" t="s">
        <v>32</v>
      </c>
      <c r="D51" s="18" t="s">
        <v>25</v>
      </c>
      <c r="E51" s="19" t="s">
        <v>33</v>
      </c>
      <c r="F51" s="28" t="s">
        <v>34</v>
      </c>
      <c r="G51" s="33" t="s">
        <v>13</v>
      </c>
      <c r="H51" s="28" t="s">
        <v>35</v>
      </c>
      <c r="I51" s="31"/>
      <c r="J51" s="31"/>
      <c r="K51" s="31"/>
    </row>
    <row r="52" spans="3:11" x14ac:dyDescent="0.25">
      <c r="C52" s="28">
        <v>379213.01</v>
      </c>
      <c r="D52" s="28">
        <v>99262</v>
      </c>
      <c r="E52" s="28">
        <v>1410.04</v>
      </c>
      <c r="F52" s="28">
        <f>-D52+E52</f>
        <v>-97851.96</v>
      </c>
      <c r="G52" s="33">
        <v>0.05</v>
      </c>
      <c r="H52" s="28">
        <f>F52*G52</f>
        <v>-4892.5980000000009</v>
      </c>
      <c r="I52" s="31"/>
      <c r="J52" s="31"/>
      <c r="K52" s="31"/>
    </row>
    <row r="53" spans="3:11" x14ac:dyDescent="0.25">
      <c r="C53" s="28">
        <v>43658734</v>
      </c>
      <c r="D53" s="28"/>
      <c r="E53" s="28">
        <v>177836.58</v>
      </c>
      <c r="F53" s="28">
        <f>E53</f>
        <v>177836.58</v>
      </c>
      <c r="G53" s="33">
        <v>0.05</v>
      </c>
      <c r="H53" s="28">
        <f>F53*G53</f>
        <v>8891.8289999999997</v>
      </c>
      <c r="I53" s="31"/>
      <c r="J53" s="31"/>
      <c r="K53" s="31"/>
    </row>
    <row r="54" spans="3:11" x14ac:dyDescent="0.25">
      <c r="C54" s="28">
        <v>172425</v>
      </c>
      <c r="D54" s="28"/>
      <c r="E54" s="28">
        <v>820.89</v>
      </c>
      <c r="F54" s="28">
        <f>E54</f>
        <v>820.89</v>
      </c>
      <c r="G54" s="33">
        <v>0.05</v>
      </c>
      <c r="H54" s="28">
        <f>F54*G54</f>
        <v>41.044499999999999</v>
      </c>
      <c r="I54" s="31"/>
      <c r="J54" s="31"/>
      <c r="K54" s="31"/>
    </row>
    <row r="55" spans="3:11" ht="16.5" x14ac:dyDescent="0.35">
      <c r="C55" s="28">
        <f>C46</f>
        <v>1253248</v>
      </c>
      <c r="D55" s="28"/>
      <c r="E55" s="27">
        <v>6973.28</v>
      </c>
      <c r="F55" s="27">
        <f>E55</f>
        <v>6973.28</v>
      </c>
      <c r="G55" s="33">
        <v>0.05</v>
      </c>
      <c r="H55" s="27">
        <f>F55*G55</f>
        <v>348.66399999999999</v>
      </c>
      <c r="I55" s="31"/>
      <c r="J55" s="31"/>
      <c r="K55" s="31"/>
    </row>
    <row r="56" spans="3:11" x14ac:dyDescent="0.25">
      <c r="C56" s="28"/>
      <c r="D56" s="28"/>
      <c r="E56" s="28">
        <f>SUM(E52:E55)</f>
        <v>187040.79</v>
      </c>
      <c r="F56" s="28">
        <f>SUM(F52:F55)</f>
        <v>87778.789999999979</v>
      </c>
      <c r="G56" s="31"/>
      <c r="H56" s="28">
        <f>SUM(H52:H55)</f>
        <v>4388.9394999999986</v>
      </c>
      <c r="I56" s="31"/>
      <c r="J56" s="31"/>
      <c r="K56" s="31"/>
    </row>
    <row r="57" spans="3:11" x14ac:dyDescent="0.25">
      <c r="C57" s="28"/>
      <c r="D57" s="28"/>
      <c r="E57" s="28"/>
      <c r="F57" s="28"/>
      <c r="G57" s="33"/>
      <c r="H57" s="28">
        <f>H56-L33</f>
        <v>4.99999998282874E-4</v>
      </c>
      <c r="I57" s="31"/>
      <c r="J57" s="31"/>
      <c r="K57" s="31"/>
    </row>
    <row r="58" spans="3:11" x14ac:dyDescent="0.25">
      <c r="C58" s="12"/>
      <c r="D58" s="12"/>
      <c r="E58" s="12"/>
      <c r="F58" s="12"/>
      <c r="G58" s="12"/>
      <c r="H58" s="12"/>
      <c r="I58" s="12"/>
      <c r="J58" s="12"/>
      <c r="K58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E49A-D57C-42A5-A06E-DB50F3A8240C}">
  <dimension ref="A1:N33"/>
  <sheetViews>
    <sheetView workbookViewId="0">
      <selection activeCell="M27" sqref="M27"/>
    </sheetView>
  </sheetViews>
  <sheetFormatPr defaultRowHeight="15" x14ac:dyDescent="0.25"/>
  <cols>
    <col min="1" max="1" width="11.28515625" customWidth="1"/>
    <col min="2" max="2" width="1.7109375" customWidth="1"/>
    <col min="3" max="3" width="13.42578125" customWidth="1"/>
    <col min="4" max="4" width="12.7109375" customWidth="1"/>
    <col min="5" max="5" width="15.85546875" customWidth="1"/>
    <col min="6" max="6" width="14.7109375" customWidth="1"/>
    <col min="7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43</v>
      </c>
      <c r="N4" s="3"/>
    </row>
    <row r="5" spans="1:14" x14ac:dyDescent="0.25">
      <c r="A5" s="25" t="s">
        <v>46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20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6">
        <v>116802</v>
      </c>
      <c r="N9" s="12"/>
    </row>
    <row r="10" spans="1:14" x14ac:dyDescent="0.25">
      <c r="A10" s="11">
        <v>44994</v>
      </c>
      <c r="B10" s="12"/>
      <c r="C10" s="8">
        <v>5281150</v>
      </c>
      <c r="D10" s="9">
        <v>20585</v>
      </c>
      <c r="E10" s="9">
        <f>46272.88-725.96</f>
        <v>45546.92</v>
      </c>
      <c r="F10" s="9">
        <f>46272.88-725.96</f>
        <v>45546.92</v>
      </c>
      <c r="G10" s="26">
        <f t="shared" ref="G10:G13" si="0">E10-D10</f>
        <v>24961.919999999998</v>
      </c>
      <c r="H10" s="26">
        <f t="shared" ref="H10:H13" si="1">F10-D10</f>
        <v>24961.919999999998</v>
      </c>
      <c r="I10" s="15">
        <v>0.21</v>
      </c>
      <c r="J10" s="15">
        <v>0.05</v>
      </c>
      <c r="K10" s="16">
        <f t="shared" ref="K10:K13" si="2">G10*I10-L10*I10</f>
        <v>4979.9030399999992</v>
      </c>
      <c r="L10" s="16">
        <f t="shared" ref="L10:L13" si="3">H10*J10</f>
        <v>1248.096</v>
      </c>
      <c r="M10" s="16">
        <f t="shared" ref="M10:M33" si="4">M9+K10+L10</f>
        <v>123029.99904000001</v>
      </c>
      <c r="N10" s="16">
        <v>0</v>
      </c>
    </row>
    <row r="11" spans="1:14" x14ac:dyDescent="0.25">
      <c r="A11" s="11">
        <v>45017</v>
      </c>
      <c r="B11" s="12"/>
      <c r="C11" s="8">
        <v>5281150</v>
      </c>
      <c r="D11" s="9">
        <v>21389</v>
      </c>
      <c r="E11" s="9">
        <f>46272.88+82.06</f>
        <v>46354.939999999995</v>
      </c>
      <c r="F11" s="9">
        <f>46272.88+82.06</f>
        <v>46354.939999999995</v>
      </c>
      <c r="G11" s="26">
        <f t="shared" si="0"/>
        <v>24965.939999999995</v>
      </c>
      <c r="H11" s="26">
        <f t="shared" si="1"/>
        <v>24965.939999999995</v>
      </c>
      <c r="I11" s="15">
        <v>0.21</v>
      </c>
      <c r="J11" s="15">
        <v>0.05</v>
      </c>
      <c r="K11" s="16">
        <f t="shared" si="2"/>
        <v>4980.7050299999992</v>
      </c>
      <c r="L11" s="16">
        <f t="shared" si="3"/>
        <v>1248.2969999999998</v>
      </c>
      <c r="M11" s="16">
        <f t="shared" si="4"/>
        <v>129259.00107000001</v>
      </c>
      <c r="N11" s="16">
        <v>0</v>
      </c>
    </row>
    <row r="12" spans="1:14" x14ac:dyDescent="0.25">
      <c r="A12" s="11">
        <v>45047</v>
      </c>
      <c r="B12" s="12"/>
      <c r="C12" s="8">
        <v>5281150</v>
      </c>
      <c r="D12" s="9">
        <v>21389</v>
      </c>
      <c r="E12" s="9">
        <f>46272.88+82.05</f>
        <v>46354.93</v>
      </c>
      <c r="F12" s="9">
        <f>46272.88+82.05</f>
        <v>46354.93</v>
      </c>
      <c r="G12" s="26">
        <f t="shared" si="0"/>
        <v>24965.93</v>
      </c>
      <c r="H12" s="26">
        <f t="shared" si="1"/>
        <v>24965.93</v>
      </c>
      <c r="I12" s="15">
        <v>0.21</v>
      </c>
      <c r="J12" s="15">
        <v>0.05</v>
      </c>
      <c r="K12" s="16">
        <f t="shared" si="2"/>
        <v>4980.7030349999995</v>
      </c>
      <c r="L12" s="16">
        <f t="shared" si="3"/>
        <v>1248.2965000000002</v>
      </c>
      <c r="M12" s="16">
        <f t="shared" si="4"/>
        <v>135488.00060500001</v>
      </c>
      <c r="N12" s="16">
        <v>0</v>
      </c>
    </row>
    <row r="13" spans="1:14" x14ac:dyDescent="0.25">
      <c r="A13" s="11">
        <v>45078</v>
      </c>
      <c r="B13" s="12"/>
      <c r="C13" s="8">
        <v>5281150</v>
      </c>
      <c r="D13" s="9">
        <v>21389</v>
      </c>
      <c r="E13" s="9">
        <f>46272.88+78.04</f>
        <v>46350.92</v>
      </c>
      <c r="F13" s="9">
        <f>46272.88+78.04</f>
        <v>46350.92</v>
      </c>
      <c r="G13" s="26">
        <f t="shared" si="0"/>
        <v>24961.919999999998</v>
      </c>
      <c r="H13" s="26">
        <f t="shared" si="1"/>
        <v>24961.919999999998</v>
      </c>
      <c r="I13" s="15">
        <v>0.21</v>
      </c>
      <c r="J13" s="15">
        <v>0.05</v>
      </c>
      <c r="K13" s="16">
        <f t="shared" si="2"/>
        <v>4979.9030399999992</v>
      </c>
      <c r="L13" s="16">
        <f t="shared" si="3"/>
        <v>1248.096</v>
      </c>
      <c r="M13" s="16">
        <f t="shared" si="4"/>
        <v>141715.999645</v>
      </c>
      <c r="N13" s="16">
        <v>0</v>
      </c>
    </row>
    <row r="14" spans="1:14" x14ac:dyDescent="0.25">
      <c r="A14" s="11">
        <v>45108</v>
      </c>
      <c r="B14" s="12"/>
      <c r="C14" s="8">
        <v>5281150</v>
      </c>
      <c r="D14" s="9">
        <v>21389</v>
      </c>
      <c r="E14" s="9">
        <f>46272.88+82.05</f>
        <v>46354.93</v>
      </c>
      <c r="F14" s="9">
        <f>46272.88+82.05</f>
        <v>46354.93</v>
      </c>
      <c r="G14" s="26">
        <f>E14-D14</f>
        <v>24965.93</v>
      </c>
      <c r="H14" s="26">
        <f>F14-D14</f>
        <v>24965.93</v>
      </c>
      <c r="I14" s="15">
        <v>0.21</v>
      </c>
      <c r="J14" s="15">
        <v>0.05</v>
      </c>
      <c r="K14" s="16">
        <f>G14*I14-L14*I14</f>
        <v>4980.7030349999995</v>
      </c>
      <c r="L14" s="16">
        <f>H14*J14</f>
        <v>1248.2965000000002</v>
      </c>
      <c r="M14" s="16">
        <f t="shared" si="4"/>
        <v>147944.99918000001</v>
      </c>
      <c r="N14" s="16">
        <v>0</v>
      </c>
    </row>
    <row r="15" spans="1:14" x14ac:dyDescent="0.25">
      <c r="A15" s="11">
        <v>45139</v>
      </c>
      <c r="B15" s="12"/>
      <c r="C15" s="8">
        <v>5281150</v>
      </c>
      <c r="D15" s="9">
        <v>21389</v>
      </c>
      <c r="E15" s="9">
        <f>46272.88+82.05</f>
        <v>46354.93</v>
      </c>
      <c r="F15" s="9">
        <f>46272.88+82.05</f>
        <v>46354.93</v>
      </c>
      <c r="G15" s="26">
        <f>E15-D15</f>
        <v>24965.93</v>
      </c>
      <c r="H15" s="26">
        <f>F15-D15</f>
        <v>24965.93</v>
      </c>
      <c r="I15" s="15">
        <v>0.21</v>
      </c>
      <c r="J15" s="15">
        <v>0.05</v>
      </c>
      <c r="K15" s="16">
        <f>G15*I15-L15*I15</f>
        <v>4980.7030349999995</v>
      </c>
      <c r="L15" s="16">
        <f>H15*J15</f>
        <v>1248.2965000000002</v>
      </c>
      <c r="M15" s="16">
        <f t="shared" si="4"/>
        <v>154173.99871500002</v>
      </c>
      <c r="N15" s="16">
        <v>0</v>
      </c>
    </row>
    <row r="16" spans="1:14" x14ac:dyDescent="0.25">
      <c r="A16" s="11">
        <v>45178</v>
      </c>
      <c r="B16" s="12"/>
      <c r="C16" s="8">
        <v>5281150</v>
      </c>
      <c r="D16" s="9">
        <v>21389</v>
      </c>
      <c r="E16" s="9">
        <f>46272.8835698892+78.04</f>
        <v>46350.923569889201</v>
      </c>
      <c r="F16" s="9">
        <f>46272.8835698892+78.04</f>
        <v>46350.923569889201</v>
      </c>
      <c r="G16" s="26">
        <f t="shared" ref="G16:G19" si="5">E16-D16</f>
        <v>24961.923569889201</v>
      </c>
      <c r="H16" s="26">
        <f t="shared" ref="H16:H19" si="6">F16-D16</f>
        <v>24961.923569889201</v>
      </c>
      <c r="I16" s="15">
        <v>0.21</v>
      </c>
      <c r="J16" s="15">
        <v>0.05</v>
      </c>
      <c r="K16" s="16">
        <f t="shared" ref="K16:K19" si="7">G16*I16-L16*I16</f>
        <v>4979.9037521928958</v>
      </c>
      <c r="L16" s="16">
        <f t="shared" ref="L16:L19" si="8">H16*J16</f>
        <v>1248.0961784944602</v>
      </c>
      <c r="M16" s="16">
        <f t="shared" si="4"/>
        <v>160401.99864568736</v>
      </c>
      <c r="N16" s="16">
        <v>0</v>
      </c>
    </row>
    <row r="17" spans="1:14" x14ac:dyDescent="0.25">
      <c r="A17" s="11">
        <v>45200</v>
      </c>
      <c r="B17" s="12"/>
      <c r="C17" s="8">
        <v>5281150</v>
      </c>
      <c r="D17" s="9">
        <v>21389</v>
      </c>
      <c r="E17" s="9">
        <f>46272.8835698892+82.05</f>
        <v>46354.933569889203</v>
      </c>
      <c r="F17" s="9">
        <f>46272.8835698892+82.05</f>
        <v>46354.933569889203</v>
      </c>
      <c r="G17" s="26">
        <f t="shared" si="5"/>
        <v>24965.933569889203</v>
      </c>
      <c r="H17" s="26">
        <f t="shared" si="6"/>
        <v>24965.933569889203</v>
      </c>
      <c r="I17" s="15">
        <v>0.21</v>
      </c>
      <c r="J17" s="15">
        <v>0.05</v>
      </c>
      <c r="K17" s="16">
        <f t="shared" si="7"/>
        <v>4980.7037471928952</v>
      </c>
      <c r="L17" s="16">
        <f t="shared" si="8"/>
        <v>1248.2966784944601</v>
      </c>
      <c r="M17" s="16">
        <f t="shared" si="4"/>
        <v>166630.99907137471</v>
      </c>
      <c r="N17" s="16">
        <v>0</v>
      </c>
    </row>
    <row r="18" spans="1:14" x14ac:dyDescent="0.25">
      <c r="A18" s="11">
        <v>45231</v>
      </c>
      <c r="B18" s="12"/>
      <c r="C18" s="8">
        <v>5281150</v>
      </c>
      <c r="D18" s="9">
        <v>21389</v>
      </c>
      <c r="E18" s="9">
        <f>46272.8835698892+82.05</f>
        <v>46354.933569889203</v>
      </c>
      <c r="F18" s="9">
        <f>46272.8835698892+82.05</f>
        <v>46354.933569889203</v>
      </c>
      <c r="G18" s="26">
        <f t="shared" si="5"/>
        <v>24965.933569889203</v>
      </c>
      <c r="H18" s="26">
        <f t="shared" si="6"/>
        <v>24965.933569889203</v>
      </c>
      <c r="I18" s="15">
        <v>0.21</v>
      </c>
      <c r="J18" s="15">
        <v>0.05</v>
      </c>
      <c r="K18" s="16">
        <f t="shared" si="7"/>
        <v>4980.7037471928952</v>
      </c>
      <c r="L18" s="16">
        <f t="shared" si="8"/>
        <v>1248.2966784944601</v>
      </c>
      <c r="M18" s="16">
        <f t="shared" si="4"/>
        <v>172859.99949706206</v>
      </c>
      <c r="N18" s="16">
        <v>0</v>
      </c>
    </row>
    <row r="19" spans="1:14" x14ac:dyDescent="0.25">
      <c r="A19" s="11">
        <v>45261</v>
      </c>
      <c r="B19" s="12"/>
      <c r="C19" s="8">
        <v>5281150</v>
      </c>
      <c r="D19" s="9">
        <v>21389</v>
      </c>
      <c r="E19" s="9">
        <f>46272.8835698892+80</f>
        <v>46352.8835698892</v>
      </c>
      <c r="F19" s="9">
        <f>46272.8835698892+80</f>
        <v>46352.8835698892</v>
      </c>
      <c r="G19" s="26">
        <f t="shared" si="5"/>
        <v>24963.8835698892</v>
      </c>
      <c r="H19" s="26">
        <f t="shared" si="6"/>
        <v>24963.8835698892</v>
      </c>
      <c r="I19" s="15">
        <v>0.21</v>
      </c>
      <c r="J19" s="15">
        <v>0.05</v>
      </c>
      <c r="K19" s="16">
        <f t="shared" si="7"/>
        <v>4980.2947721928949</v>
      </c>
      <c r="L19" s="16">
        <f t="shared" si="8"/>
        <v>1248.1941784944602</v>
      </c>
      <c r="M19" s="16">
        <f t="shared" si="4"/>
        <v>179088.48844774941</v>
      </c>
      <c r="N19" s="16">
        <v>0</v>
      </c>
    </row>
    <row r="20" spans="1:14" x14ac:dyDescent="0.25">
      <c r="A20" s="11">
        <v>45292</v>
      </c>
      <c r="B20" s="12"/>
      <c r="C20" s="8">
        <v>5281150</v>
      </c>
      <c r="D20" s="9">
        <v>21389</v>
      </c>
      <c r="E20" s="9">
        <v>46010.32</v>
      </c>
      <c r="F20" s="9">
        <v>46010.32</v>
      </c>
      <c r="G20" s="26">
        <f>E20-D20</f>
        <v>24621.32</v>
      </c>
      <c r="H20" s="26">
        <f>F20-D20</f>
        <v>24621.32</v>
      </c>
      <c r="I20" s="15">
        <v>0.21</v>
      </c>
      <c r="J20" s="15">
        <v>0.05</v>
      </c>
      <c r="K20" s="16">
        <f>G20*I20-L20*I20</f>
        <v>4911.9533399999991</v>
      </c>
      <c r="L20" s="16">
        <f>H20*J20</f>
        <v>1231.066</v>
      </c>
      <c r="M20" s="16">
        <f t="shared" si="4"/>
        <v>185231.5077877494</v>
      </c>
      <c r="N20" s="16">
        <v>0</v>
      </c>
    </row>
    <row r="21" spans="1:14" x14ac:dyDescent="0.25">
      <c r="A21" s="11">
        <v>45323</v>
      </c>
      <c r="B21" s="12"/>
      <c r="C21" s="8">
        <v>5281150</v>
      </c>
      <c r="D21" s="9">
        <v>21389</v>
      </c>
      <c r="E21" s="9">
        <f>45676.32-332</f>
        <v>45344.32</v>
      </c>
      <c r="F21" s="9">
        <f>45676.32-332</f>
        <v>45344.32</v>
      </c>
      <c r="G21" s="26">
        <f>E21-D21</f>
        <v>23955.32</v>
      </c>
      <c r="H21" s="26">
        <f>F21-D21</f>
        <v>23955.32</v>
      </c>
      <c r="I21" s="15">
        <v>0.21</v>
      </c>
      <c r="J21" s="15">
        <v>0.05</v>
      </c>
      <c r="K21" s="16">
        <f>G21*I21-L21*I21</f>
        <v>4779.0863399999998</v>
      </c>
      <c r="L21" s="16">
        <f>H21*J21</f>
        <v>1197.7660000000001</v>
      </c>
      <c r="M21" s="16">
        <f t="shared" si="4"/>
        <v>191208.36012774942</v>
      </c>
      <c r="N21" s="16">
        <v>0</v>
      </c>
    </row>
    <row r="22" spans="1:14" x14ac:dyDescent="0.25">
      <c r="A22" s="11">
        <v>45360</v>
      </c>
      <c r="B22" s="12"/>
      <c r="C22" s="8">
        <v>5281150</v>
      </c>
      <c r="D22" s="9">
        <v>21389</v>
      </c>
      <c r="E22" s="9">
        <f t="shared" ref="E22:F27" si="9">45676.32</f>
        <v>45676.32</v>
      </c>
      <c r="F22" s="9">
        <f t="shared" si="9"/>
        <v>45676.32</v>
      </c>
      <c r="G22" s="26">
        <f t="shared" ref="G22:G25" si="10">E22-D22</f>
        <v>24287.32</v>
      </c>
      <c r="H22" s="26">
        <f t="shared" ref="H22:H25" si="11">F22-D22</f>
        <v>24287.32</v>
      </c>
      <c r="I22" s="15">
        <v>0.21</v>
      </c>
      <c r="J22" s="15">
        <v>0.05</v>
      </c>
      <c r="K22" s="16">
        <f t="shared" ref="K22:K25" si="12">G22*I22-L22*I22</f>
        <v>4845.3203400000002</v>
      </c>
      <c r="L22" s="16">
        <f t="shared" ref="L22:L25" si="13">H22*J22</f>
        <v>1214.366</v>
      </c>
      <c r="M22" s="16">
        <f t="shared" si="4"/>
        <v>197268.04646774943</v>
      </c>
      <c r="N22" s="16">
        <v>0</v>
      </c>
    </row>
    <row r="23" spans="1:14" x14ac:dyDescent="0.25">
      <c r="A23" s="11">
        <v>45383</v>
      </c>
      <c r="B23" s="12"/>
      <c r="C23" s="8">
        <v>5281150</v>
      </c>
      <c r="D23" s="9">
        <v>21389.49</v>
      </c>
      <c r="E23" s="9">
        <f>45675.5</f>
        <v>45675.5</v>
      </c>
      <c r="F23" s="9">
        <f>45675.5</f>
        <v>45675.5</v>
      </c>
      <c r="G23" s="26">
        <f t="shared" si="10"/>
        <v>24286.01</v>
      </c>
      <c r="H23" s="26">
        <f t="shared" si="11"/>
        <v>24286.01</v>
      </c>
      <c r="I23" s="15">
        <v>0.21</v>
      </c>
      <c r="J23" s="15">
        <v>0.05</v>
      </c>
      <c r="K23" s="16">
        <f t="shared" si="12"/>
        <v>4845.0589949999994</v>
      </c>
      <c r="L23" s="16">
        <f t="shared" si="13"/>
        <v>1214.3005000000001</v>
      </c>
      <c r="M23" s="16">
        <f t="shared" si="4"/>
        <v>203327.40596274944</v>
      </c>
      <c r="N23" s="16">
        <v>0</v>
      </c>
    </row>
    <row r="24" spans="1:14" x14ac:dyDescent="0.25">
      <c r="A24" s="11">
        <v>45413</v>
      </c>
      <c r="B24" s="12"/>
      <c r="C24" s="8">
        <v>5281150</v>
      </c>
      <c r="D24" s="9">
        <v>21389</v>
      </c>
      <c r="E24" s="9">
        <f t="shared" si="9"/>
        <v>45676.32</v>
      </c>
      <c r="F24" s="9">
        <f t="shared" si="9"/>
        <v>45676.32</v>
      </c>
      <c r="G24" s="26">
        <f t="shared" si="10"/>
        <v>24287.32</v>
      </c>
      <c r="H24" s="26">
        <f t="shared" si="11"/>
        <v>24287.32</v>
      </c>
      <c r="I24" s="15">
        <v>0.21</v>
      </c>
      <c r="J24" s="15">
        <v>0.05</v>
      </c>
      <c r="K24" s="16">
        <f t="shared" si="12"/>
        <v>4845.3203400000002</v>
      </c>
      <c r="L24" s="16">
        <f t="shared" si="13"/>
        <v>1214.366</v>
      </c>
      <c r="M24" s="16">
        <f t="shared" si="4"/>
        <v>209387.09230274946</v>
      </c>
      <c r="N24" s="16">
        <v>0</v>
      </c>
    </row>
    <row r="25" spans="1:14" x14ac:dyDescent="0.25">
      <c r="A25" s="11">
        <v>45444</v>
      </c>
      <c r="B25" s="12"/>
      <c r="C25" s="8">
        <v>5281150</v>
      </c>
      <c r="D25" s="9">
        <v>21389</v>
      </c>
      <c r="E25" s="9">
        <f t="shared" si="9"/>
        <v>45676.32</v>
      </c>
      <c r="F25" s="9">
        <f t="shared" si="9"/>
        <v>45676.32</v>
      </c>
      <c r="G25" s="26">
        <f t="shared" si="10"/>
        <v>24287.32</v>
      </c>
      <c r="H25" s="26">
        <f t="shared" si="11"/>
        <v>24287.32</v>
      </c>
      <c r="I25" s="15">
        <v>0.21</v>
      </c>
      <c r="J25" s="15">
        <v>0.05</v>
      </c>
      <c r="K25" s="16">
        <f t="shared" si="12"/>
        <v>4845.3203400000002</v>
      </c>
      <c r="L25" s="16">
        <f t="shared" si="13"/>
        <v>1214.366</v>
      </c>
      <c r="M25" s="16">
        <f t="shared" si="4"/>
        <v>215446.77864274947</v>
      </c>
      <c r="N25" s="16">
        <v>0</v>
      </c>
    </row>
    <row r="26" spans="1:14" x14ac:dyDescent="0.25">
      <c r="A26" s="11">
        <v>45474</v>
      </c>
      <c r="B26" s="12"/>
      <c r="C26" s="8">
        <v>5281150</v>
      </c>
      <c r="D26" s="9">
        <v>21388.5</v>
      </c>
      <c r="E26" s="9">
        <f t="shared" si="9"/>
        <v>45676.32</v>
      </c>
      <c r="F26" s="9">
        <f t="shared" si="9"/>
        <v>45676.32</v>
      </c>
      <c r="G26" s="26">
        <f>E26-D26</f>
        <v>24287.82</v>
      </c>
      <c r="H26" s="26">
        <f>F26-D26</f>
        <v>24287.82</v>
      </c>
      <c r="I26" s="15">
        <v>0.21</v>
      </c>
      <c r="J26" s="15">
        <v>0.05</v>
      </c>
      <c r="K26" s="16">
        <f>G26*I26-L26*I26</f>
        <v>4845.4200899999996</v>
      </c>
      <c r="L26" s="16">
        <f>H26*J26</f>
        <v>1214.3910000000001</v>
      </c>
      <c r="M26" s="16">
        <f t="shared" si="4"/>
        <v>221506.58973274947</v>
      </c>
      <c r="N26" s="16">
        <v>0</v>
      </c>
    </row>
    <row r="27" spans="1:14" x14ac:dyDescent="0.25">
      <c r="A27" s="11">
        <v>45505</v>
      </c>
      <c r="B27" s="12"/>
      <c r="C27" s="8">
        <v>5281150</v>
      </c>
      <c r="D27" s="9">
        <v>21389</v>
      </c>
      <c r="E27" s="9">
        <f>45676.32+3.61</f>
        <v>45679.93</v>
      </c>
      <c r="F27" s="9">
        <f t="shared" si="9"/>
        <v>45676.32</v>
      </c>
      <c r="G27" s="26">
        <f>E27-D27</f>
        <v>24290.93</v>
      </c>
      <c r="H27" s="26">
        <f>F27-D27</f>
        <v>24287.32</v>
      </c>
      <c r="I27" s="15">
        <v>0.21</v>
      </c>
      <c r="J27" s="15">
        <v>0.05</v>
      </c>
      <c r="K27" s="16">
        <f>G27*I27-L27*I27</f>
        <v>4846.0784400000002</v>
      </c>
      <c r="L27" s="16">
        <f>H27*J27</f>
        <v>1214.366</v>
      </c>
      <c r="M27" s="16">
        <f t="shared" si="4"/>
        <v>227567.0341727495</v>
      </c>
      <c r="N27" s="16">
        <v>0</v>
      </c>
    </row>
    <row r="28" spans="1:14" x14ac:dyDescent="0.25">
      <c r="A28" s="11">
        <v>45544</v>
      </c>
      <c r="B28" s="12"/>
      <c r="C28" s="8">
        <v>5281150</v>
      </c>
      <c r="D28" s="9">
        <v>21389</v>
      </c>
      <c r="E28" s="9">
        <f>45676.32-2.75</f>
        <v>45673.57</v>
      </c>
      <c r="F28" s="9">
        <f>45676.32-2.75</f>
        <v>45673.57</v>
      </c>
      <c r="G28" s="26">
        <f t="shared" ref="G28:G31" si="14">E28-D28</f>
        <v>24284.57</v>
      </c>
      <c r="H28" s="26">
        <f t="shared" ref="H28:H31" si="15">F28-D28</f>
        <v>24284.57</v>
      </c>
      <c r="I28" s="15">
        <v>0.21</v>
      </c>
      <c r="J28" s="15">
        <v>0.05</v>
      </c>
      <c r="K28" s="16">
        <f t="shared" ref="K28:K31" si="16">G28*I28-L28*I28</f>
        <v>4844.7717149999999</v>
      </c>
      <c r="L28" s="16">
        <f t="shared" ref="L28:L31" si="17">H28*J28</f>
        <v>1214.2284999999999</v>
      </c>
      <c r="M28" s="16">
        <f t="shared" si="4"/>
        <v>233626.0343877495</v>
      </c>
      <c r="N28" s="16">
        <v>0</v>
      </c>
    </row>
    <row r="29" spans="1:14" x14ac:dyDescent="0.25">
      <c r="A29" s="11">
        <v>45566</v>
      </c>
      <c r="B29" s="12"/>
      <c r="C29" s="8">
        <v>5281150</v>
      </c>
      <c r="D29" s="9">
        <v>21389</v>
      </c>
      <c r="E29" s="9">
        <f>45676.32</f>
        <v>45676.32</v>
      </c>
      <c r="F29" s="9">
        <f>45676.32</f>
        <v>45676.32</v>
      </c>
      <c r="G29" s="26">
        <f t="shared" si="14"/>
        <v>24287.32</v>
      </c>
      <c r="H29" s="26">
        <f t="shared" si="15"/>
        <v>24287.32</v>
      </c>
      <c r="I29" s="15">
        <v>0.21</v>
      </c>
      <c r="J29" s="15">
        <v>0.05</v>
      </c>
      <c r="K29" s="16">
        <f t="shared" si="16"/>
        <v>4845.3203400000002</v>
      </c>
      <c r="L29" s="16">
        <f t="shared" si="17"/>
        <v>1214.366</v>
      </c>
      <c r="M29" s="16">
        <f t="shared" si="4"/>
        <v>239685.72072774952</v>
      </c>
      <c r="N29" s="16">
        <v>0</v>
      </c>
    </row>
    <row r="30" spans="1:14" x14ac:dyDescent="0.25">
      <c r="A30" s="11">
        <v>45597</v>
      </c>
      <c r="B30" s="12"/>
      <c r="C30" s="8">
        <v>5281150</v>
      </c>
      <c r="D30" s="9">
        <v>21388.5</v>
      </c>
      <c r="E30" s="9">
        <f>45676.49</f>
        <v>45676.49</v>
      </c>
      <c r="F30" s="9">
        <f>45676.49</f>
        <v>45676.49</v>
      </c>
      <c r="G30" s="26">
        <f t="shared" si="14"/>
        <v>24287.989999999998</v>
      </c>
      <c r="H30" s="26">
        <f t="shared" si="15"/>
        <v>24287.989999999998</v>
      </c>
      <c r="I30" s="15">
        <v>0.21</v>
      </c>
      <c r="J30" s="15">
        <v>0.05</v>
      </c>
      <c r="K30" s="16">
        <f t="shared" si="16"/>
        <v>4845.4540049999987</v>
      </c>
      <c r="L30" s="16">
        <f t="shared" si="17"/>
        <v>1214.3995</v>
      </c>
      <c r="M30" s="16">
        <f t="shared" si="4"/>
        <v>245745.57423274952</v>
      </c>
      <c r="N30" s="16">
        <v>0</v>
      </c>
    </row>
    <row r="31" spans="1:14" x14ac:dyDescent="0.25">
      <c r="A31" s="11">
        <v>45627</v>
      </c>
      <c r="B31" s="12"/>
      <c r="C31" s="8">
        <v>5281150</v>
      </c>
      <c r="D31" s="9">
        <v>21388.5</v>
      </c>
      <c r="E31" s="9">
        <f>45676.92</f>
        <v>45676.92</v>
      </c>
      <c r="F31" s="9">
        <f>45676.92</f>
        <v>45676.92</v>
      </c>
      <c r="G31" s="26">
        <f t="shared" si="14"/>
        <v>24288.42</v>
      </c>
      <c r="H31" s="26">
        <f t="shared" si="15"/>
        <v>24288.42</v>
      </c>
      <c r="I31" s="15">
        <v>0.21</v>
      </c>
      <c r="J31" s="15">
        <v>0.05</v>
      </c>
      <c r="K31" s="16">
        <f t="shared" si="16"/>
        <v>4845.5397899999998</v>
      </c>
      <c r="L31" s="16">
        <f t="shared" si="17"/>
        <v>1214.421</v>
      </c>
      <c r="M31" s="16">
        <f t="shared" si="4"/>
        <v>251805.53502274954</v>
      </c>
      <c r="N31" s="16">
        <v>0</v>
      </c>
    </row>
    <row r="32" spans="1:14" x14ac:dyDescent="0.25">
      <c r="A32" s="11">
        <v>45658</v>
      </c>
      <c r="B32" s="12"/>
      <c r="C32" s="8">
        <v>5281150</v>
      </c>
      <c r="D32" s="9">
        <v>21388.5</v>
      </c>
      <c r="E32" s="9">
        <f>44228.83</f>
        <v>44228.83</v>
      </c>
      <c r="F32" s="9">
        <f>44228.83</f>
        <v>44228.83</v>
      </c>
      <c r="G32" s="26">
        <f>E32-D32</f>
        <v>22840.33</v>
      </c>
      <c r="H32" s="26">
        <f>F32-D32</f>
        <v>22840.33</v>
      </c>
      <c r="I32" s="15">
        <v>0.21</v>
      </c>
      <c r="J32" s="15">
        <v>0.05</v>
      </c>
      <c r="K32" s="16">
        <f>G32*I32-L32*I32</f>
        <v>4556.6458349999994</v>
      </c>
      <c r="L32" s="16">
        <f>H32*J32</f>
        <v>1142.0165000000002</v>
      </c>
      <c r="M32" s="16">
        <f t="shared" si="4"/>
        <v>257504.19735774954</v>
      </c>
      <c r="N32" s="16">
        <v>0</v>
      </c>
    </row>
    <row r="33" spans="1:14" x14ac:dyDescent="0.25">
      <c r="A33" s="11">
        <v>45689</v>
      </c>
      <c r="B33" s="12"/>
      <c r="C33" s="8">
        <v>5281150</v>
      </c>
      <c r="D33" s="9">
        <v>21388.5</v>
      </c>
      <c r="E33" s="9">
        <f>44228.83</f>
        <v>44228.83</v>
      </c>
      <c r="F33" s="9">
        <f>44228.83</f>
        <v>44228.83</v>
      </c>
      <c r="G33" s="26">
        <f>E33-D33</f>
        <v>22840.33</v>
      </c>
      <c r="H33" s="26">
        <f>F33-D33</f>
        <v>22840.33</v>
      </c>
      <c r="I33" s="15">
        <v>0.21</v>
      </c>
      <c r="J33" s="15">
        <v>0.05</v>
      </c>
      <c r="K33" s="16">
        <f>G33*I33-L33*I33</f>
        <v>4556.6458349999994</v>
      </c>
      <c r="L33" s="16">
        <f>H33*J33</f>
        <v>1142.0165000000002</v>
      </c>
      <c r="M33" s="16">
        <f t="shared" si="4"/>
        <v>263202.85969274957</v>
      </c>
      <c r="N33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D4AE-D9AB-4E65-9C17-198AD66CB82E}">
  <dimension ref="A1:N33"/>
  <sheetViews>
    <sheetView tabSelected="1" workbookViewId="0">
      <selection activeCell="M33" sqref="M33"/>
    </sheetView>
  </sheetViews>
  <sheetFormatPr defaultRowHeight="15" x14ac:dyDescent="0.25"/>
  <cols>
    <col min="1" max="1" width="11.28515625" customWidth="1"/>
    <col min="2" max="2" width="1.7109375" customWidth="1"/>
    <col min="3" max="3" width="13.42578125" customWidth="1"/>
    <col min="4" max="4" width="12.7109375" customWidth="1"/>
    <col min="5" max="5" width="15.85546875" customWidth="1"/>
    <col min="6" max="6" width="14.7109375" customWidth="1"/>
    <col min="7" max="14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43</v>
      </c>
      <c r="N4" s="3"/>
    </row>
    <row r="5" spans="1:14" x14ac:dyDescent="0.25">
      <c r="A5" s="25" t="s">
        <v>46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20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9" x14ac:dyDescent="0.25">
      <c r="A8" s="6" t="s">
        <v>5</v>
      </c>
      <c r="B8" s="7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x14ac:dyDescent="0.25">
      <c r="A9" s="13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6"/>
      <c r="N9" s="12"/>
    </row>
    <row r="10" spans="1:14" x14ac:dyDescent="0.25">
      <c r="A10" s="11">
        <v>44994</v>
      </c>
      <c r="B10" s="12"/>
      <c r="C10" s="12"/>
      <c r="D10" s="12"/>
      <c r="E10" s="12"/>
      <c r="F10" s="12"/>
      <c r="G10" s="26">
        <f t="shared" ref="G10:G21" si="0">E10-D10</f>
        <v>0</v>
      </c>
      <c r="H10" s="26">
        <f t="shared" ref="H10:H21" si="1">F10-D10</f>
        <v>0</v>
      </c>
      <c r="I10" s="15">
        <v>0.21</v>
      </c>
      <c r="J10" s="15">
        <v>0.05</v>
      </c>
      <c r="K10" s="16">
        <f t="shared" ref="K10:K21" si="2">G10*I10-L10*I10</f>
        <v>0</v>
      </c>
      <c r="L10" s="16">
        <f t="shared" ref="L10:L21" si="3">H10*J10</f>
        <v>0</v>
      </c>
      <c r="M10" s="16">
        <f t="shared" ref="M10:M21" si="4">M9+K10+L10</f>
        <v>0</v>
      </c>
      <c r="N10" s="16">
        <v>0</v>
      </c>
    </row>
    <row r="11" spans="1:14" x14ac:dyDescent="0.25">
      <c r="A11" s="11">
        <v>45017</v>
      </c>
      <c r="B11" s="12"/>
      <c r="C11" s="12"/>
      <c r="D11" s="12"/>
      <c r="E11" s="12"/>
      <c r="F11" s="12"/>
      <c r="G11" s="26">
        <f t="shared" si="0"/>
        <v>0</v>
      </c>
      <c r="H11" s="26">
        <f t="shared" si="1"/>
        <v>0</v>
      </c>
      <c r="I11" s="15">
        <v>0.21</v>
      </c>
      <c r="J11" s="15">
        <v>0.05</v>
      </c>
      <c r="K11" s="16">
        <f t="shared" si="2"/>
        <v>0</v>
      </c>
      <c r="L11" s="16">
        <f t="shared" si="3"/>
        <v>0</v>
      </c>
      <c r="M11" s="16">
        <f t="shared" si="4"/>
        <v>0</v>
      </c>
      <c r="N11" s="16">
        <v>0</v>
      </c>
    </row>
    <row r="12" spans="1:14" x14ac:dyDescent="0.25">
      <c r="A12" s="11">
        <v>45047</v>
      </c>
      <c r="B12" s="12"/>
      <c r="C12" s="12"/>
      <c r="D12" s="12"/>
      <c r="E12" s="12"/>
      <c r="F12" s="12"/>
      <c r="G12" s="26">
        <f t="shared" si="0"/>
        <v>0</v>
      </c>
      <c r="H12" s="26">
        <f t="shared" si="1"/>
        <v>0</v>
      </c>
      <c r="I12" s="15">
        <v>0.21</v>
      </c>
      <c r="J12" s="15">
        <v>0.05</v>
      </c>
      <c r="K12" s="16">
        <f t="shared" si="2"/>
        <v>0</v>
      </c>
      <c r="L12" s="16">
        <f t="shared" si="3"/>
        <v>0</v>
      </c>
      <c r="M12" s="16">
        <f t="shared" si="4"/>
        <v>0</v>
      </c>
      <c r="N12" s="16">
        <v>0</v>
      </c>
    </row>
    <row r="13" spans="1:14" x14ac:dyDescent="0.25">
      <c r="A13" s="11">
        <v>45078</v>
      </c>
      <c r="B13" s="12"/>
      <c r="C13" s="12"/>
      <c r="D13" s="12"/>
      <c r="E13" s="12"/>
      <c r="F13" s="12"/>
      <c r="G13" s="26">
        <f t="shared" si="0"/>
        <v>0</v>
      </c>
      <c r="H13" s="26">
        <f t="shared" si="1"/>
        <v>0</v>
      </c>
      <c r="I13" s="15">
        <v>0.21</v>
      </c>
      <c r="J13" s="15">
        <v>0.05</v>
      </c>
      <c r="K13" s="16">
        <f t="shared" si="2"/>
        <v>0</v>
      </c>
      <c r="L13" s="16">
        <f t="shared" si="3"/>
        <v>0</v>
      </c>
      <c r="M13" s="16">
        <f t="shared" si="4"/>
        <v>0</v>
      </c>
      <c r="N13" s="16">
        <v>0</v>
      </c>
    </row>
    <row r="14" spans="1:14" x14ac:dyDescent="0.25">
      <c r="A14" s="11">
        <v>45108</v>
      </c>
      <c r="B14" s="12"/>
      <c r="C14" s="12"/>
      <c r="D14" s="12"/>
      <c r="E14" s="12"/>
      <c r="F14" s="12"/>
      <c r="G14" s="26">
        <f t="shared" si="0"/>
        <v>0</v>
      </c>
      <c r="H14" s="26">
        <f t="shared" si="1"/>
        <v>0</v>
      </c>
      <c r="I14" s="15">
        <v>0.21</v>
      </c>
      <c r="J14" s="15">
        <v>0.05</v>
      </c>
      <c r="K14" s="16">
        <f t="shared" si="2"/>
        <v>0</v>
      </c>
      <c r="L14" s="16">
        <f t="shared" si="3"/>
        <v>0</v>
      </c>
      <c r="M14" s="16">
        <f t="shared" si="4"/>
        <v>0</v>
      </c>
      <c r="N14" s="16">
        <v>0</v>
      </c>
    </row>
    <row r="15" spans="1:14" x14ac:dyDescent="0.25">
      <c r="A15" s="11">
        <v>45139</v>
      </c>
      <c r="B15" s="12"/>
      <c r="C15" s="12"/>
      <c r="D15" s="12"/>
      <c r="E15" s="12"/>
      <c r="F15" s="12"/>
      <c r="G15" s="26">
        <f t="shared" si="0"/>
        <v>0</v>
      </c>
      <c r="H15" s="26">
        <f t="shared" si="1"/>
        <v>0</v>
      </c>
      <c r="I15" s="15">
        <v>0.21</v>
      </c>
      <c r="J15" s="15">
        <v>0.05</v>
      </c>
      <c r="K15" s="16">
        <f t="shared" si="2"/>
        <v>0</v>
      </c>
      <c r="L15" s="16">
        <f t="shared" si="3"/>
        <v>0</v>
      </c>
      <c r="M15" s="16">
        <f t="shared" si="4"/>
        <v>0</v>
      </c>
      <c r="N15" s="16">
        <v>0</v>
      </c>
    </row>
    <row r="16" spans="1:14" x14ac:dyDescent="0.25">
      <c r="A16" s="11">
        <v>45178</v>
      </c>
      <c r="B16" s="12"/>
      <c r="C16" s="12"/>
      <c r="D16" s="12"/>
      <c r="E16" s="12"/>
      <c r="F16" s="12"/>
      <c r="G16" s="26">
        <f t="shared" si="0"/>
        <v>0</v>
      </c>
      <c r="H16" s="26">
        <f t="shared" si="1"/>
        <v>0</v>
      </c>
      <c r="I16" s="15">
        <v>0.21</v>
      </c>
      <c r="J16" s="15">
        <v>0.05</v>
      </c>
      <c r="K16" s="16">
        <f t="shared" si="2"/>
        <v>0</v>
      </c>
      <c r="L16" s="16">
        <f t="shared" si="3"/>
        <v>0</v>
      </c>
      <c r="M16" s="16">
        <f t="shared" si="4"/>
        <v>0</v>
      </c>
      <c r="N16" s="16">
        <v>0</v>
      </c>
    </row>
    <row r="17" spans="1:14" x14ac:dyDescent="0.25">
      <c r="A17" s="11">
        <v>45200</v>
      </c>
      <c r="B17" s="12"/>
      <c r="C17" s="12"/>
      <c r="D17" s="12"/>
      <c r="E17" s="12"/>
      <c r="F17" s="12"/>
      <c r="G17" s="26">
        <f t="shared" si="0"/>
        <v>0</v>
      </c>
      <c r="H17" s="26">
        <f t="shared" si="1"/>
        <v>0</v>
      </c>
      <c r="I17" s="15">
        <v>0.21</v>
      </c>
      <c r="J17" s="15">
        <v>0.05</v>
      </c>
      <c r="K17" s="16">
        <f t="shared" si="2"/>
        <v>0</v>
      </c>
      <c r="L17" s="16">
        <f t="shared" si="3"/>
        <v>0</v>
      </c>
      <c r="M17" s="16">
        <f t="shared" si="4"/>
        <v>0</v>
      </c>
      <c r="N17" s="16">
        <v>0</v>
      </c>
    </row>
    <row r="18" spans="1:14" x14ac:dyDescent="0.25">
      <c r="A18" s="11">
        <v>45231</v>
      </c>
      <c r="B18" s="12"/>
      <c r="C18" s="12"/>
      <c r="D18" s="12"/>
      <c r="E18" s="12"/>
      <c r="F18" s="12"/>
      <c r="G18" s="26">
        <f t="shared" si="0"/>
        <v>0</v>
      </c>
      <c r="H18" s="26">
        <f t="shared" si="1"/>
        <v>0</v>
      </c>
      <c r="I18" s="15">
        <v>0.21</v>
      </c>
      <c r="J18" s="15">
        <v>0.05</v>
      </c>
      <c r="K18" s="16">
        <f t="shared" si="2"/>
        <v>0</v>
      </c>
      <c r="L18" s="16">
        <f t="shared" si="3"/>
        <v>0</v>
      </c>
      <c r="M18" s="16">
        <f t="shared" si="4"/>
        <v>0</v>
      </c>
      <c r="N18" s="16">
        <v>0</v>
      </c>
    </row>
    <row r="19" spans="1:14" x14ac:dyDescent="0.25">
      <c r="A19" s="11">
        <v>45261</v>
      </c>
      <c r="B19" s="12"/>
      <c r="C19" s="12"/>
      <c r="D19" s="12"/>
      <c r="E19" s="12"/>
      <c r="F19" s="12"/>
      <c r="G19" s="26">
        <f t="shared" si="0"/>
        <v>0</v>
      </c>
      <c r="H19" s="26">
        <f t="shared" si="1"/>
        <v>0</v>
      </c>
      <c r="I19" s="15">
        <v>0.21</v>
      </c>
      <c r="J19" s="15">
        <v>0.05</v>
      </c>
      <c r="K19" s="16">
        <f t="shared" si="2"/>
        <v>0</v>
      </c>
      <c r="L19" s="16">
        <f t="shared" si="3"/>
        <v>0</v>
      </c>
      <c r="M19" s="16">
        <f t="shared" si="4"/>
        <v>0</v>
      </c>
      <c r="N19" s="16">
        <v>0</v>
      </c>
    </row>
    <row r="20" spans="1:14" x14ac:dyDescent="0.25">
      <c r="A20" s="11">
        <v>45292</v>
      </c>
      <c r="B20" s="12"/>
      <c r="C20" s="12"/>
      <c r="D20" s="12"/>
      <c r="E20" s="12"/>
      <c r="F20" s="12"/>
      <c r="G20" s="26">
        <f t="shared" si="0"/>
        <v>0</v>
      </c>
      <c r="H20" s="26">
        <f t="shared" si="1"/>
        <v>0</v>
      </c>
      <c r="I20" s="15">
        <v>0.21</v>
      </c>
      <c r="J20" s="15">
        <v>0.05</v>
      </c>
      <c r="K20" s="16">
        <f t="shared" si="2"/>
        <v>0</v>
      </c>
      <c r="L20" s="16">
        <f t="shared" si="3"/>
        <v>0</v>
      </c>
      <c r="M20" s="16">
        <f t="shared" si="4"/>
        <v>0</v>
      </c>
      <c r="N20" s="16">
        <v>0</v>
      </c>
    </row>
    <row r="21" spans="1:14" x14ac:dyDescent="0.25">
      <c r="A21" s="11">
        <v>45323</v>
      </c>
      <c r="B21" s="12"/>
      <c r="C21" s="12"/>
      <c r="D21" s="12"/>
      <c r="E21" s="12"/>
      <c r="F21" s="12"/>
      <c r="G21" s="26">
        <f t="shared" si="0"/>
        <v>0</v>
      </c>
      <c r="H21" s="26">
        <f t="shared" si="1"/>
        <v>0</v>
      </c>
      <c r="I21" s="15">
        <v>0.21</v>
      </c>
      <c r="J21" s="15">
        <v>0.05</v>
      </c>
      <c r="K21" s="16">
        <f t="shared" si="2"/>
        <v>0</v>
      </c>
      <c r="L21" s="16">
        <f t="shared" si="3"/>
        <v>0</v>
      </c>
      <c r="M21" s="16">
        <f t="shared" si="4"/>
        <v>0</v>
      </c>
      <c r="N21" s="16">
        <v>0</v>
      </c>
    </row>
    <row r="22" spans="1:14" x14ac:dyDescent="0.25">
      <c r="A22" s="11">
        <v>45360</v>
      </c>
      <c r="B22" s="12"/>
      <c r="C22" s="8"/>
      <c r="D22" s="9"/>
      <c r="E22" s="9"/>
      <c r="F22" s="9"/>
      <c r="G22" s="26">
        <f t="shared" ref="G22:G25" si="5">E22-D22</f>
        <v>0</v>
      </c>
      <c r="H22" s="26">
        <f t="shared" ref="H22:H25" si="6">F22-D22</f>
        <v>0</v>
      </c>
      <c r="I22" s="15">
        <v>0.21</v>
      </c>
      <c r="J22" s="15">
        <v>0.05</v>
      </c>
      <c r="K22" s="16">
        <f t="shared" ref="K22:K25" si="7">G22*I22-L22*I22</f>
        <v>0</v>
      </c>
      <c r="L22" s="16">
        <f t="shared" ref="L22:L25" si="8">H22*J22</f>
        <v>0</v>
      </c>
      <c r="M22" s="16">
        <f>M21+K22+L22</f>
        <v>0</v>
      </c>
      <c r="N22" s="16">
        <v>0</v>
      </c>
    </row>
    <row r="23" spans="1:14" x14ac:dyDescent="0.25">
      <c r="A23" s="11">
        <v>45383</v>
      </c>
      <c r="B23" s="12"/>
      <c r="C23" s="8"/>
      <c r="D23" s="9"/>
      <c r="E23" s="9"/>
      <c r="F23" s="9"/>
      <c r="G23" s="26">
        <f t="shared" si="5"/>
        <v>0</v>
      </c>
      <c r="H23" s="26">
        <f t="shared" si="6"/>
        <v>0</v>
      </c>
      <c r="I23" s="15">
        <v>0.21</v>
      </c>
      <c r="J23" s="15">
        <v>0.05</v>
      </c>
      <c r="K23" s="16">
        <f t="shared" si="7"/>
        <v>0</v>
      </c>
      <c r="L23" s="16">
        <f t="shared" si="8"/>
        <v>0</v>
      </c>
      <c r="M23" s="16">
        <f t="shared" ref="M23:M33" si="9">M22+K23+L23</f>
        <v>0</v>
      </c>
      <c r="N23" s="16">
        <v>0</v>
      </c>
    </row>
    <row r="24" spans="1:14" x14ac:dyDescent="0.25">
      <c r="A24" s="11">
        <v>45413</v>
      </c>
      <c r="B24" s="12"/>
      <c r="C24" s="8">
        <v>25468543.289999999</v>
      </c>
      <c r="D24" s="34">
        <f>27803.16</f>
        <v>27803.16</v>
      </c>
      <c r="E24" s="9">
        <f>119383.796671875-24325</f>
        <v>95058.796671874996</v>
      </c>
      <c r="F24" s="9">
        <f>119383.796671875-24325</f>
        <v>95058.796671874996</v>
      </c>
      <c r="G24" s="26">
        <f t="shared" si="5"/>
        <v>67255.636671874992</v>
      </c>
      <c r="H24" s="26">
        <f t="shared" si="6"/>
        <v>67255.636671874992</v>
      </c>
      <c r="I24" s="15">
        <v>0.21</v>
      </c>
      <c r="J24" s="15">
        <v>0.05</v>
      </c>
      <c r="K24" s="16">
        <f t="shared" si="7"/>
        <v>13417.499516039059</v>
      </c>
      <c r="L24" s="16">
        <f t="shared" si="8"/>
        <v>3362.78183359375</v>
      </c>
      <c r="M24" s="16">
        <f t="shared" si="9"/>
        <v>16780.281349632809</v>
      </c>
      <c r="N24" s="16">
        <v>0</v>
      </c>
    </row>
    <row r="25" spans="1:14" x14ac:dyDescent="0.25">
      <c r="A25" s="11">
        <v>45444</v>
      </c>
      <c r="B25" s="12"/>
      <c r="C25" s="8">
        <v>25468543.289999999</v>
      </c>
      <c r="D25" s="34">
        <v>55606</v>
      </c>
      <c r="E25" s="9">
        <f>119383.796671875+3473</f>
        <v>122856.796671875</v>
      </c>
      <c r="F25" s="9">
        <f>119383.796671875+3473</f>
        <v>122856.796671875</v>
      </c>
      <c r="G25" s="26">
        <f t="shared" si="5"/>
        <v>67250.796671874996</v>
      </c>
      <c r="H25" s="26">
        <f t="shared" si="6"/>
        <v>67250.796671874996</v>
      </c>
      <c r="I25" s="15">
        <v>0.21</v>
      </c>
      <c r="J25" s="15">
        <v>0.05</v>
      </c>
      <c r="K25" s="16">
        <f t="shared" si="7"/>
        <v>13416.533936039061</v>
      </c>
      <c r="L25" s="16">
        <f t="shared" si="8"/>
        <v>3362.5398335937498</v>
      </c>
      <c r="M25" s="16">
        <f t="shared" si="9"/>
        <v>33559.355119265616</v>
      </c>
      <c r="N25" s="16">
        <v>0</v>
      </c>
    </row>
    <row r="26" spans="1:14" x14ac:dyDescent="0.25">
      <c r="A26" s="11">
        <v>45474</v>
      </c>
      <c r="B26" s="12"/>
      <c r="C26" s="8">
        <v>25468543.289999999</v>
      </c>
      <c r="D26" s="34">
        <v>55606</v>
      </c>
      <c r="E26" s="9">
        <f>119383.796671875+3473.49</f>
        <v>122857.286671875</v>
      </c>
      <c r="F26" s="9">
        <f>119383.796671875+3473.49</f>
        <v>122857.286671875</v>
      </c>
      <c r="G26" s="26">
        <f>E26-D26</f>
        <v>67251.286671875001</v>
      </c>
      <c r="H26" s="26">
        <f>F26-D26</f>
        <v>67251.286671875001</v>
      </c>
      <c r="I26" s="15">
        <v>0.21</v>
      </c>
      <c r="J26" s="15">
        <v>0.05</v>
      </c>
      <c r="K26" s="16">
        <f>G26*I26-L26*I26</f>
        <v>13416.631691039063</v>
      </c>
      <c r="L26" s="16">
        <f>H26*J26</f>
        <v>3362.5643335937502</v>
      </c>
      <c r="M26" s="16">
        <f t="shared" si="9"/>
        <v>50338.551143898425</v>
      </c>
      <c r="N26" s="16">
        <v>0</v>
      </c>
    </row>
    <row r="27" spans="1:14" x14ac:dyDescent="0.25">
      <c r="A27" s="11">
        <v>45505</v>
      </c>
      <c r="B27" s="12"/>
      <c r="C27" s="8">
        <v>25468543.289999999</v>
      </c>
      <c r="D27" s="34">
        <v>55606</v>
      </c>
      <c r="E27" s="9">
        <f>119383.8+4128.04</f>
        <v>123511.84</v>
      </c>
      <c r="F27" s="9">
        <f t="shared" ref="F27" si="10">119383.8</f>
        <v>119383.8</v>
      </c>
      <c r="G27" s="26">
        <f>E27-D27</f>
        <v>67905.84</v>
      </c>
      <c r="H27" s="26">
        <f>F27-D27</f>
        <v>63777.8</v>
      </c>
      <c r="I27" s="15">
        <v>0.21</v>
      </c>
      <c r="J27" s="15">
        <v>0.05</v>
      </c>
      <c r="K27" s="16">
        <f>G27*I27-L27*I27</f>
        <v>13590.559499999999</v>
      </c>
      <c r="L27" s="16">
        <f>H27*J27</f>
        <v>3188.8900000000003</v>
      </c>
      <c r="M27" s="16">
        <f t="shared" si="9"/>
        <v>67118.000643898427</v>
      </c>
      <c r="N27" s="16">
        <v>0</v>
      </c>
    </row>
    <row r="28" spans="1:14" x14ac:dyDescent="0.25">
      <c r="A28" s="11">
        <v>45544</v>
      </c>
      <c r="B28" s="12"/>
      <c r="C28" s="8">
        <v>25468543.289999999</v>
      </c>
      <c r="D28" s="34">
        <v>55606</v>
      </c>
      <c r="E28" s="9">
        <f>119383.8+3476.71</f>
        <v>122860.51000000001</v>
      </c>
      <c r="F28" s="9">
        <f>119383.8+3476.71</f>
        <v>122860.51000000001</v>
      </c>
      <c r="G28" s="26">
        <f t="shared" ref="G28:G31" si="11">E28-D28</f>
        <v>67254.510000000009</v>
      </c>
      <c r="H28" s="26">
        <f t="shared" ref="H28:H31" si="12">F28-D28</f>
        <v>67254.510000000009</v>
      </c>
      <c r="I28" s="15">
        <v>0.21</v>
      </c>
      <c r="J28" s="15">
        <v>0.05</v>
      </c>
      <c r="K28" s="16">
        <f t="shared" ref="K28:K31" si="13">G28*I28-L28*I28</f>
        <v>13417.274745000001</v>
      </c>
      <c r="L28" s="16">
        <f t="shared" ref="L28:L31" si="14">H28*J28</f>
        <v>3362.7255000000005</v>
      </c>
      <c r="M28" s="16">
        <f t="shared" si="9"/>
        <v>83898.00088889843</v>
      </c>
      <c r="N28" s="16">
        <v>0</v>
      </c>
    </row>
    <row r="29" spans="1:14" x14ac:dyDescent="0.25">
      <c r="A29" s="11">
        <v>45566</v>
      </c>
      <c r="B29" s="12"/>
      <c r="C29" s="8">
        <v>25468543.289999999</v>
      </c>
      <c r="D29" s="34">
        <v>55606</v>
      </c>
      <c r="E29" s="9">
        <f>119383.8+3476.71</f>
        <v>122860.51000000001</v>
      </c>
      <c r="F29" s="9">
        <f>119383.8+3476.71</f>
        <v>122860.51000000001</v>
      </c>
      <c r="G29" s="26">
        <f t="shared" si="11"/>
        <v>67254.510000000009</v>
      </c>
      <c r="H29" s="26">
        <f t="shared" si="12"/>
        <v>67254.510000000009</v>
      </c>
      <c r="I29" s="15">
        <v>0.21</v>
      </c>
      <c r="J29" s="15">
        <v>0.05</v>
      </c>
      <c r="K29" s="16">
        <f t="shared" si="13"/>
        <v>13417.274745000001</v>
      </c>
      <c r="L29" s="16">
        <f t="shared" si="14"/>
        <v>3362.7255000000005</v>
      </c>
      <c r="M29" s="16">
        <f t="shared" si="9"/>
        <v>100678.00113389843</v>
      </c>
      <c r="N29" s="16">
        <v>0</v>
      </c>
    </row>
    <row r="30" spans="1:14" x14ac:dyDescent="0.25">
      <c r="A30" s="11">
        <v>45597</v>
      </c>
      <c r="B30" s="12"/>
      <c r="C30" s="8">
        <v>25468543.289999999</v>
      </c>
      <c r="D30" s="34">
        <v>55606.49</v>
      </c>
      <c r="E30" s="9">
        <f>119383.8+3475.1</f>
        <v>122858.90000000001</v>
      </c>
      <c r="F30" s="9">
        <f>119383.8+3475.1</f>
        <v>122858.90000000001</v>
      </c>
      <c r="G30" s="26">
        <f t="shared" si="11"/>
        <v>67252.41</v>
      </c>
      <c r="H30" s="26">
        <f t="shared" si="12"/>
        <v>67252.41</v>
      </c>
      <c r="I30" s="15">
        <v>0.21</v>
      </c>
      <c r="J30" s="15">
        <v>0.05</v>
      </c>
      <c r="K30" s="16">
        <f t="shared" si="13"/>
        <v>13416.855794999999</v>
      </c>
      <c r="L30" s="16">
        <f t="shared" si="14"/>
        <v>3362.6205000000004</v>
      </c>
      <c r="M30" s="16">
        <f t="shared" si="9"/>
        <v>117457.47742889843</v>
      </c>
      <c r="N30" s="16">
        <v>0</v>
      </c>
    </row>
    <row r="31" spans="1:14" x14ac:dyDescent="0.25">
      <c r="A31" s="11">
        <v>45627</v>
      </c>
      <c r="B31" s="12"/>
      <c r="C31" s="8">
        <v>25468543.289999999</v>
      </c>
      <c r="D31" s="34">
        <v>55606</v>
      </c>
      <c r="E31" s="9">
        <f>119383.8+3476.71</f>
        <v>122860.51000000001</v>
      </c>
      <c r="F31" s="9">
        <f>119383.8+3476.71</f>
        <v>122860.51000000001</v>
      </c>
      <c r="G31" s="26">
        <f t="shared" si="11"/>
        <v>67254.510000000009</v>
      </c>
      <c r="H31" s="26">
        <f t="shared" si="12"/>
        <v>67254.510000000009</v>
      </c>
      <c r="I31" s="15">
        <v>0.21</v>
      </c>
      <c r="J31" s="15">
        <v>0.05</v>
      </c>
      <c r="K31" s="16">
        <f t="shared" si="13"/>
        <v>13417.274745000001</v>
      </c>
      <c r="L31" s="16">
        <f t="shared" si="14"/>
        <v>3362.7255000000005</v>
      </c>
      <c r="M31" s="16">
        <f t="shared" si="9"/>
        <v>134237.47767389845</v>
      </c>
      <c r="N31" s="16">
        <v>0</v>
      </c>
    </row>
    <row r="32" spans="1:14" x14ac:dyDescent="0.25">
      <c r="A32" s="11">
        <v>45658</v>
      </c>
      <c r="B32" s="12"/>
      <c r="C32" s="8">
        <v>25468543.289999999</v>
      </c>
      <c r="D32" s="34">
        <v>55606.32</v>
      </c>
      <c r="E32" s="9">
        <f>153214.51-1</f>
        <v>153213.51</v>
      </c>
      <c r="F32" s="9">
        <f>153214.51-1</f>
        <v>153213.51</v>
      </c>
      <c r="G32" s="26">
        <f>E32-D32</f>
        <v>97607.19</v>
      </c>
      <c r="H32" s="26">
        <f>F32-D32</f>
        <v>97607.19</v>
      </c>
      <c r="I32" s="15">
        <v>0.21</v>
      </c>
      <c r="J32" s="15">
        <v>0.05</v>
      </c>
      <c r="K32" s="16">
        <f>G32*I32-L32*I32</f>
        <v>19472.634405000001</v>
      </c>
      <c r="L32" s="16">
        <f>H32*J32</f>
        <v>4880.3595000000005</v>
      </c>
      <c r="M32" s="16">
        <f t="shared" si="9"/>
        <v>158590.47157889843</v>
      </c>
      <c r="N32" s="16">
        <v>0</v>
      </c>
    </row>
    <row r="33" spans="1:14" x14ac:dyDescent="0.25">
      <c r="A33" s="11">
        <v>45689</v>
      </c>
      <c r="B33" s="12"/>
      <c r="C33" s="8">
        <v>25468543.289999999</v>
      </c>
      <c r="D33" s="34">
        <v>55606.32</v>
      </c>
      <c r="E33" s="9">
        <f>153214.51-1</f>
        <v>153213.51</v>
      </c>
      <c r="F33" s="9">
        <f>153214.51-1</f>
        <v>153213.51</v>
      </c>
      <c r="G33" s="26">
        <f>E33-D33</f>
        <v>97607.19</v>
      </c>
      <c r="H33" s="26">
        <f>F33-D33</f>
        <v>97607.19</v>
      </c>
      <c r="I33" s="15">
        <v>0.21</v>
      </c>
      <c r="J33" s="15">
        <v>0.05</v>
      </c>
      <c r="K33" s="16">
        <f>G33*I33-L33*I33</f>
        <v>19472.634405000001</v>
      </c>
      <c r="L33" s="16">
        <f>H33*J33</f>
        <v>4880.3595000000005</v>
      </c>
      <c r="M33" s="16">
        <f t="shared" si="9"/>
        <v>182943.46548389841</v>
      </c>
      <c r="N33" s="1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2" ma:contentTypeDescription="Create a new document." ma:contentTypeScope="" ma:versionID="2e1d1c80ec77a8c56fe4c82fc11f843c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81ffbca3f32a46a0b04316c827b8211d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LFF"/>
                    <xsd:enumeration value="RAR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Fixed NAS FAC/OSS Factor (NFOF)"/>
                    <xsd:enumeration value="Fuel Supply Contracts (FAC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/GLT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– Proof of Publication/Certificate of Notice"/>
          <xsd:enumeration value="10 – eFiled/Filed Documents"/>
          <xsd:enumeration value="10.1 – Application"/>
          <xsd:enumeration value="10.2 – Application - As Filed"/>
          <xsd:enumeration value="11 – Talking Points (Internal Use Only)"/>
          <xsd:enumeration value="12 – Data Request Assignments"/>
          <xsd:enumeration value="13 – Review Checklis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Drake, Michael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1.5 – 1st Data Request/Testimony Support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- Witness E-book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  <xsd:enumeration value="2020 ECR Plan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2025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 xsi:nil="true"/>
    <Review_x0020_Case_x0020_Expense_x0020_Period xmlns="65bfb563-8fe2-4d34-a09f-38a217d8feea">Mar-Feb (ECR)</Review_x0020_Case_x0020_Expense_x0020_Period>
    <Filing_x0020_Doc_x0020_Types xmlns="65bfb563-8fe2-4d34-a09f-38a217d8feea" xsi:nil="true"/>
    <Company xmlns="65bfb563-8fe2-4d34-a09f-38a217d8feea">
      <Value>LGE</Value>
    </Company>
  </documentManagement>
</p:properties>
</file>

<file path=customXml/itemProps1.xml><?xml version="1.0" encoding="utf-8"?>
<ds:datastoreItem xmlns:ds="http://schemas.openxmlformats.org/officeDocument/2006/customXml" ds:itemID="{58C7D72D-547D-4E8E-A300-A93052C368A4}"/>
</file>

<file path=customXml/itemProps2.xml><?xml version="1.0" encoding="utf-8"?>
<ds:datastoreItem xmlns:ds="http://schemas.openxmlformats.org/officeDocument/2006/customXml" ds:itemID="{E7C875DD-69F6-4DA8-894D-4D0E60D00EA6}"/>
</file>

<file path=customXml/itemProps3.xml><?xml version="1.0" encoding="utf-8"?>
<ds:datastoreItem xmlns:ds="http://schemas.openxmlformats.org/officeDocument/2006/customXml" ds:itemID="{A1C5FEC9-9EE0-42A9-ADE1-BC4BE5F56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Project 24</vt:lpstr>
      <vt:lpstr>Project 25</vt:lpstr>
      <vt:lpstr>Project 29</vt:lpstr>
      <vt:lpstr>Project 30</vt:lpstr>
      <vt:lpstr>Project 31</vt:lpstr>
      <vt:lpstr>Project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Jay Fister</dc:creator>
  <cp:lastModifiedBy>Jay Fister</cp:lastModifiedBy>
  <dcterms:created xsi:type="dcterms:W3CDTF">2025-07-02T17:36:49Z</dcterms:created>
  <dcterms:modified xsi:type="dcterms:W3CDTF">2025-07-08T19:34:46Z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2025-07-02T17:37:58Z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d626dd9c-e820-45bf-b3aa-52efbc34840a</vt:lpwstr>
  </property>
  <property fmtid="{D5CDD505-2E9C-101B-9397-08002B2CF9AE}" pid="8" name="MSIP_Label_e0c8e74a-db15-49f1-980d-3d74f2e3ff07_ContentBits">
    <vt:lpwstr>2</vt:lpwstr>
  </property>
  <property fmtid="{D5CDD505-2E9C-101B-9397-08002B2CF9AE}" pid="9" name="ContentTypeId">
    <vt:lpwstr>0x010100FF510F20E04BCF41BE361D2F61EE6FFA</vt:lpwstr>
  </property>
</Properties>
</file>