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ECR\2025\2 year review ending Feb 2025\"/>
    </mc:Choice>
  </mc:AlternateContent>
  <xr:revisionPtr revIDLastSave="0" documentId="13_ncr:1_{AAC87450-9394-47D3-A3D9-5D4AEBF7D569}" xr6:coauthVersionLast="47" xr6:coauthVersionMax="47" xr10:uidLastSave="{00000000-0000-0000-0000-000000000000}"/>
  <bookViews>
    <workbookView xWindow="2295" yWindow="1560" windowWidth="21600" windowHeight="13890" activeTab="5" xr2:uid="{E82836EA-0146-46C4-9E1F-0E79278FB83F}"/>
  </bookViews>
  <sheets>
    <sheet name="Project 32" sheetId="1" r:id="rId1"/>
    <sheet name="Project 33" sheetId="2" r:id="rId2"/>
    <sheet name="Project 40" sheetId="3" r:id="rId3"/>
    <sheet name="Project 41" sheetId="4" r:id="rId4"/>
    <sheet name="Project 42" sheetId="5" r:id="rId5"/>
    <sheet name="Project 43" sheetId="6" r:id="rId6"/>
    <sheet name="Project 44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6" l="1"/>
  <c r="E26" i="6"/>
  <c r="F25" i="6"/>
  <c r="E25" i="6"/>
  <c r="F24" i="6"/>
  <c r="E24" i="6"/>
  <c r="F33" i="5" l="1"/>
  <c r="E33" i="5"/>
  <c r="F32" i="5"/>
  <c r="E32" i="5"/>
  <c r="F32" i="3"/>
  <c r="E32" i="3"/>
  <c r="F30" i="6"/>
  <c r="E30" i="6"/>
  <c r="F28" i="2"/>
  <c r="E28" i="2"/>
  <c r="F29" i="1"/>
  <c r="F28" i="1"/>
  <c r="E29" i="1"/>
  <c r="E28" i="1"/>
  <c r="F29" i="4"/>
  <c r="E29" i="4"/>
  <c r="F28" i="4"/>
  <c r="E28" i="4"/>
  <c r="H25" i="6"/>
  <c r="L25" i="6" s="1"/>
  <c r="F27" i="6"/>
  <c r="H27" i="6" s="1"/>
  <c r="L27" i="6" s="1"/>
  <c r="E27" i="6"/>
  <c r="G27" i="6" s="1"/>
  <c r="H26" i="6"/>
  <c r="L26" i="6" s="1"/>
  <c r="G26" i="6"/>
  <c r="G25" i="6"/>
  <c r="H24" i="6"/>
  <c r="L24" i="6" s="1"/>
  <c r="G24" i="6"/>
  <c r="K26" i="6" l="1"/>
  <c r="K25" i="6"/>
  <c r="K27" i="6"/>
  <c r="K24" i="6"/>
  <c r="H33" i="7" l="1"/>
  <c r="L33" i="7" s="1"/>
  <c r="F33" i="7"/>
  <c r="E33" i="7"/>
  <c r="G33" i="7" s="1"/>
  <c r="G32" i="7"/>
  <c r="K32" i="7" s="1"/>
  <c r="F32" i="7"/>
  <c r="H32" i="7" s="1"/>
  <c r="L32" i="7" s="1"/>
  <c r="E32" i="7"/>
  <c r="F31" i="7"/>
  <c r="H31" i="7" s="1"/>
  <c r="L31" i="7" s="1"/>
  <c r="E31" i="7"/>
  <c r="G31" i="7" s="1"/>
  <c r="K31" i="7" s="1"/>
  <c r="F30" i="7"/>
  <c r="H30" i="7" s="1"/>
  <c r="L30" i="7" s="1"/>
  <c r="E30" i="7"/>
  <c r="G30" i="7" s="1"/>
  <c r="H29" i="7"/>
  <c r="L29" i="7" s="1"/>
  <c r="F29" i="7"/>
  <c r="E29" i="7"/>
  <c r="G29" i="7" s="1"/>
  <c r="H28" i="7"/>
  <c r="L28" i="7" s="1"/>
  <c r="G28" i="7"/>
  <c r="K28" i="7" s="1"/>
  <c r="F28" i="7"/>
  <c r="E28" i="7"/>
  <c r="M10" i="7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K10" i="7"/>
  <c r="L10" i="7"/>
  <c r="K11" i="7"/>
  <c r="L11" i="7"/>
  <c r="L12" i="7"/>
  <c r="K12" i="7" s="1"/>
  <c r="K13" i="7"/>
  <c r="L13" i="7"/>
  <c r="L14" i="7"/>
  <c r="K14" i="7" s="1"/>
  <c r="L15" i="7"/>
  <c r="K15" i="7" s="1"/>
  <c r="L16" i="7"/>
  <c r="K16" i="7" s="1"/>
  <c r="K17" i="7"/>
  <c r="L17" i="7"/>
  <c r="K18" i="7"/>
  <c r="L18" i="7"/>
  <c r="K19" i="7"/>
  <c r="L19" i="7"/>
  <c r="L20" i="7"/>
  <c r="K20" i="7" s="1"/>
  <c r="K21" i="7"/>
  <c r="L21" i="7"/>
  <c r="H10" i="7"/>
  <c r="H11" i="7"/>
  <c r="H12" i="7"/>
  <c r="H13" i="7"/>
  <c r="H14" i="7"/>
  <c r="H15" i="7"/>
  <c r="H16" i="7"/>
  <c r="H17" i="7"/>
  <c r="H18" i="7"/>
  <c r="H19" i="7"/>
  <c r="H20" i="7"/>
  <c r="H21" i="7"/>
  <c r="G10" i="7"/>
  <c r="G11" i="7"/>
  <c r="G12" i="7"/>
  <c r="G13" i="7"/>
  <c r="G14" i="7"/>
  <c r="G15" i="7"/>
  <c r="G16" i="7"/>
  <c r="G17" i="7"/>
  <c r="G18" i="7"/>
  <c r="G19" i="7"/>
  <c r="G20" i="7"/>
  <c r="G21" i="7"/>
  <c r="F27" i="7"/>
  <c r="H27" i="7" s="1"/>
  <c r="L27" i="7" s="1"/>
  <c r="E27" i="7"/>
  <c r="G27" i="7" s="1"/>
  <c r="F26" i="7"/>
  <c r="H26" i="7" s="1"/>
  <c r="L26" i="7" s="1"/>
  <c r="E26" i="7"/>
  <c r="G26" i="7" s="1"/>
  <c r="F25" i="7"/>
  <c r="H25" i="7" s="1"/>
  <c r="L25" i="7" s="1"/>
  <c r="E25" i="7"/>
  <c r="G25" i="7" s="1"/>
  <c r="F24" i="7"/>
  <c r="H24" i="7" s="1"/>
  <c r="L24" i="7" s="1"/>
  <c r="E24" i="7"/>
  <c r="G24" i="7" s="1"/>
  <c r="H23" i="7"/>
  <c r="L23" i="7" s="1"/>
  <c r="G23" i="7"/>
  <c r="H22" i="7"/>
  <c r="L22" i="7" s="1"/>
  <c r="G22" i="7"/>
  <c r="F33" i="6"/>
  <c r="H33" i="6" s="1"/>
  <c r="L33" i="6" s="1"/>
  <c r="E33" i="6"/>
  <c r="G33" i="6" s="1"/>
  <c r="F32" i="6"/>
  <c r="H32" i="6" s="1"/>
  <c r="L32" i="6" s="1"/>
  <c r="E32" i="6"/>
  <c r="G32" i="6" s="1"/>
  <c r="K32" i="6" s="1"/>
  <c r="F31" i="6"/>
  <c r="H31" i="6" s="1"/>
  <c r="L31" i="6" s="1"/>
  <c r="E31" i="6"/>
  <c r="G31" i="6" s="1"/>
  <c r="H30" i="6"/>
  <c r="L30" i="6" s="1"/>
  <c r="G30" i="6"/>
  <c r="H29" i="6"/>
  <c r="L29" i="6" s="1"/>
  <c r="F29" i="6"/>
  <c r="E29" i="6"/>
  <c r="G29" i="6" s="1"/>
  <c r="H28" i="6"/>
  <c r="L28" i="6" s="1"/>
  <c r="G28" i="6"/>
  <c r="F28" i="6"/>
  <c r="E28" i="6"/>
  <c r="F23" i="6"/>
  <c r="H23" i="6" s="1"/>
  <c r="L23" i="6" s="1"/>
  <c r="E23" i="6"/>
  <c r="G23" i="6" s="1"/>
  <c r="L22" i="6"/>
  <c r="H22" i="6"/>
  <c r="F22" i="6"/>
  <c r="E22" i="6"/>
  <c r="G22" i="6" s="1"/>
  <c r="H21" i="6"/>
  <c r="L21" i="6" s="1"/>
  <c r="G21" i="6"/>
  <c r="H20" i="6"/>
  <c r="L20" i="6" s="1"/>
  <c r="G20" i="6"/>
  <c r="L19" i="6"/>
  <c r="K19" i="6"/>
  <c r="H19" i="6"/>
  <c r="G19" i="6"/>
  <c r="H18" i="6"/>
  <c r="L18" i="6" s="1"/>
  <c r="K18" i="6" s="1"/>
  <c r="G18" i="6"/>
  <c r="F18" i="6"/>
  <c r="E18" i="6"/>
  <c r="H17" i="6"/>
  <c r="L17" i="6" s="1"/>
  <c r="G17" i="6"/>
  <c r="K17" i="6" s="1"/>
  <c r="F17" i="6"/>
  <c r="E17" i="6"/>
  <c r="G16" i="6"/>
  <c r="F16" i="6"/>
  <c r="H16" i="6" s="1"/>
  <c r="L16" i="6" s="1"/>
  <c r="E16" i="6"/>
  <c r="F15" i="6"/>
  <c r="H15" i="6" s="1"/>
  <c r="L15" i="6" s="1"/>
  <c r="E15" i="6"/>
  <c r="G15" i="6" s="1"/>
  <c r="K15" i="6" s="1"/>
  <c r="F14" i="6"/>
  <c r="H14" i="6" s="1"/>
  <c r="L14" i="6" s="1"/>
  <c r="E14" i="6"/>
  <c r="G14" i="6" s="1"/>
  <c r="K14" i="6" s="1"/>
  <c r="F13" i="6"/>
  <c r="H13" i="6" s="1"/>
  <c r="L13" i="6" s="1"/>
  <c r="E13" i="6"/>
  <c r="G13" i="6" s="1"/>
  <c r="K13" i="6" s="1"/>
  <c r="F12" i="6"/>
  <c r="H12" i="6" s="1"/>
  <c r="L12" i="6" s="1"/>
  <c r="E12" i="6"/>
  <c r="G12" i="6" s="1"/>
  <c r="K12" i="6" s="1"/>
  <c r="H11" i="6"/>
  <c r="L11" i="6" s="1"/>
  <c r="F11" i="6"/>
  <c r="E11" i="6"/>
  <c r="G11" i="6" s="1"/>
  <c r="K11" i="6" s="1"/>
  <c r="H10" i="6"/>
  <c r="L10" i="6" s="1"/>
  <c r="G10" i="6"/>
  <c r="F10" i="6"/>
  <c r="E10" i="6"/>
  <c r="H33" i="5"/>
  <c r="L33" i="5" s="1"/>
  <c r="G33" i="5"/>
  <c r="H32" i="5"/>
  <c r="L32" i="5" s="1"/>
  <c r="G32" i="5"/>
  <c r="G31" i="5"/>
  <c r="F31" i="5"/>
  <c r="H31" i="5" s="1"/>
  <c r="L31" i="5" s="1"/>
  <c r="E31" i="5"/>
  <c r="F30" i="5"/>
  <c r="H30" i="5" s="1"/>
  <c r="L30" i="5" s="1"/>
  <c r="E30" i="5"/>
  <c r="G30" i="5" s="1"/>
  <c r="H29" i="5"/>
  <c r="L29" i="5" s="1"/>
  <c r="F29" i="5"/>
  <c r="E29" i="5"/>
  <c r="G29" i="5" s="1"/>
  <c r="H28" i="5"/>
  <c r="L28" i="5" s="1"/>
  <c r="G28" i="5"/>
  <c r="F28" i="5"/>
  <c r="E28" i="5"/>
  <c r="F27" i="5"/>
  <c r="H27" i="5" s="1"/>
  <c r="L27" i="5" s="1"/>
  <c r="E27" i="5"/>
  <c r="G27" i="5" s="1"/>
  <c r="F26" i="5"/>
  <c r="H26" i="5" s="1"/>
  <c r="L26" i="5" s="1"/>
  <c r="E26" i="5"/>
  <c r="G26" i="5" s="1"/>
  <c r="K26" i="5" s="1"/>
  <c r="F25" i="5"/>
  <c r="H25" i="5" s="1"/>
  <c r="L25" i="5" s="1"/>
  <c r="E25" i="5"/>
  <c r="G25" i="5" s="1"/>
  <c r="K25" i="5" s="1"/>
  <c r="F24" i="5"/>
  <c r="H24" i="5" s="1"/>
  <c r="L24" i="5" s="1"/>
  <c r="E24" i="5"/>
  <c r="G24" i="5" s="1"/>
  <c r="K24" i="5" s="1"/>
  <c r="H23" i="5"/>
  <c r="L23" i="5" s="1"/>
  <c r="F23" i="5"/>
  <c r="E23" i="5"/>
  <c r="G23" i="5" s="1"/>
  <c r="H22" i="5"/>
  <c r="L22" i="5" s="1"/>
  <c r="G22" i="5"/>
  <c r="F22" i="5"/>
  <c r="E22" i="5"/>
  <c r="H21" i="5"/>
  <c r="L21" i="5" s="1"/>
  <c r="G21" i="5"/>
  <c r="H20" i="5"/>
  <c r="L20" i="5" s="1"/>
  <c r="K20" i="5" s="1"/>
  <c r="G20" i="5"/>
  <c r="F19" i="5"/>
  <c r="H19" i="5" s="1"/>
  <c r="L19" i="5" s="1"/>
  <c r="E19" i="5"/>
  <c r="G19" i="5" s="1"/>
  <c r="K19" i="5" s="1"/>
  <c r="H18" i="5"/>
  <c r="L18" i="5" s="1"/>
  <c r="F18" i="5"/>
  <c r="E18" i="5"/>
  <c r="G18" i="5" s="1"/>
  <c r="G17" i="5"/>
  <c r="F17" i="5"/>
  <c r="H17" i="5" s="1"/>
  <c r="L17" i="5" s="1"/>
  <c r="E17" i="5"/>
  <c r="F16" i="5"/>
  <c r="H16" i="5" s="1"/>
  <c r="L16" i="5" s="1"/>
  <c r="E16" i="5"/>
  <c r="G16" i="5" s="1"/>
  <c r="K16" i="5" s="1"/>
  <c r="F15" i="5"/>
  <c r="H15" i="5" s="1"/>
  <c r="L15" i="5" s="1"/>
  <c r="E15" i="5"/>
  <c r="G15" i="5" s="1"/>
  <c r="G14" i="5"/>
  <c r="F14" i="5"/>
  <c r="H14" i="5" s="1"/>
  <c r="L14" i="5" s="1"/>
  <c r="E14" i="5"/>
  <c r="F13" i="5"/>
  <c r="H13" i="5" s="1"/>
  <c r="L13" i="5" s="1"/>
  <c r="E13" i="5"/>
  <c r="G13" i="5" s="1"/>
  <c r="K13" i="5" s="1"/>
  <c r="F12" i="5"/>
  <c r="H12" i="5" s="1"/>
  <c r="L12" i="5" s="1"/>
  <c r="E12" i="5"/>
  <c r="G12" i="5" s="1"/>
  <c r="H11" i="5"/>
  <c r="L11" i="5" s="1"/>
  <c r="F11" i="5"/>
  <c r="E11" i="5"/>
  <c r="G11" i="5" s="1"/>
  <c r="K11" i="5" s="1"/>
  <c r="H10" i="5"/>
  <c r="L10" i="5" s="1"/>
  <c r="G10" i="5"/>
  <c r="K10" i="5" s="1"/>
  <c r="M10" i="5" s="1"/>
  <c r="M11" i="5" s="1"/>
  <c r="F10" i="5"/>
  <c r="E10" i="5"/>
  <c r="E55" i="4"/>
  <c r="E56" i="4" s="1"/>
  <c r="H54" i="4"/>
  <c r="F54" i="4"/>
  <c r="F53" i="4"/>
  <c r="H53" i="4" s="1"/>
  <c r="H52" i="4"/>
  <c r="F52" i="4"/>
  <c r="E46" i="4"/>
  <c r="E47" i="4" s="1"/>
  <c r="F45" i="4"/>
  <c r="H45" i="4" s="1"/>
  <c r="H44" i="4"/>
  <c r="F44" i="4"/>
  <c r="H43" i="4"/>
  <c r="F43" i="4"/>
  <c r="H33" i="4"/>
  <c r="L33" i="4" s="1"/>
  <c r="F33" i="4"/>
  <c r="E33" i="4"/>
  <c r="G33" i="4" s="1"/>
  <c r="G32" i="4"/>
  <c r="F32" i="4"/>
  <c r="H32" i="4" s="1"/>
  <c r="L32" i="4" s="1"/>
  <c r="E32" i="4"/>
  <c r="F31" i="4"/>
  <c r="H31" i="4" s="1"/>
  <c r="L31" i="4" s="1"/>
  <c r="E31" i="4"/>
  <c r="G31" i="4" s="1"/>
  <c r="K31" i="4" s="1"/>
  <c r="F30" i="4"/>
  <c r="H30" i="4" s="1"/>
  <c r="L30" i="4" s="1"/>
  <c r="E30" i="4"/>
  <c r="G30" i="4" s="1"/>
  <c r="H29" i="4"/>
  <c r="L29" i="4" s="1"/>
  <c r="G29" i="4"/>
  <c r="H28" i="4"/>
  <c r="L28" i="4" s="1"/>
  <c r="G28" i="4"/>
  <c r="G27" i="4"/>
  <c r="F27" i="4"/>
  <c r="H27" i="4" s="1"/>
  <c r="L27" i="4" s="1"/>
  <c r="E27" i="4"/>
  <c r="F26" i="4"/>
  <c r="H26" i="4" s="1"/>
  <c r="L26" i="4" s="1"/>
  <c r="E26" i="4"/>
  <c r="G26" i="4" s="1"/>
  <c r="F25" i="4"/>
  <c r="H25" i="4" s="1"/>
  <c r="L25" i="4" s="1"/>
  <c r="E25" i="4"/>
  <c r="G25" i="4" s="1"/>
  <c r="H24" i="4"/>
  <c r="L24" i="4" s="1"/>
  <c r="F24" i="4"/>
  <c r="E24" i="4"/>
  <c r="G24" i="4" s="1"/>
  <c r="H23" i="4"/>
  <c r="L23" i="4" s="1"/>
  <c r="G23" i="4"/>
  <c r="K23" i="4" s="1"/>
  <c r="F23" i="4"/>
  <c r="E23" i="4"/>
  <c r="G22" i="4"/>
  <c r="F22" i="4"/>
  <c r="H22" i="4" s="1"/>
  <c r="L22" i="4" s="1"/>
  <c r="E22" i="4"/>
  <c r="G21" i="4"/>
  <c r="F21" i="4"/>
  <c r="H21" i="4" s="1"/>
  <c r="L21" i="4" s="1"/>
  <c r="E21" i="4"/>
  <c r="H20" i="4"/>
  <c r="L20" i="4" s="1"/>
  <c r="K20" i="4" s="1"/>
  <c r="G20" i="4"/>
  <c r="H19" i="4"/>
  <c r="L19" i="4" s="1"/>
  <c r="G19" i="4"/>
  <c r="F19" i="4"/>
  <c r="E19" i="4"/>
  <c r="G18" i="4"/>
  <c r="F18" i="4"/>
  <c r="H18" i="4" s="1"/>
  <c r="L18" i="4" s="1"/>
  <c r="K18" i="4" s="1"/>
  <c r="E18" i="4"/>
  <c r="H17" i="4"/>
  <c r="L17" i="4" s="1"/>
  <c r="F17" i="4"/>
  <c r="E17" i="4"/>
  <c r="G17" i="4" s="1"/>
  <c r="H16" i="4"/>
  <c r="L16" i="4" s="1"/>
  <c r="G16" i="4"/>
  <c r="F16" i="4"/>
  <c r="E16" i="4"/>
  <c r="F15" i="4"/>
  <c r="H15" i="4" s="1"/>
  <c r="L15" i="4" s="1"/>
  <c r="E15" i="4"/>
  <c r="G15" i="4" s="1"/>
  <c r="F14" i="4"/>
  <c r="H14" i="4" s="1"/>
  <c r="L14" i="4" s="1"/>
  <c r="E14" i="4"/>
  <c r="G14" i="4" s="1"/>
  <c r="F13" i="4"/>
  <c r="H13" i="4" s="1"/>
  <c r="L13" i="4" s="1"/>
  <c r="E13" i="4"/>
  <c r="G13" i="4" s="1"/>
  <c r="K13" i="4" s="1"/>
  <c r="H12" i="4"/>
  <c r="L12" i="4" s="1"/>
  <c r="F12" i="4"/>
  <c r="E12" i="4"/>
  <c r="G12" i="4" s="1"/>
  <c r="H11" i="4"/>
  <c r="L11" i="4" s="1"/>
  <c r="G11" i="4"/>
  <c r="F11" i="4"/>
  <c r="E11" i="4"/>
  <c r="G10" i="4"/>
  <c r="F10" i="4"/>
  <c r="H10" i="4" s="1"/>
  <c r="L10" i="4" s="1"/>
  <c r="E10" i="4"/>
  <c r="F33" i="3"/>
  <c r="H33" i="3" s="1"/>
  <c r="L33" i="3" s="1"/>
  <c r="E33" i="3"/>
  <c r="G33" i="3" s="1"/>
  <c r="K33" i="3" s="1"/>
  <c r="H32" i="3"/>
  <c r="L32" i="3" s="1"/>
  <c r="G32" i="3"/>
  <c r="F31" i="3"/>
  <c r="H31" i="3" s="1"/>
  <c r="L31" i="3" s="1"/>
  <c r="E31" i="3"/>
  <c r="G31" i="3" s="1"/>
  <c r="K31" i="3" s="1"/>
  <c r="F30" i="3"/>
  <c r="H30" i="3" s="1"/>
  <c r="L30" i="3" s="1"/>
  <c r="E30" i="3"/>
  <c r="G30" i="3" s="1"/>
  <c r="K30" i="3" s="1"/>
  <c r="H29" i="3"/>
  <c r="L29" i="3" s="1"/>
  <c r="F29" i="3"/>
  <c r="E29" i="3"/>
  <c r="G29" i="3" s="1"/>
  <c r="K29" i="3" s="1"/>
  <c r="H28" i="3"/>
  <c r="L28" i="3" s="1"/>
  <c r="G28" i="3"/>
  <c r="F28" i="3"/>
  <c r="E28" i="3"/>
  <c r="H27" i="3"/>
  <c r="L27" i="3" s="1"/>
  <c r="F27" i="3"/>
  <c r="E27" i="3"/>
  <c r="G27" i="3" s="1"/>
  <c r="K27" i="3" s="1"/>
  <c r="G26" i="3"/>
  <c r="F26" i="3"/>
  <c r="H26" i="3" s="1"/>
  <c r="L26" i="3" s="1"/>
  <c r="E26" i="3"/>
  <c r="F25" i="3"/>
  <c r="H25" i="3" s="1"/>
  <c r="L25" i="3" s="1"/>
  <c r="E25" i="3"/>
  <c r="G25" i="3" s="1"/>
  <c r="K25" i="3" s="1"/>
  <c r="F24" i="3"/>
  <c r="H24" i="3" s="1"/>
  <c r="L24" i="3" s="1"/>
  <c r="E24" i="3"/>
  <c r="G24" i="3" s="1"/>
  <c r="H23" i="3"/>
  <c r="L23" i="3" s="1"/>
  <c r="F23" i="3"/>
  <c r="E23" i="3"/>
  <c r="G23" i="3" s="1"/>
  <c r="H22" i="3"/>
  <c r="L22" i="3" s="1"/>
  <c r="G22" i="3"/>
  <c r="K22" i="3" s="1"/>
  <c r="M22" i="3" s="1"/>
  <c r="F22" i="3"/>
  <c r="E22" i="3"/>
  <c r="F21" i="3"/>
  <c r="H21" i="3" s="1"/>
  <c r="L21" i="3" s="1"/>
  <c r="E21" i="3"/>
  <c r="G21" i="3" s="1"/>
  <c r="K21" i="3" s="1"/>
  <c r="H20" i="3"/>
  <c r="L20" i="3" s="1"/>
  <c r="G20" i="3"/>
  <c r="H19" i="3"/>
  <c r="L19" i="3" s="1"/>
  <c r="G19" i="3"/>
  <c r="K19" i="3" s="1"/>
  <c r="F19" i="3"/>
  <c r="E19" i="3"/>
  <c r="G18" i="3"/>
  <c r="F18" i="3"/>
  <c r="H18" i="3" s="1"/>
  <c r="L18" i="3" s="1"/>
  <c r="E18" i="3"/>
  <c r="F17" i="3"/>
  <c r="H17" i="3" s="1"/>
  <c r="L17" i="3" s="1"/>
  <c r="E17" i="3"/>
  <c r="G17" i="3" s="1"/>
  <c r="K17" i="3" s="1"/>
  <c r="F16" i="3"/>
  <c r="H16" i="3" s="1"/>
  <c r="L16" i="3" s="1"/>
  <c r="E16" i="3"/>
  <c r="G16" i="3" s="1"/>
  <c r="K16" i="3" s="1"/>
  <c r="F15" i="3"/>
  <c r="H15" i="3" s="1"/>
  <c r="L15" i="3" s="1"/>
  <c r="E15" i="3"/>
  <c r="G15" i="3" s="1"/>
  <c r="F14" i="3"/>
  <c r="H14" i="3" s="1"/>
  <c r="L14" i="3" s="1"/>
  <c r="E14" i="3"/>
  <c r="G14" i="3" s="1"/>
  <c r="K14" i="3" s="1"/>
  <c r="F13" i="3"/>
  <c r="H13" i="3" s="1"/>
  <c r="L13" i="3" s="1"/>
  <c r="E13" i="3"/>
  <c r="G13" i="3" s="1"/>
  <c r="K13" i="3" s="1"/>
  <c r="F12" i="3"/>
  <c r="H12" i="3" s="1"/>
  <c r="L12" i="3" s="1"/>
  <c r="E12" i="3"/>
  <c r="G12" i="3" s="1"/>
  <c r="K12" i="3" s="1"/>
  <c r="H11" i="3"/>
  <c r="L11" i="3" s="1"/>
  <c r="F11" i="3"/>
  <c r="E11" i="3"/>
  <c r="G11" i="3" s="1"/>
  <c r="H10" i="3"/>
  <c r="L10" i="3" s="1"/>
  <c r="G10" i="3"/>
  <c r="F10" i="3"/>
  <c r="E10" i="3"/>
  <c r="E52" i="2"/>
  <c r="F51" i="2"/>
  <c r="H51" i="2" s="1"/>
  <c r="F50" i="2"/>
  <c r="F52" i="2" s="1"/>
  <c r="E45" i="2"/>
  <c r="F44" i="2"/>
  <c r="F45" i="2" s="1"/>
  <c r="F43" i="2"/>
  <c r="H43" i="2" s="1"/>
  <c r="F33" i="2"/>
  <c r="H33" i="2" s="1"/>
  <c r="L33" i="2" s="1"/>
  <c r="E33" i="2"/>
  <c r="G33" i="2" s="1"/>
  <c r="F32" i="2"/>
  <c r="H32" i="2" s="1"/>
  <c r="L32" i="2" s="1"/>
  <c r="E32" i="2"/>
  <c r="G32" i="2" s="1"/>
  <c r="K32" i="2" s="1"/>
  <c r="F31" i="2"/>
  <c r="H31" i="2" s="1"/>
  <c r="L31" i="2" s="1"/>
  <c r="E31" i="2"/>
  <c r="G31" i="2" s="1"/>
  <c r="K31" i="2" s="1"/>
  <c r="F30" i="2"/>
  <c r="H30" i="2" s="1"/>
  <c r="L30" i="2" s="1"/>
  <c r="E30" i="2"/>
  <c r="G30" i="2" s="1"/>
  <c r="K30" i="2" s="1"/>
  <c r="H29" i="2"/>
  <c r="L29" i="2" s="1"/>
  <c r="F29" i="2"/>
  <c r="E29" i="2"/>
  <c r="G29" i="2" s="1"/>
  <c r="K29" i="2" s="1"/>
  <c r="H28" i="2"/>
  <c r="L28" i="2" s="1"/>
  <c r="G28" i="2"/>
  <c r="F27" i="2"/>
  <c r="H27" i="2" s="1"/>
  <c r="L27" i="2" s="1"/>
  <c r="E27" i="2"/>
  <c r="G27" i="2" s="1"/>
  <c r="K27" i="2" s="1"/>
  <c r="F26" i="2"/>
  <c r="H26" i="2" s="1"/>
  <c r="L26" i="2" s="1"/>
  <c r="E26" i="2"/>
  <c r="G26" i="2" s="1"/>
  <c r="F25" i="2"/>
  <c r="H25" i="2" s="1"/>
  <c r="L25" i="2" s="1"/>
  <c r="E25" i="2"/>
  <c r="G25" i="2" s="1"/>
  <c r="F24" i="2"/>
  <c r="H24" i="2" s="1"/>
  <c r="L24" i="2" s="1"/>
  <c r="E24" i="2"/>
  <c r="G24" i="2" s="1"/>
  <c r="K24" i="2" s="1"/>
  <c r="H23" i="2"/>
  <c r="L23" i="2" s="1"/>
  <c r="F23" i="2"/>
  <c r="E23" i="2"/>
  <c r="G23" i="2" s="1"/>
  <c r="K23" i="2" s="1"/>
  <c r="G22" i="2"/>
  <c r="F22" i="2"/>
  <c r="H22" i="2" s="1"/>
  <c r="L22" i="2" s="1"/>
  <c r="E22" i="2"/>
  <c r="F21" i="2"/>
  <c r="H21" i="2" s="1"/>
  <c r="L21" i="2" s="1"/>
  <c r="E21" i="2"/>
  <c r="G21" i="2" s="1"/>
  <c r="H20" i="2"/>
  <c r="L20" i="2" s="1"/>
  <c r="G20" i="2"/>
  <c r="H19" i="2"/>
  <c r="L19" i="2" s="1"/>
  <c r="E19" i="2"/>
  <c r="G19" i="2" s="1"/>
  <c r="H18" i="2"/>
  <c r="L18" i="2" s="1"/>
  <c r="E18" i="2"/>
  <c r="G18" i="2" s="1"/>
  <c r="K18" i="2" s="1"/>
  <c r="H17" i="2"/>
  <c r="L17" i="2" s="1"/>
  <c r="E17" i="2"/>
  <c r="G17" i="2" s="1"/>
  <c r="H16" i="2"/>
  <c r="L16" i="2" s="1"/>
  <c r="E16" i="2"/>
  <c r="G16" i="2" s="1"/>
  <c r="H15" i="2"/>
  <c r="L15" i="2" s="1"/>
  <c r="F15" i="2"/>
  <c r="E15" i="2"/>
  <c r="G15" i="2" s="1"/>
  <c r="K15" i="2" s="1"/>
  <c r="F14" i="2"/>
  <c r="H14" i="2" s="1"/>
  <c r="L14" i="2" s="1"/>
  <c r="E14" i="2"/>
  <c r="G14" i="2" s="1"/>
  <c r="K14" i="2" s="1"/>
  <c r="F13" i="2"/>
  <c r="H13" i="2" s="1"/>
  <c r="L13" i="2" s="1"/>
  <c r="E13" i="2"/>
  <c r="G13" i="2" s="1"/>
  <c r="K13" i="2" s="1"/>
  <c r="L12" i="2"/>
  <c r="H12" i="2"/>
  <c r="F12" i="2"/>
  <c r="E12" i="2"/>
  <c r="G12" i="2" s="1"/>
  <c r="K12" i="2" s="1"/>
  <c r="H11" i="2"/>
  <c r="L11" i="2" s="1"/>
  <c r="G11" i="2"/>
  <c r="K11" i="2" s="1"/>
  <c r="F11" i="2"/>
  <c r="E11" i="2"/>
  <c r="G10" i="2"/>
  <c r="F10" i="2"/>
  <c r="H10" i="2" s="1"/>
  <c r="L10" i="2" s="1"/>
  <c r="E10" i="2"/>
  <c r="E67" i="1"/>
  <c r="E66" i="1"/>
  <c r="F66" i="1" s="1"/>
  <c r="C66" i="1"/>
  <c r="F65" i="1"/>
  <c r="H65" i="1" s="1"/>
  <c r="H64" i="1"/>
  <c r="F64" i="1"/>
  <c r="F63" i="1"/>
  <c r="H63" i="1" s="1"/>
  <c r="F62" i="1"/>
  <c r="H62" i="1" s="1"/>
  <c r="F61" i="1"/>
  <c r="H61" i="1" s="1"/>
  <c r="H60" i="1"/>
  <c r="F60" i="1"/>
  <c r="F59" i="1"/>
  <c r="H59" i="1" s="1"/>
  <c r="F58" i="1"/>
  <c r="H58" i="1" s="1"/>
  <c r="E53" i="1"/>
  <c r="F52" i="1"/>
  <c r="H52" i="1" s="1"/>
  <c r="E52" i="1"/>
  <c r="C52" i="1"/>
  <c r="H51" i="1"/>
  <c r="F51" i="1"/>
  <c r="F50" i="1"/>
  <c r="H50" i="1" s="1"/>
  <c r="F49" i="1"/>
  <c r="H49" i="1" s="1"/>
  <c r="F48" i="1"/>
  <c r="H48" i="1" s="1"/>
  <c r="H47" i="1"/>
  <c r="F47" i="1"/>
  <c r="F46" i="1"/>
  <c r="H46" i="1" s="1"/>
  <c r="F45" i="1"/>
  <c r="H45" i="1" s="1"/>
  <c r="F44" i="1"/>
  <c r="H44" i="1" s="1"/>
  <c r="H43" i="1"/>
  <c r="F43" i="1"/>
  <c r="F53" i="1" s="1"/>
  <c r="F33" i="1"/>
  <c r="H33" i="1" s="1"/>
  <c r="L33" i="1" s="1"/>
  <c r="E33" i="1"/>
  <c r="G33" i="1" s="1"/>
  <c r="K33" i="1" s="1"/>
  <c r="F32" i="1"/>
  <c r="H32" i="1" s="1"/>
  <c r="L32" i="1" s="1"/>
  <c r="E32" i="1"/>
  <c r="G32" i="1" s="1"/>
  <c r="F31" i="1"/>
  <c r="H31" i="1" s="1"/>
  <c r="L31" i="1" s="1"/>
  <c r="E31" i="1"/>
  <c r="G31" i="1" s="1"/>
  <c r="F30" i="1"/>
  <c r="H30" i="1" s="1"/>
  <c r="L30" i="1" s="1"/>
  <c r="E30" i="1"/>
  <c r="G30" i="1" s="1"/>
  <c r="K30" i="1" s="1"/>
  <c r="H29" i="1"/>
  <c r="L29" i="1" s="1"/>
  <c r="G29" i="1"/>
  <c r="H28" i="1"/>
  <c r="L28" i="1" s="1"/>
  <c r="G28" i="1"/>
  <c r="F27" i="1"/>
  <c r="H27" i="1" s="1"/>
  <c r="L27" i="1" s="1"/>
  <c r="E27" i="1"/>
  <c r="G27" i="1" s="1"/>
  <c r="F26" i="1"/>
  <c r="H26" i="1" s="1"/>
  <c r="L26" i="1" s="1"/>
  <c r="E26" i="1"/>
  <c r="G26" i="1" s="1"/>
  <c r="K26" i="1" s="1"/>
  <c r="F25" i="1"/>
  <c r="H25" i="1" s="1"/>
  <c r="L25" i="1" s="1"/>
  <c r="E25" i="1"/>
  <c r="G25" i="1" s="1"/>
  <c r="K25" i="1" s="1"/>
  <c r="F24" i="1"/>
  <c r="H24" i="1" s="1"/>
  <c r="L24" i="1" s="1"/>
  <c r="E24" i="1"/>
  <c r="G24" i="1" s="1"/>
  <c r="H23" i="1"/>
  <c r="L23" i="1" s="1"/>
  <c r="F23" i="1"/>
  <c r="E23" i="1"/>
  <c r="G23" i="1" s="1"/>
  <c r="H22" i="1"/>
  <c r="L22" i="1" s="1"/>
  <c r="G22" i="1"/>
  <c r="F22" i="1"/>
  <c r="E22" i="1"/>
  <c r="H21" i="1"/>
  <c r="L21" i="1" s="1"/>
  <c r="G21" i="1"/>
  <c r="F21" i="1"/>
  <c r="E21" i="1"/>
  <c r="H20" i="1"/>
  <c r="L20" i="1" s="1"/>
  <c r="G20" i="1"/>
  <c r="H19" i="1"/>
  <c r="L19" i="1" s="1"/>
  <c r="F19" i="1"/>
  <c r="E19" i="1"/>
  <c r="G19" i="1" s="1"/>
  <c r="H18" i="1"/>
  <c r="L18" i="1" s="1"/>
  <c r="G18" i="1"/>
  <c r="F18" i="1"/>
  <c r="E18" i="1"/>
  <c r="G17" i="1"/>
  <c r="F17" i="1"/>
  <c r="H17" i="1" s="1"/>
  <c r="L17" i="1" s="1"/>
  <c r="E17" i="1"/>
  <c r="F16" i="1"/>
  <c r="H16" i="1" s="1"/>
  <c r="L16" i="1" s="1"/>
  <c r="E16" i="1"/>
  <c r="G16" i="1" s="1"/>
  <c r="F15" i="1"/>
  <c r="H15" i="1" s="1"/>
  <c r="L15" i="1" s="1"/>
  <c r="E15" i="1"/>
  <c r="G15" i="1" s="1"/>
  <c r="F14" i="1"/>
  <c r="H14" i="1" s="1"/>
  <c r="L14" i="1" s="1"/>
  <c r="E14" i="1"/>
  <c r="G14" i="1" s="1"/>
  <c r="F13" i="1"/>
  <c r="H13" i="1" s="1"/>
  <c r="L13" i="1" s="1"/>
  <c r="E13" i="1"/>
  <c r="G13" i="1" s="1"/>
  <c r="F12" i="1"/>
  <c r="H12" i="1" s="1"/>
  <c r="L12" i="1" s="1"/>
  <c r="E12" i="1"/>
  <c r="G12" i="1" s="1"/>
  <c r="H11" i="1"/>
  <c r="L11" i="1" s="1"/>
  <c r="F11" i="1"/>
  <c r="E11" i="1"/>
  <c r="G11" i="1" s="1"/>
  <c r="H10" i="1"/>
  <c r="L10" i="1" s="1"/>
  <c r="G10" i="1"/>
  <c r="K10" i="1" s="1"/>
  <c r="M10" i="1" s="1"/>
  <c r="F10" i="1"/>
  <c r="E10" i="1"/>
  <c r="K33" i="5" l="1"/>
  <c r="K32" i="5"/>
  <c r="K30" i="6"/>
  <c r="K29" i="1"/>
  <c r="K28" i="1"/>
  <c r="M28" i="1" s="1"/>
  <c r="M29" i="1" s="1"/>
  <c r="M30" i="1" s="1"/>
  <c r="M31" i="1" s="1"/>
  <c r="K28" i="4"/>
  <c r="M28" i="4" s="1"/>
  <c r="K29" i="7"/>
  <c r="K33" i="7"/>
  <c r="K30" i="7"/>
  <c r="K23" i="7"/>
  <c r="K25" i="7"/>
  <c r="K22" i="7"/>
  <c r="K27" i="7"/>
  <c r="K26" i="7"/>
  <c r="K24" i="7"/>
  <c r="K31" i="6"/>
  <c r="K29" i="6"/>
  <c r="K33" i="6"/>
  <c r="K28" i="6"/>
  <c r="K22" i="6"/>
  <c r="M22" i="6" s="1"/>
  <c r="K23" i="6"/>
  <c r="K21" i="6"/>
  <c r="K16" i="6"/>
  <c r="K20" i="6"/>
  <c r="K10" i="6"/>
  <c r="M10" i="6" s="1"/>
  <c r="M11" i="6" s="1"/>
  <c r="M12" i="6" s="1"/>
  <c r="M13" i="6" s="1"/>
  <c r="M14" i="6" s="1"/>
  <c r="M15" i="6" s="1"/>
  <c r="K29" i="5"/>
  <c r="K28" i="5"/>
  <c r="K30" i="5"/>
  <c r="K31" i="5"/>
  <c r="K22" i="5"/>
  <c r="M22" i="5" s="1"/>
  <c r="M23" i="5" s="1"/>
  <c r="M24" i="5" s="1"/>
  <c r="M25" i="5" s="1"/>
  <c r="M26" i="5" s="1"/>
  <c r="K23" i="5"/>
  <c r="K27" i="5"/>
  <c r="K21" i="5"/>
  <c r="K18" i="5"/>
  <c r="K17" i="5"/>
  <c r="K14" i="5"/>
  <c r="K15" i="5"/>
  <c r="K12" i="5"/>
  <c r="M12" i="5" s="1"/>
  <c r="M13" i="5" s="1"/>
  <c r="M14" i="5" s="1"/>
  <c r="M15" i="5" s="1"/>
  <c r="M16" i="5" s="1"/>
  <c r="F55" i="4"/>
  <c r="H55" i="4" s="1"/>
  <c r="H56" i="4" s="1"/>
  <c r="F46" i="4"/>
  <c r="H46" i="4" s="1"/>
  <c r="H47" i="4" s="1"/>
  <c r="K32" i="4"/>
  <c r="K33" i="4"/>
  <c r="K29" i="4"/>
  <c r="K30" i="4"/>
  <c r="K25" i="4"/>
  <c r="K27" i="4"/>
  <c r="K22" i="4"/>
  <c r="M22" i="4" s="1"/>
  <c r="M23" i="4" s="1"/>
  <c r="K26" i="4"/>
  <c r="K24" i="4"/>
  <c r="K19" i="4"/>
  <c r="K16" i="4"/>
  <c r="K17" i="4"/>
  <c r="K21" i="4"/>
  <c r="K10" i="4"/>
  <c r="M10" i="4" s="1"/>
  <c r="K14" i="4"/>
  <c r="K11" i="4"/>
  <c r="K15" i="4"/>
  <c r="K12" i="4"/>
  <c r="K28" i="3"/>
  <c r="K32" i="3"/>
  <c r="K26" i="3"/>
  <c r="K23" i="3"/>
  <c r="M23" i="3" s="1"/>
  <c r="K24" i="3"/>
  <c r="K20" i="3"/>
  <c r="K18" i="3"/>
  <c r="K10" i="3"/>
  <c r="M10" i="3" s="1"/>
  <c r="M11" i="3" s="1"/>
  <c r="M12" i="3" s="1"/>
  <c r="M13" i="3" s="1"/>
  <c r="M14" i="3" s="1"/>
  <c r="M15" i="3" s="1"/>
  <c r="M16" i="3" s="1"/>
  <c r="M17" i="3" s="1"/>
  <c r="K11" i="3"/>
  <c r="K15" i="3"/>
  <c r="H44" i="2"/>
  <c r="H45" i="2" s="1"/>
  <c r="H50" i="2"/>
  <c r="H52" i="2" s="1"/>
  <c r="K28" i="2"/>
  <c r="K33" i="2"/>
  <c r="K25" i="2"/>
  <c r="K26" i="2"/>
  <c r="K22" i="2"/>
  <c r="M22" i="2" s="1"/>
  <c r="M23" i="2" s="1"/>
  <c r="M24" i="2" s="1"/>
  <c r="M25" i="2" s="1"/>
  <c r="K19" i="2"/>
  <c r="K10" i="2"/>
  <c r="M10" i="2" s="1"/>
  <c r="M11" i="2" s="1"/>
  <c r="M12" i="2" s="1"/>
  <c r="M13" i="2" s="1"/>
  <c r="M14" i="2" s="1"/>
  <c r="M15" i="2" s="1"/>
  <c r="K16" i="2"/>
  <c r="K20" i="2"/>
  <c r="K17" i="2"/>
  <c r="K21" i="2"/>
  <c r="H53" i="1"/>
  <c r="F67" i="1"/>
  <c r="H66" i="1"/>
  <c r="H67" i="1" s="1"/>
  <c r="K31" i="1"/>
  <c r="K32" i="1"/>
  <c r="K22" i="1"/>
  <c r="M22" i="1" s="1"/>
  <c r="K23" i="1"/>
  <c r="K24" i="1"/>
  <c r="K27" i="1"/>
  <c r="K14" i="1"/>
  <c r="K11" i="1"/>
  <c r="M11" i="1" s="1"/>
  <c r="M12" i="1" s="1"/>
  <c r="M13" i="1" s="1"/>
  <c r="M14" i="1" s="1"/>
  <c r="M15" i="1" s="1"/>
  <c r="K15" i="1"/>
  <c r="K12" i="1"/>
  <c r="K13" i="1"/>
  <c r="K18" i="1"/>
  <c r="K17" i="1"/>
  <c r="K20" i="1"/>
  <c r="K16" i="1"/>
  <c r="K21" i="1"/>
  <c r="K19" i="1"/>
  <c r="M29" i="4" l="1"/>
  <c r="M30" i="4" s="1"/>
  <c r="M31" i="4" s="1"/>
  <c r="M32" i="4" s="1"/>
  <c r="M33" i="4" s="1"/>
  <c r="M23" i="6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26" i="2"/>
  <c r="M27" i="2" s="1"/>
  <c r="M28" i="2" s="1"/>
  <c r="M29" i="2" s="1"/>
  <c r="M30" i="2" s="1"/>
  <c r="M31" i="2" s="1"/>
  <c r="M32" i="2" s="1"/>
  <c r="M33" i="2" s="1"/>
  <c r="M23" i="7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16" i="6"/>
  <c r="M17" i="6" s="1"/>
  <c r="M18" i="6" s="1"/>
  <c r="M19" i="6" s="1"/>
  <c r="M20" i="6" s="1"/>
  <c r="M21" i="6" s="1"/>
  <c r="M27" i="5"/>
  <c r="M28" i="5" s="1"/>
  <c r="M29" i="5" s="1"/>
  <c r="M30" i="5" s="1"/>
  <c r="M31" i="5" s="1"/>
  <c r="M32" i="5" s="1"/>
  <c r="M33" i="5" s="1"/>
  <c r="M17" i="5"/>
  <c r="M18" i="5" s="1"/>
  <c r="M19" i="5" s="1"/>
  <c r="M20" i="5" s="1"/>
  <c r="M21" i="5" s="1"/>
  <c r="H49" i="4"/>
  <c r="H50" i="4" s="1"/>
  <c r="H57" i="4"/>
  <c r="H48" i="4"/>
  <c r="F47" i="4"/>
  <c r="F56" i="4"/>
  <c r="M24" i="4"/>
  <c r="M25" i="4" s="1"/>
  <c r="M26" i="4" s="1"/>
  <c r="M27" i="4" s="1"/>
  <c r="M11" i="4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4" i="3"/>
  <c r="M25" i="3" s="1"/>
  <c r="M26" i="3" s="1"/>
  <c r="M27" i="3" s="1"/>
  <c r="M28" i="3" s="1"/>
  <c r="M29" i="3" s="1"/>
  <c r="M30" i="3" s="1"/>
  <c r="M31" i="3" s="1"/>
  <c r="M32" i="3" s="1"/>
  <c r="M33" i="3" s="1"/>
  <c r="M18" i="3"/>
  <c r="M19" i="3" s="1"/>
  <c r="M20" i="3" s="1"/>
  <c r="M21" i="3" s="1"/>
  <c r="H53" i="2"/>
  <c r="H46" i="2"/>
  <c r="H47" i="2" s="1"/>
  <c r="H48" i="2" s="1"/>
  <c r="M16" i="2"/>
  <c r="M17" i="2" s="1"/>
  <c r="M18" i="2" s="1"/>
  <c r="M19" i="2" s="1"/>
  <c r="M20" i="2" s="1"/>
  <c r="M21" i="2" s="1"/>
  <c r="H68" i="1"/>
  <c r="H54" i="1"/>
  <c r="H55" i="1"/>
  <c r="H56" i="1" s="1"/>
  <c r="M32" i="1"/>
  <c r="M33" i="1" s="1"/>
  <c r="M23" i="1"/>
  <c r="M24" i="1" s="1"/>
  <c r="M25" i="1" s="1"/>
  <c r="M26" i="1" s="1"/>
  <c r="M27" i="1" s="1"/>
  <c r="M16" i="1"/>
  <c r="M17" i="1" s="1"/>
  <c r="M18" i="1" s="1"/>
  <c r="M19" i="1"/>
  <c r="M20" i="1" s="1"/>
  <c r="M21" i="1" s="1"/>
</calcChain>
</file>

<file path=xl/sharedStrings.xml><?xml version="1.0" encoding="utf-8"?>
<sst xmlns="http://schemas.openxmlformats.org/spreadsheetml/2006/main" count="194" uniqueCount="47">
  <si>
    <t>Kentucky Utilities Company</t>
  </si>
  <si>
    <t>Deferred Tax Calculations</t>
  </si>
  <si>
    <t>Environmental Compliance Plans, by Approved Project</t>
  </si>
  <si>
    <t xml:space="preserve"> </t>
  </si>
  <si>
    <t>2009 - Plan</t>
  </si>
  <si>
    <t>Project 32 - Trimble County CCP Storage (Landfill - Phase I)</t>
  </si>
  <si>
    <t>Month</t>
  </si>
  <si>
    <t>Plant Balance</t>
  </si>
  <si>
    <t>Book Depreciation</t>
  </si>
  <si>
    <t>Fed Tax Depreciation</t>
  </si>
  <si>
    <t>State Tax Depreciation</t>
  </si>
  <si>
    <t>Fed Temporary Difference</t>
  </si>
  <si>
    <t>State Temporary Difference</t>
  </si>
  <si>
    <t>Fed Tax Rate</t>
  </si>
  <si>
    <t>State Tax Rate</t>
  </si>
  <si>
    <t>Fed Deferred Tax</t>
  </si>
  <si>
    <t>State Deferred Tax</t>
  </si>
  <si>
    <t>Accumulated Deferred Taxes</t>
  </si>
  <si>
    <t>Deferred Taxes on Retirements</t>
  </si>
  <si>
    <t>Beg Balance</t>
  </si>
  <si>
    <t>The federal deferred tax column includes an amount for amortization of excess deferred tax amounts.</t>
  </si>
  <si>
    <t xml:space="preserve">Due to Bonus Depreciation for tax purposes taken on certain components of Project 32, the deferred tax calculation for this project </t>
  </si>
  <si>
    <t>is computed separately for Federal and State purposes.  Specifically, for Federal taxes, certain assets received 50% bonus</t>
  </si>
  <si>
    <t>depreciation, which reduces the Federal tax basis to 50% of the plant balance.  A sample calculation of deferred taxes for Feb 2025</t>
  </si>
  <si>
    <t>is shown below:</t>
  </si>
  <si>
    <t>Federal Basis</t>
  </si>
  <si>
    <t>Book Depr.</t>
  </si>
  <si>
    <t>Federal Tax Depr</t>
  </si>
  <si>
    <t>Fed. Difference</t>
  </si>
  <si>
    <t>Fed Def Tax</t>
  </si>
  <si>
    <t>Subtotal</t>
  </si>
  <si>
    <t>State Offset</t>
  </si>
  <si>
    <t>Excess fed deferred tax amortization</t>
  </si>
  <si>
    <t>State Basis</t>
  </si>
  <si>
    <t>State Tax Depr</t>
  </si>
  <si>
    <t>St. Difference</t>
  </si>
  <si>
    <t>St Def Tax</t>
  </si>
  <si>
    <t>Project 33 - Beneficial Reuse</t>
  </si>
  <si>
    <t xml:space="preserve">Due to Bonus Depreciation for tax purposes taken on certain components of Project 33, the deferred tax calculation for this project </t>
  </si>
  <si>
    <t>2016 - Plan</t>
  </si>
  <si>
    <t>Project 40 - Ghent New Process Water System</t>
  </si>
  <si>
    <t>Project 41 - Trimble County New Process Water Systems</t>
  </si>
  <si>
    <t xml:space="preserve">Due to Bonus Depreciation for tax purposes taken on certain components of Project 41, the deferred tax calculation for this project </t>
  </si>
  <si>
    <t>Project 42 - Brown New Process Water Systems</t>
  </si>
  <si>
    <t>2020 - Plan</t>
  </si>
  <si>
    <t>Project 43 - Ghent ELG Water Treatment System, Diffuser, and BATW Recirculation System</t>
  </si>
  <si>
    <t>Project 44 - Trimble County ELG Water Treatment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</si>
</sst>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2" fillId="0" borderId="0" xfId="0" applyNumberFormat="1" applyFont="1"/>
    <xf numFmtId="0" fontId="2" fillId="0" borderId="0" xfId="0" applyFont="1"/>
    <xf numFmtId="164" fontId="3" fillId="0" borderId="0" xfId="0" quotePrefix="1" applyNumberFormat="1" applyFont="1" applyAlignment="1">
      <alignment horizontal="left"/>
    </xf>
    <xf numFmtId="164" fontId="2" fillId="0" borderId="0" xfId="0" quotePrefix="1" applyNumberFormat="1" applyFont="1" applyAlignment="1">
      <alignment horizontal="left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4" fillId="0" borderId="0" xfId="1" applyNumberFormat="1" applyFont="1"/>
    <xf numFmtId="164" fontId="4" fillId="0" borderId="0" xfId="2" applyNumberFormat="1" applyFont="1" applyAlignment="1">
      <alignment horizontal="left"/>
    </xf>
    <xf numFmtId="0" fontId="5" fillId="0" borderId="0" xfId="0" applyFont="1"/>
    <xf numFmtId="164" fontId="5" fillId="0" borderId="0" xfId="0" applyNumberFormat="1" applyFont="1"/>
    <xf numFmtId="165" fontId="5" fillId="0" borderId="0" xfId="1" applyNumberFormat="1" applyFont="1"/>
    <xf numFmtId="41" fontId="5" fillId="0" borderId="0" xfId="0" applyNumberFormat="1" applyFont="1"/>
    <xf numFmtId="166" fontId="5" fillId="0" borderId="0" xfId="0" applyNumberFormat="1" applyFont="1"/>
    <xf numFmtId="41" fontId="4" fillId="0" borderId="0" xfId="0" quotePrefix="1" applyNumberFormat="1" applyFont="1" applyAlignment="1">
      <alignment horizontal="left"/>
    </xf>
    <xf numFmtId="165" fontId="4" fillId="0" borderId="0" xfId="4" quotePrefix="1" applyNumberFormat="1" applyFont="1" applyFill="1" applyAlignment="1">
      <alignment horizontal="left"/>
    </xf>
    <xf numFmtId="43" fontId="4" fillId="0" borderId="0" xfId="4" applyFont="1" applyFill="1"/>
    <xf numFmtId="41" fontId="4" fillId="0" borderId="0" xfId="0" applyNumberFormat="1" applyFont="1"/>
    <xf numFmtId="166" fontId="4" fillId="0" borderId="0" xfId="0" applyNumberFormat="1" applyFont="1"/>
    <xf numFmtId="41" fontId="6" fillId="0" borderId="0" xfId="0" applyNumberFormat="1" applyFont="1"/>
    <xf numFmtId="0" fontId="4" fillId="0" borderId="0" xfId="0" applyFont="1"/>
    <xf numFmtId="165" fontId="4" fillId="0" borderId="0" xfId="4" applyNumberFormat="1" applyFont="1" applyFill="1"/>
    <xf numFmtId="41" fontId="4" fillId="0" borderId="0" xfId="3" applyNumberFormat="1" applyFont="1"/>
    <xf numFmtId="0" fontId="4" fillId="0" borderId="0" xfId="3" applyFont="1"/>
    <xf numFmtId="165" fontId="5" fillId="0" borderId="0" xfId="4" applyNumberFormat="1" applyFont="1" applyFill="1" applyBorder="1"/>
    <xf numFmtId="165" fontId="4" fillId="0" borderId="0" xfId="4" applyNumberFormat="1" applyFont="1"/>
    <xf numFmtId="41" fontId="6" fillId="0" borderId="0" xfId="3" applyNumberFormat="1" applyFont="1"/>
    <xf numFmtId="41" fontId="4" fillId="0" borderId="0" xfId="3" quotePrefix="1" applyNumberFormat="1" applyFont="1" applyAlignment="1">
      <alignment horizontal="left"/>
    </xf>
    <xf numFmtId="166" fontId="4" fillId="0" borderId="0" xfId="3" applyNumberFormat="1" applyFont="1"/>
    <xf numFmtId="165" fontId="4" fillId="0" borderId="0" xfId="3" applyNumberFormat="1" applyFont="1"/>
    <xf numFmtId="41" fontId="5" fillId="0" borderId="0" xfId="0" applyNumberFormat="1" applyFont="1" applyFill="1"/>
    <xf numFmtId="165" fontId="4" fillId="0" borderId="0" xfId="4" applyNumberFormat="1"/>
  </cellXfs>
  <cellStyles count="5">
    <cellStyle name="Comma" xfId="1" builtinId="3"/>
    <cellStyle name="Comma 2 2 2" xfId="4" xr:uid="{D6A3FC5A-34FF-4EC3-8001-62C39DB3687E}"/>
    <cellStyle name="Normal" xfId="0" builtinId="0"/>
    <cellStyle name="Normal 2" xfId="2" xr:uid="{0C2469B8-2F4C-4932-B718-1D0611EE56DA}"/>
    <cellStyle name="Normal 2 2" xfId="3" xr:uid="{27895274-14BF-4D33-9006-CE7240F56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82BE-8DAF-4821-A237-A95B5B981187}">
  <dimension ref="A1:N68"/>
  <sheetViews>
    <sheetView topLeftCell="A30" workbookViewId="0">
      <selection activeCell="L33" sqref="L33"/>
    </sheetView>
  </sheetViews>
  <sheetFormatPr defaultRowHeight="15" x14ac:dyDescent="0.25"/>
  <cols>
    <col min="1" max="1" width="11.7109375" customWidth="1"/>
    <col min="2" max="2" width="1.85546875" customWidth="1"/>
    <col min="3" max="3" width="14" bestFit="1" customWidth="1"/>
    <col min="4" max="4" width="13.7109375" customWidth="1"/>
    <col min="5" max="5" width="14.140625" customWidth="1"/>
    <col min="6" max="6" width="16.85546875" customWidth="1"/>
    <col min="7" max="7" width="13.42578125" customWidth="1"/>
    <col min="8" max="8" width="15" customWidth="1"/>
    <col min="9" max="9" width="10.7109375" customWidth="1"/>
    <col min="10" max="10" width="11.140625" customWidth="1"/>
    <col min="11" max="11" width="13.42578125" customWidth="1"/>
    <col min="12" max="12" width="17.140625" customWidth="1"/>
    <col min="13" max="13" width="16.85546875" customWidth="1"/>
    <col min="14" max="14" width="14.14062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 t="s">
        <v>3</v>
      </c>
    </row>
    <row r="5" spans="1:14" x14ac:dyDescent="0.25">
      <c r="A5" s="5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6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64.5" x14ac:dyDescent="0.25">
      <c r="A8" s="7" t="s">
        <v>6</v>
      </c>
      <c r="B8" s="8"/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x14ac:dyDescent="0.25">
      <c r="A9" s="12" t="s">
        <v>19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3">
        <v>8871534</v>
      </c>
      <c r="N9" s="11"/>
    </row>
    <row r="10" spans="1:14" x14ac:dyDescent="0.25">
      <c r="A10" s="10">
        <v>44994</v>
      </c>
      <c r="B10" s="11"/>
      <c r="C10" s="14">
        <v>96647438</v>
      </c>
      <c r="D10" s="9">
        <v>184718</v>
      </c>
      <c r="E10" s="13">
        <f>303496.49</f>
        <v>303496.49</v>
      </c>
      <c r="F10" s="13">
        <f>455541.28</f>
        <v>455541.28</v>
      </c>
      <c r="G10" s="14">
        <f t="shared" ref="G10:G33" si="0">E10-D10</f>
        <v>118778.48999999999</v>
      </c>
      <c r="H10" s="14">
        <f t="shared" ref="H10:H33" si="1">F10-D10</f>
        <v>270823.28000000003</v>
      </c>
      <c r="I10" s="15">
        <v>0.21</v>
      </c>
      <c r="J10" s="15">
        <v>0.05</v>
      </c>
      <c r="K10" s="14">
        <f t="shared" ref="K10:K15" si="2">G10*I10-L10*I10-38.07</f>
        <v>22061.768459999996</v>
      </c>
      <c r="L10" s="14">
        <f t="shared" ref="L10:L33" si="3">H10*J10</f>
        <v>13541.164000000002</v>
      </c>
      <c r="M10" s="14">
        <f t="shared" ref="M10:M33" si="4">M9+K10+L10</f>
        <v>8907136.9324600007</v>
      </c>
      <c r="N10" s="14">
        <v>0</v>
      </c>
    </row>
    <row r="11" spans="1:14" x14ac:dyDescent="0.25">
      <c r="A11" s="10">
        <v>45017</v>
      </c>
      <c r="B11" s="11"/>
      <c r="C11" s="14">
        <v>146726048</v>
      </c>
      <c r="D11" s="9">
        <v>233544</v>
      </c>
      <c r="E11" s="13">
        <f>512156.85-43405.04</f>
        <v>468751.81</v>
      </c>
      <c r="F11" s="13">
        <f>664202.15-43405.04</f>
        <v>620797.11</v>
      </c>
      <c r="G11" s="14">
        <f t="shared" si="0"/>
        <v>235207.81</v>
      </c>
      <c r="H11" s="14">
        <f t="shared" si="1"/>
        <v>387253.11</v>
      </c>
      <c r="I11" s="15">
        <v>0.21</v>
      </c>
      <c r="J11" s="15">
        <v>0.05</v>
      </c>
      <c r="K11" s="14">
        <f t="shared" si="2"/>
        <v>45289.412444999994</v>
      </c>
      <c r="L11" s="14">
        <f t="shared" si="3"/>
        <v>19362.655500000001</v>
      </c>
      <c r="M11" s="14">
        <f t="shared" si="4"/>
        <v>8971789.0004050005</v>
      </c>
      <c r="N11" s="14">
        <v>0</v>
      </c>
    </row>
    <row r="12" spans="1:14" x14ac:dyDescent="0.25">
      <c r="A12" s="10">
        <v>45047</v>
      </c>
      <c r="B12" s="11"/>
      <c r="C12" s="14">
        <v>147464586</v>
      </c>
      <c r="D12" s="9">
        <v>278426</v>
      </c>
      <c r="E12" s="13">
        <f>515618.75+8880.52</f>
        <v>524499.27</v>
      </c>
      <c r="F12" s="13">
        <f>667664.05+8880.52</f>
        <v>676544.57000000007</v>
      </c>
      <c r="G12" s="14">
        <f t="shared" si="0"/>
        <v>246073.27000000002</v>
      </c>
      <c r="H12" s="14">
        <f t="shared" si="1"/>
        <v>398118.57000000007</v>
      </c>
      <c r="I12" s="15">
        <v>0.21</v>
      </c>
      <c r="J12" s="15">
        <v>0.05</v>
      </c>
      <c r="K12" s="14">
        <f t="shared" si="2"/>
        <v>47457.071715000005</v>
      </c>
      <c r="L12" s="14">
        <f t="shared" si="3"/>
        <v>19905.928500000005</v>
      </c>
      <c r="M12" s="14">
        <f t="shared" si="4"/>
        <v>9039152.0006200001</v>
      </c>
      <c r="N12" s="14">
        <v>0</v>
      </c>
    </row>
    <row r="13" spans="1:14" x14ac:dyDescent="0.25">
      <c r="A13" s="10">
        <v>45078</v>
      </c>
      <c r="B13" s="11"/>
      <c r="C13" s="14">
        <v>147464586</v>
      </c>
      <c r="D13" s="9">
        <v>274481</v>
      </c>
      <c r="E13" s="13">
        <f>515618.75+4931.51</f>
        <v>520550.26</v>
      </c>
      <c r="F13" s="13">
        <f>667664.05+4931.51</f>
        <v>672595.56</v>
      </c>
      <c r="G13" s="14">
        <f t="shared" si="0"/>
        <v>246069.26</v>
      </c>
      <c r="H13" s="14">
        <f t="shared" si="1"/>
        <v>398114.56000000006</v>
      </c>
      <c r="I13" s="15">
        <v>0.21</v>
      </c>
      <c r="J13" s="15">
        <v>0.05</v>
      </c>
      <c r="K13" s="14">
        <f t="shared" si="2"/>
        <v>47456.271719999997</v>
      </c>
      <c r="L13" s="14">
        <f t="shared" si="3"/>
        <v>19905.728000000003</v>
      </c>
      <c r="M13" s="14">
        <f t="shared" si="4"/>
        <v>9106514.0003399998</v>
      </c>
      <c r="N13" s="14">
        <v>0</v>
      </c>
    </row>
    <row r="14" spans="1:14" x14ac:dyDescent="0.25">
      <c r="A14" s="10">
        <v>45108</v>
      </c>
      <c r="B14" s="11"/>
      <c r="C14" s="14">
        <v>147464586</v>
      </c>
      <c r="D14" s="9">
        <v>274481</v>
      </c>
      <c r="E14" s="13">
        <f>515618.75+4931.51</f>
        <v>520550.26</v>
      </c>
      <c r="F14" s="13">
        <f>667664.05+4931.51</f>
        <v>672595.56</v>
      </c>
      <c r="G14" s="14">
        <f t="shared" si="0"/>
        <v>246069.26</v>
      </c>
      <c r="H14" s="14">
        <f t="shared" si="1"/>
        <v>398114.56000000006</v>
      </c>
      <c r="I14" s="15">
        <v>0.21</v>
      </c>
      <c r="J14" s="15">
        <v>0.05</v>
      </c>
      <c r="K14" s="14">
        <f t="shared" si="2"/>
        <v>47456.271719999997</v>
      </c>
      <c r="L14" s="14">
        <f t="shared" si="3"/>
        <v>19905.728000000003</v>
      </c>
      <c r="M14" s="14">
        <f t="shared" si="4"/>
        <v>9173876.0000599995</v>
      </c>
      <c r="N14" s="14">
        <v>0</v>
      </c>
    </row>
    <row r="15" spans="1:14" x14ac:dyDescent="0.25">
      <c r="A15" s="10">
        <v>45139</v>
      </c>
      <c r="B15" s="11"/>
      <c r="C15" s="14">
        <v>147464586</v>
      </c>
      <c r="D15" s="9">
        <v>274481</v>
      </c>
      <c r="E15" s="13">
        <f>515618.75+4931.51</f>
        <v>520550.26</v>
      </c>
      <c r="F15" s="13">
        <f>667664.05+4931.51</f>
        <v>672595.56</v>
      </c>
      <c r="G15" s="14">
        <f t="shared" si="0"/>
        <v>246069.26</v>
      </c>
      <c r="H15" s="14">
        <f t="shared" si="1"/>
        <v>398114.56000000006</v>
      </c>
      <c r="I15" s="15">
        <v>0.21</v>
      </c>
      <c r="J15" s="15">
        <v>0.05</v>
      </c>
      <c r="K15" s="14">
        <f t="shared" si="2"/>
        <v>47456.271719999997</v>
      </c>
      <c r="L15" s="14">
        <f t="shared" si="3"/>
        <v>19905.728000000003</v>
      </c>
      <c r="M15" s="14">
        <f t="shared" si="4"/>
        <v>9241237.9997799993</v>
      </c>
      <c r="N15" s="14">
        <v>0</v>
      </c>
    </row>
    <row r="16" spans="1:14" x14ac:dyDescent="0.25">
      <c r="A16" s="10">
        <v>45178</v>
      </c>
      <c r="B16" s="11"/>
      <c r="C16" s="14">
        <v>147464586</v>
      </c>
      <c r="D16" s="9">
        <v>274481</v>
      </c>
      <c r="E16" s="13">
        <f>515618.749124582+4935.52</f>
        <v>520554.269124582</v>
      </c>
      <c r="F16" s="13">
        <f>667664.050650766+4935.52</f>
        <v>672599.57065076602</v>
      </c>
      <c r="G16" s="14">
        <f t="shared" si="0"/>
        <v>246073.269124582</v>
      </c>
      <c r="H16" s="14">
        <f t="shared" si="1"/>
        <v>398118.57065076602</v>
      </c>
      <c r="I16" s="15">
        <v>0.21</v>
      </c>
      <c r="J16" s="15">
        <v>0.05</v>
      </c>
      <c r="K16" s="14">
        <f>G16*I16-L16*I16-38.07</f>
        <v>47457.071524329171</v>
      </c>
      <c r="L16" s="14">
        <f t="shared" si="3"/>
        <v>19905.928532538303</v>
      </c>
      <c r="M16" s="14">
        <f t="shared" si="4"/>
        <v>9308600.9998368677</v>
      </c>
      <c r="N16" s="14">
        <v>0</v>
      </c>
    </row>
    <row r="17" spans="1:14" x14ac:dyDescent="0.25">
      <c r="A17" s="10">
        <v>45200</v>
      </c>
      <c r="B17" s="11"/>
      <c r="C17" s="14">
        <v>147478666</v>
      </c>
      <c r="D17" s="9">
        <v>274481</v>
      </c>
      <c r="E17" s="13">
        <f>515618.749124582+4931.51</f>
        <v>520550.25912458199</v>
      </c>
      <c r="F17" s="13">
        <f>667664.050650766+4931.51</f>
        <v>672595.56065076601</v>
      </c>
      <c r="G17" s="14">
        <f t="shared" si="0"/>
        <v>246069.25912458199</v>
      </c>
      <c r="H17" s="14">
        <f t="shared" si="1"/>
        <v>398114.56065076601</v>
      </c>
      <c r="I17" s="15">
        <v>0.21</v>
      </c>
      <c r="J17" s="15">
        <v>0.05</v>
      </c>
      <c r="K17" s="14">
        <f>G17*I17-L17*I17-38.07</f>
        <v>47456.271529329169</v>
      </c>
      <c r="L17" s="14">
        <f t="shared" si="3"/>
        <v>19905.728032538304</v>
      </c>
      <c r="M17" s="14">
        <f t="shared" si="4"/>
        <v>9375962.9993987363</v>
      </c>
      <c r="N17" s="14">
        <v>0</v>
      </c>
    </row>
    <row r="18" spans="1:14" x14ac:dyDescent="0.25">
      <c r="A18" s="10">
        <v>45231</v>
      </c>
      <c r="B18" s="11"/>
      <c r="C18" s="14">
        <v>147474666</v>
      </c>
      <c r="D18" s="9">
        <v>274481</v>
      </c>
      <c r="E18" s="13">
        <f>515618.749124582+4931.51</f>
        <v>520550.25912458199</v>
      </c>
      <c r="F18" s="13">
        <f>667664.050650766+4931.51</f>
        <v>672595.56065076601</v>
      </c>
      <c r="G18" s="14">
        <f t="shared" si="0"/>
        <v>246069.25912458199</v>
      </c>
      <c r="H18" s="14">
        <f t="shared" si="1"/>
        <v>398114.56065076601</v>
      </c>
      <c r="I18" s="15">
        <v>0.21</v>
      </c>
      <c r="J18" s="15">
        <v>0.05</v>
      </c>
      <c r="K18" s="14">
        <f>G18*I18-L18*I18-38.07</f>
        <v>47456.271529329169</v>
      </c>
      <c r="L18" s="14">
        <f t="shared" si="3"/>
        <v>19905.728032538304</v>
      </c>
      <c r="M18" s="14">
        <f t="shared" si="4"/>
        <v>9443324.9989606049</v>
      </c>
      <c r="N18" s="14">
        <v>0</v>
      </c>
    </row>
    <row r="19" spans="1:14" x14ac:dyDescent="0.25">
      <c r="A19" s="10">
        <v>45261</v>
      </c>
      <c r="B19" s="11"/>
      <c r="C19" s="14">
        <v>147474666</v>
      </c>
      <c r="D19" s="9">
        <v>274481</v>
      </c>
      <c r="E19" s="13">
        <f>515618.749124582+4931.51</f>
        <v>520550.25912458199</v>
      </c>
      <c r="F19" s="13">
        <f>667664.050650766+4931.51</f>
        <v>672595.56065076601</v>
      </c>
      <c r="G19" s="14">
        <f t="shared" si="0"/>
        <v>246069.25912458199</v>
      </c>
      <c r="H19" s="14">
        <f t="shared" si="1"/>
        <v>398114.56065076601</v>
      </c>
      <c r="I19" s="15">
        <v>0.21</v>
      </c>
      <c r="J19" s="15">
        <v>0.05</v>
      </c>
      <c r="K19" s="14">
        <f>G19*I19-L19*I19-38.07</f>
        <v>47456.271529329169</v>
      </c>
      <c r="L19" s="14">
        <f t="shared" si="3"/>
        <v>19905.728032538304</v>
      </c>
      <c r="M19" s="14">
        <f t="shared" si="4"/>
        <v>9510686.9985224735</v>
      </c>
      <c r="N19" s="14">
        <v>0</v>
      </c>
    </row>
    <row r="20" spans="1:14" x14ac:dyDescent="0.25">
      <c r="A20" s="10">
        <v>45292</v>
      </c>
      <c r="B20" s="11"/>
      <c r="C20" s="14">
        <v>147474666</v>
      </c>
      <c r="D20" s="9">
        <v>274481</v>
      </c>
      <c r="E20" s="13">
        <v>612488</v>
      </c>
      <c r="F20" s="13">
        <v>753658</v>
      </c>
      <c r="G20" s="14">
        <f t="shared" si="0"/>
        <v>338007</v>
      </c>
      <c r="H20" s="14">
        <f t="shared" si="1"/>
        <v>479177</v>
      </c>
      <c r="I20" s="15">
        <v>0.21</v>
      </c>
      <c r="J20" s="15">
        <v>0.05</v>
      </c>
      <c r="K20" s="14">
        <f>G20*I20-L20*I20-38.28</f>
        <v>65911.8315</v>
      </c>
      <c r="L20" s="14">
        <f t="shared" si="3"/>
        <v>23958.850000000002</v>
      </c>
      <c r="M20" s="14">
        <f t="shared" si="4"/>
        <v>9600557.6800224725</v>
      </c>
      <c r="N20" s="14">
        <v>0</v>
      </c>
    </row>
    <row r="21" spans="1:14" x14ac:dyDescent="0.25">
      <c r="A21" s="10">
        <v>45323</v>
      </c>
      <c r="B21" s="11"/>
      <c r="C21" s="14">
        <v>147474666</v>
      </c>
      <c r="D21" s="9">
        <v>274481</v>
      </c>
      <c r="E21" s="13">
        <f>586964.5-30320.42</f>
        <v>556644.07999999996</v>
      </c>
      <c r="F21" s="13">
        <f>728135.52</f>
        <v>728135.52</v>
      </c>
      <c r="G21" s="14">
        <f t="shared" si="0"/>
        <v>282163.07999999996</v>
      </c>
      <c r="H21" s="14">
        <f t="shared" si="1"/>
        <v>453654.52</v>
      </c>
      <c r="I21" s="15">
        <v>0.21</v>
      </c>
      <c r="J21" s="15">
        <v>0.05</v>
      </c>
      <c r="K21" s="14">
        <f>G21*I21-L21*I21-38.28</f>
        <v>54452.594339999989</v>
      </c>
      <c r="L21" s="14">
        <f t="shared" si="3"/>
        <v>22682.726000000002</v>
      </c>
      <c r="M21" s="14">
        <f t="shared" si="4"/>
        <v>9677693.0003624726</v>
      </c>
      <c r="N21" s="14">
        <v>0</v>
      </c>
    </row>
    <row r="22" spans="1:14" x14ac:dyDescent="0.25">
      <c r="A22" s="10">
        <v>45360</v>
      </c>
      <c r="B22" s="11"/>
      <c r="C22" s="14">
        <v>147474666</v>
      </c>
      <c r="D22" s="9">
        <v>274481</v>
      </c>
      <c r="E22" s="13">
        <f t="shared" ref="E22:E27" si="5">586964.5</f>
        <v>586964.5</v>
      </c>
      <c r="F22" s="13">
        <f>728135.52</f>
        <v>728135.52</v>
      </c>
      <c r="G22" s="14">
        <f t="shared" si="0"/>
        <v>312483.5</v>
      </c>
      <c r="H22" s="14">
        <f t="shared" si="1"/>
        <v>453654.52</v>
      </c>
      <c r="I22" s="15">
        <v>0.21</v>
      </c>
      <c r="J22" s="15">
        <v>0.05</v>
      </c>
      <c r="K22" s="14">
        <f>G22*I22-L22*I22-38.28</f>
        <v>60819.882540000006</v>
      </c>
      <c r="L22" s="14">
        <f t="shared" si="3"/>
        <v>22682.726000000002</v>
      </c>
      <c r="M22" s="14">
        <f t="shared" si="4"/>
        <v>9761195.608902473</v>
      </c>
      <c r="N22" s="14">
        <v>0</v>
      </c>
    </row>
    <row r="23" spans="1:14" x14ac:dyDescent="0.25">
      <c r="A23" s="10">
        <v>45383</v>
      </c>
      <c r="B23" s="11"/>
      <c r="C23" s="14">
        <v>147474666</v>
      </c>
      <c r="D23" s="9">
        <v>274481</v>
      </c>
      <c r="E23" s="13">
        <f t="shared" si="5"/>
        <v>586964.5</v>
      </c>
      <c r="F23" s="13">
        <f t="shared" ref="F23:F27" si="6">728135.52</f>
        <v>728135.52</v>
      </c>
      <c r="G23" s="14">
        <f t="shared" si="0"/>
        <v>312483.5</v>
      </c>
      <c r="H23" s="14">
        <f t="shared" si="1"/>
        <v>453654.52</v>
      </c>
      <c r="I23" s="15">
        <v>0.21</v>
      </c>
      <c r="J23" s="15">
        <v>0.05</v>
      </c>
      <c r="K23" s="14">
        <f>G23*I23-L23*I23-38.28</f>
        <v>60819.882540000006</v>
      </c>
      <c r="L23" s="14">
        <f t="shared" si="3"/>
        <v>22682.726000000002</v>
      </c>
      <c r="M23" s="14">
        <f t="shared" si="4"/>
        <v>9844698.2174424734</v>
      </c>
      <c r="N23" s="14">
        <v>0</v>
      </c>
    </row>
    <row r="24" spans="1:14" x14ac:dyDescent="0.25">
      <c r="A24" s="10">
        <v>45413</v>
      </c>
      <c r="B24" s="11"/>
      <c r="C24" s="14">
        <v>147474666</v>
      </c>
      <c r="D24" s="9">
        <v>274481</v>
      </c>
      <c r="E24" s="13">
        <f t="shared" si="5"/>
        <v>586964.5</v>
      </c>
      <c r="F24" s="13">
        <f t="shared" si="6"/>
        <v>728135.52</v>
      </c>
      <c r="G24" s="14">
        <f t="shared" si="0"/>
        <v>312483.5</v>
      </c>
      <c r="H24" s="14">
        <f t="shared" si="1"/>
        <v>453654.52</v>
      </c>
      <c r="I24" s="15">
        <v>0.21</v>
      </c>
      <c r="J24" s="15">
        <v>0.05</v>
      </c>
      <c r="K24" s="14">
        <f>G24*I24-L24*I24-38.28</f>
        <v>60819.882540000006</v>
      </c>
      <c r="L24" s="14">
        <f t="shared" si="3"/>
        <v>22682.726000000002</v>
      </c>
      <c r="M24" s="14">
        <f t="shared" si="4"/>
        <v>9928200.8259824738</v>
      </c>
      <c r="N24" s="14">
        <v>0</v>
      </c>
    </row>
    <row r="25" spans="1:14" x14ac:dyDescent="0.25">
      <c r="A25" s="10">
        <v>45444</v>
      </c>
      <c r="B25" s="11"/>
      <c r="C25" s="14">
        <v>147474666</v>
      </c>
      <c r="D25" s="9">
        <v>274481</v>
      </c>
      <c r="E25" s="13">
        <f t="shared" si="5"/>
        <v>586964.5</v>
      </c>
      <c r="F25" s="13">
        <f t="shared" si="6"/>
        <v>728135.52</v>
      </c>
      <c r="G25" s="14">
        <f t="shared" si="0"/>
        <v>312483.5</v>
      </c>
      <c r="H25" s="14">
        <f t="shared" si="1"/>
        <v>453654.52</v>
      </c>
      <c r="I25" s="15">
        <v>0.21</v>
      </c>
      <c r="J25" s="15">
        <v>0.05</v>
      </c>
      <c r="K25" s="14">
        <f>G25*I25-L25*I25-38</f>
        <v>60820.162540000005</v>
      </c>
      <c r="L25" s="14">
        <f t="shared" si="3"/>
        <v>22682.726000000002</v>
      </c>
      <c r="M25" s="14">
        <f t="shared" si="4"/>
        <v>10011703.714522474</v>
      </c>
      <c r="N25" s="14">
        <v>0</v>
      </c>
    </row>
    <row r="26" spans="1:14" x14ac:dyDescent="0.25">
      <c r="A26" s="10">
        <v>45474</v>
      </c>
      <c r="B26" s="11"/>
      <c r="C26" s="14">
        <v>147474666</v>
      </c>
      <c r="D26" s="9">
        <v>274481</v>
      </c>
      <c r="E26" s="13">
        <f t="shared" si="5"/>
        <v>586964.5</v>
      </c>
      <c r="F26" s="13">
        <f t="shared" si="6"/>
        <v>728135.52</v>
      </c>
      <c r="G26" s="14">
        <f t="shared" si="0"/>
        <v>312483.5</v>
      </c>
      <c r="H26" s="14">
        <f t="shared" si="1"/>
        <v>453654.52</v>
      </c>
      <c r="I26" s="15">
        <v>0.21</v>
      </c>
      <c r="J26" s="15">
        <v>0.05</v>
      </c>
      <c r="K26" s="14">
        <f>G26*I26-L26*I26-38</f>
        <v>60820.162540000005</v>
      </c>
      <c r="L26" s="14">
        <f t="shared" si="3"/>
        <v>22682.726000000002</v>
      </c>
      <c r="M26" s="14">
        <f t="shared" si="4"/>
        <v>10095206.603062473</v>
      </c>
      <c r="N26" s="14">
        <v>0</v>
      </c>
    </row>
    <row r="27" spans="1:14" x14ac:dyDescent="0.25">
      <c r="A27" s="10">
        <v>45505</v>
      </c>
      <c r="B27" s="11"/>
      <c r="C27" s="14">
        <v>147474666</v>
      </c>
      <c r="D27" s="9">
        <v>274481</v>
      </c>
      <c r="E27" s="13">
        <f t="shared" si="5"/>
        <v>586964.5</v>
      </c>
      <c r="F27" s="13">
        <f t="shared" si="6"/>
        <v>728135.52</v>
      </c>
      <c r="G27" s="14">
        <f t="shared" si="0"/>
        <v>312483.5</v>
      </c>
      <c r="H27" s="14">
        <f t="shared" si="1"/>
        <v>453654.52</v>
      </c>
      <c r="I27" s="15">
        <v>0.21</v>
      </c>
      <c r="J27" s="15">
        <v>0.05</v>
      </c>
      <c r="K27" s="14">
        <f>G27*I27-L27*I27-38</f>
        <v>60820.162540000005</v>
      </c>
      <c r="L27" s="14">
        <f t="shared" si="3"/>
        <v>22682.726000000002</v>
      </c>
      <c r="M27" s="14">
        <f t="shared" si="4"/>
        <v>10178709.491602473</v>
      </c>
      <c r="N27" s="14">
        <v>0</v>
      </c>
    </row>
    <row r="28" spans="1:14" x14ac:dyDescent="0.25">
      <c r="A28" s="10">
        <v>45544</v>
      </c>
      <c r="B28" s="11"/>
      <c r="C28" s="14">
        <v>147474666</v>
      </c>
      <c r="D28" s="9">
        <v>274481</v>
      </c>
      <c r="E28" s="13">
        <f>586964.5</f>
        <v>586964.5</v>
      </c>
      <c r="F28" s="13">
        <f>728135.52</f>
        <v>728135.52</v>
      </c>
      <c r="G28" s="14">
        <f t="shared" si="0"/>
        <v>312483.5</v>
      </c>
      <c r="H28" s="14">
        <f t="shared" si="1"/>
        <v>453654.52</v>
      </c>
      <c r="I28" s="15">
        <v>0.21</v>
      </c>
      <c r="J28" s="15">
        <v>0.05</v>
      </c>
      <c r="K28" s="14">
        <f>G28*I28-L28*I28-38.28</f>
        <v>60819.882540000006</v>
      </c>
      <c r="L28" s="14">
        <f t="shared" si="3"/>
        <v>22682.726000000002</v>
      </c>
      <c r="M28" s="14">
        <f t="shared" si="4"/>
        <v>10262212.100142473</v>
      </c>
      <c r="N28" s="14">
        <v>0</v>
      </c>
    </row>
    <row r="29" spans="1:14" x14ac:dyDescent="0.25">
      <c r="A29" s="10">
        <v>45566</v>
      </c>
      <c r="B29" s="11"/>
      <c r="C29" s="14">
        <v>147474666</v>
      </c>
      <c r="D29" s="9">
        <v>274481</v>
      </c>
      <c r="E29" s="13">
        <f>586964.5</f>
        <v>586964.5</v>
      </c>
      <c r="F29" s="13">
        <f>728135.52</f>
        <v>728135.52</v>
      </c>
      <c r="G29" s="14">
        <f t="shared" si="0"/>
        <v>312483.5</v>
      </c>
      <c r="H29" s="14">
        <f t="shared" si="1"/>
        <v>453654.52</v>
      </c>
      <c r="I29" s="15">
        <v>0.21</v>
      </c>
      <c r="J29" s="15">
        <v>0.05</v>
      </c>
      <c r="K29" s="14">
        <f>G29*I29-L29*I29-38.28</f>
        <v>60819.882540000006</v>
      </c>
      <c r="L29" s="14">
        <f t="shared" si="3"/>
        <v>22682.726000000002</v>
      </c>
      <c r="M29" s="14">
        <f t="shared" si="4"/>
        <v>10345714.708682474</v>
      </c>
      <c r="N29" s="14">
        <v>0</v>
      </c>
    </row>
    <row r="30" spans="1:14" x14ac:dyDescent="0.25">
      <c r="A30" s="10">
        <v>45597</v>
      </c>
      <c r="B30" s="11"/>
      <c r="C30" s="14">
        <v>147474666</v>
      </c>
      <c r="D30" s="9">
        <v>274481</v>
      </c>
      <c r="E30" s="13">
        <f>586964.5</f>
        <v>586964.5</v>
      </c>
      <c r="F30" s="13">
        <f>728135.52</f>
        <v>728135.52</v>
      </c>
      <c r="G30" s="14">
        <f t="shared" si="0"/>
        <v>312483.5</v>
      </c>
      <c r="H30" s="14">
        <f t="shared" si="1"/>
        <v>453654.52</v>
      </c>
      <c r="I30" s="15">
        <v>0.21</v>
      </c>
      <c r="J30" s="15">
        <v>0.05</v>
      </c>
      <c r="K30" s="14">
        <f>G30*I30-L30*I30-38.28</f>
        <v>60819.882540000006</v>
      </c>
      <c r="L30" s="14">
        <f t="shared" si="3"/>
        <v>22682.726000000002</v>
      </c>
      <c r="M30" s="32">
        <f t="shared" si="4"/>
        <v>10429217.317222474</v>
      </c>
      <c r="N30" s="14">
        <v>0</v>
      </c>
    </row>
    <row r="31" spans="1:14" x14ac:dyDescent="0.25">
      <c r="A31" s="10">
        <v>45627</v>
      </c>
      <c r="B31" s="11"/>
      <c r="C31" s="14">
        <v>147474666</v>
      </c>
      <c r="D31" s="9">
        <v>274481</v>
      </c>
      <c r="E31" s="13">
        <f>586964.5+1.57</f>
        <v>586966.06999999995</v>
      </c>
      <c r="F31" s="13">
        <f>728135.52+1.57</f>
        <v>728137.09</v>
      </c>
      <c r="G31" s="14">
        <f t="shared" si="0"/>
        <v>312485.06999999995</v>
      </c>
      <c r="H31" s="14">
        <f t="shared" si="1"/>
        <v>453656.08999999997</v>
      </c>
      <c r="I31" s="15">
        <v>0.21</v>
      </c>
      <c r="J31" s="15">
        <v>0.05</v>
      </c>
      <c r="K31" s="14">
        <f>G31*I31-L31*I31-38.28</f>
        <v>60820.195754999993</v>
      </c>
      <c r="L31" s="14">
        <f t="shared" si="3"/>
        <v>22682.804499999998</v>
      </c>
      <c r="M31" s="14">
        <f t="shared" si="4"/>
        <v>10512720.317477474</v>
      </c>
      <c r="N31" s="14">
        <v>0</v>
      </c>
    </row>
    <row r="32" spans="1:14" x14ac:dyDescent="0.25">
      <c r="A32" s="10">
        <v>45658</v>
      </c>
      <c r="B32" s="11"/>
      <c r="C32" s="14">
        <v>147474666</v>
      </c>
      <c r="D32" s="9">
        <v>274481</v>
      </c>
      <c r="E32" s="13">
        <f>543433.61-0.5</f>
        <v>543433.11</v>
      </c>
      <c r="F32" s="13">
        <f>674531.96-0.5</f>
        <v>674531.46</v>
      </c>
      <c r="G32" s="14">
        <f t="shared" si="0"/>
        <v>268952.11</v>
      </c>
      <c r="H32" s="14">
        <f t="shared" si="1"/>
        <v>400050.45999999996</v>
      </c>
      <c r="I32" s="15">
        <v>0.21</v>
      </c>
      <c r="J32" s="15">
        <v>0.05</v>
      </c>
      <c r="K32" s="14">
        <f>G32*I32-L32*I32-38.07</f>
        <v>52241.343269999998</v>
      </c>
      <c r="L32" s="14">
        <f t="shared" si="3"/>
        <v>20002.523000000001</v>
      </c>
      <c r="M32" s="14">
        <f t="shared" si="4"/>
        <v>10584964.183747474</v>
      </c>
      <c r="N32" s="14">
        <v>0</v>
      </c>
    </row>
    <row r="33" spans="1:14" x14ac:dyDescent="0.25">
      <c r="A33" s="10">
        <v>45689</v>
      </c>
      <c r="B33" s="11"/>
      <c r="C33" s="14">
        <v>147474666</v>
      </c>
      <c r="D33" s="9">
        <v>274481</v>
      </c>
      <c r="E33" s="13">
        <f>543433.61-0.5</f>
        <v>543433.11</v>
      </c>
      <c r="F33" s="13">
        <f>674531.96-0.5</f>
        <v>674531.46</v>
      </c>
      <c r="G33" s="14">
        <f t="shared" si="0"/>
        <v>268952.11</v>
      </c>
      <c r="H33" s="14">
        <f t="shared" si="1"/>
        <v>400050.45999999996</v>
      </c>
      <c r="I33" s="15">
        <v>0.21</v>
      </c>
      <c r="J33" s="15">
        <v>0.05</v>
      </c>
      <c r="K33" s="14">
        <f>G33*I33-L33*I33-38.07</f>
        <v>52241.343269999998</v>
      </c>
      <c r="L33" s="14">
        <f t="shared" si="3"/>
        <v>20002.523000000001</v>
      </c>
      <c r="M33" s="14">
        <f t="shared" si="4"/>
        <v>10657208.050017474</v>
      </c>
      <c r="N33" s="14">
        <v>0</v>
      </c>
    </row>
    <row r="35" spans="1:14" x14ac:dyDescent="0.25">
      <c r="C35" s="24" t="s">
        <v>20</v>
      </c>
      <c r="D35" s="14"/>
      <c r="E35" s="14"/>
      <c r="F35" s="14"/>
      <c r="G35" s="14"/>
      <c r="H35" s="14"/>
      <c r="I35" s="14"/>
      <c r="J35" s="14"/>
      <c r="K35" s="14"/>
    </row>
    <row r="36" spans="1:14" x14ac:dyDescent="0.25">
      <c r="C36" s="14"/>
      <c r="D36" s="14"/>
      <c r="E36" s="14"/>
      <c r="F36" s="14"/>
      <c r="G36" s="14"/>
      <c r="H36" s="14"/>
      <c r="I36" s="14"/>
      <c r="J36" s="14"/>
      <c r="K36" s="14"/>
    </row>
    <row r="37" spans="1:14" x14ac:dyDescent="0.25">
      <c r="C37" s="16" t="s">
        <v>21</v>
      </c>
      <c r="D37" s="11"/>
      <c r="E37" s="11"/>
      <c r="F37" s="11"/>
      <c r="G37" s="11"/>
      <c r="H37" s="11"/>
      <c r="I37" s="11"/>
      <c r="J37" s="11"/>
      <c r="K37" s="11"/>
    </row>
    <row r="38" spans="1:14" x14ac:dyDescent="0.25">
      <c r="C38" s="16" t="s">
        <v>22</v>
      </c>
      <c r="D38" s="11"/>
      <c r="E38" s="11"/>
      <c r="F38" s="11"/>
      <c r="G38" s="11"/>
      <c r="H38" s="11"/>
      <c r="I38" s="11"/>
      <c r="J38" s="11"/>
      <c r="K38" s="11"/>
    </row>
    <row r="39" spans="1:14" x14ac:dyDescent="0.25">
      <c r="C39" s="16" t="s">
        <v>23</v>
      </c>
      <c r="D39" s="11"/>
      <c r="E39" s="11"/>
      <c r="F39" s="11"/>
      <c r="G39" s="11"/>
      <c r="H39" s="11"/>
      <c r="I39" s="11"/>
      <c r="J39" s="11"/>
      <c r="K39" s="11"/>
    </row>
    <row r="40" spans="1:14" x14ac:dyDescent="0.25">
      <c r="C40" s="14" t="s">
        <v>24</v>
      </c>
      <c r="D40" s="11"/>
      <c r="E40" s="11"/>
      <c r="F40" s="11"/>
      <c r="G40" s="11"/>
      <c r="H40" s="11"/>
      <c r="I40" s="11"/>
      <c r="J40" s="11"/>
      <c r="K40" s="11"/>
    </row>
    <row r="41" spans="1:14" x14ac:dyDescent="0.25">
      <c r="C41" s="11"/>
      <c r="D41" s="11"/>
      <c r="E41" s="11"/>
      <c r="F41" s="11"/>
      <c r="G41" s="11"/>
      <c r="H41" s="11"/>
      <c r="I41" s="11"/>
      <c r="J41" s="11"/>
      <c r="K41" s="11"/>
    </row>
    <row r="42" spans="1:14" x14ac:dyDescent="0.25">
      <c r="C42" s="14" t="s">
        <v>25</v>
      </c>
      <c r="D42" s="17" t="s">
        <v>26</v>
      </c>
      <c r="E42" s="18" t="s">
        <v>27</v>
      </c>
      <c r="F42" s="14" t="s">
        <v>28</v>
      </c>
      <c r="G42" s="15" t="s">
        <v>13</v>
      </c>
      <c r="H42" s="14" t="s">
        <v>29</v>
      </c>
      <c r="I42" s="11"/>
      <c r="J42" s="11"/>
      <c r="K42" s="11"/>
    </row>
    <row r="43" spans="1:14" x14ac:dyDescent="0.25">
      <c r="C43" s="14">
        <v>1880068.145</v>
      </c>
      <c r="D43" s="14">
        <v>274481</v>
      </c>
      <c r="E43" s="14">
        <v>6990.72</v>
      </c>
      <c r="F43" s="14">
        <f>-D43+E43+0.6</f>
        <v>-267489.68000000005</v>
      </c>
      <c r="G43" s="15">
        <v>0.21</v>
      </c>
      <c r="H43" s="14">
        <f>F43*G43</f>
        <v>-56172.832800000011</v>
      </c>
      <c r="I43" s="11"/>
      <c r="J43" s="11"/>
      <c r="K43" s="11"/>
    </row>
    <row r="44" spans="1:14" x14ac:dyDescent="0.25">
      <c r="C44" s="14">
        <v>184335</v>
      </c>
      <c r="D44" s="14"/>
      <c r="E44" s="14">
        <v>694.64</v>
      </c>
      <c r="F44" s="14">
        <f>E44</f>
        <v>694.64</v>
      </c>
      <c r="G44" s="15">
        <v>0.21</v>
      </c>
      <c r="H44" s="14">
        <f t="shared" ref="H44:H51" si="7">F44*G44</f>
        <v>145.87439999999998</v>
      </c>
      <c r="I44" s="11"/>
      <c r="J44" s="11"/>
      <c r="K44" s="11"/>
    </row>
    <row r="45" spans="1:14" x14ac:dyDescent="0.25">
      <c r="C45" s="14">
        <v>36765919</v>
      </c>
      <c r="D45" s="14"/>
      <c r="E45" s="14">
        <v>149759.84</v>
      </c>
      <c r="F45" s="14">
        <f t="shared" ref="F45:F51" si="8">E45</f>
        <v>149759.84</v>
      </c>
      <c r="G45" s="15">
        <v>0.21</v>
      </c>
      <c r="H45" s="14">
        <f t="shared" si="7"/>
        <v>31449.5664</v>
      </c>
      <c r="I45" s="11"/>
      <c r="J45" s="11"/>
      <c r="K45" s="11"/>
    </row>
    <row r="46" spans="1:14" x14ac:dyDescent="0.25">
      <c r="C46" s="14">
        <v>570444</v>
      </c>
      <c r="D46" s="14"/>
      <c r="E46" s="14"/>
      <c r="F46" s="14">
        <f t="shared" si="8"/>
        <v>0</v>
      </c>
      <c r="G46" s="15">
        <v>0.21</v>
      </c>
      <c r="H46" s="14">
        <f t="shared" si="7"/>
        <v>0</v>
      </c>
      <c r="I46" s="11"/>
      <c r="J46" s="11"/>
      <c r="K46" s="11"/>
    </row>
    <row r="47" spans="1:14" x14ac:dyDescent="0.25">
      <c r="C47" s="14">
        <v>209122</v>
      </c>
      <c r="D47" s="14"/>
      <c r="E47" s="14">
        <v>851.82</v>
      </c>
      <c r="F47" s="14">
        <f t="shared" si="8"/>
        <v>851.82</v>
      </c>
      <c r="G47" s="15">
        <v>0.21</v>
      </c>
      <c r="H47" s="14">
        <f t="shared" si="7"/>
        <v>178.88220000000001</v>
      </c>
      <c r="I47" s="11"/>
      <c r="J47" s="11"/>
      <c r="K47" s="11"/>
    </row>
    <row r="48" spans="1:14" x14ac:dyDescent="0.25">
      <c r="C48" s="14">
        <v>5510178</v>
      </c>
      <c r="D48" s="14"/>
      <c r="E48" s="14"/>
      <c r="F48" s="14">
        <f t="shared" si="8"/>
        <v>0</v>
      </c>
      <c r="G48" s="15">
        <v>0.21</v>
      </c>
      <c r="H48" s="14">
        <f t="shared" si="7"/>
        <v>0</v>
      </c>
      <c r="I48" s="11"/>
      <c r="J48" s="11"/>
      <c r="K48" s="11"/>
    </row>
    <row r="49" spans="3:11" x14ac:dyDescent="0.25">
      <c r="C49" s="14">
        <v>20738213</v>
      </c>
      <c r="D49" s="14"/>
      <c r="E49" s="19">
        <v>91334.55</v>
      </c>
      <c r="F49" s="14">
        <f t="shared" si="8"/>
        <v>91334.55</v>
      </c>
      <c r="G49" s="15">
        <v>0.21</v>
      </c>
      <c r="H49" s="14">
        <f t="shared" si="7"/>
        <v>19180.255499999999</v>
      </c>
      <c r="I49" s="11"/>
      <c r="J49" s="11"/>
      <c r="K49" s="11"/>
    </row>
    <row r="50" spans="3:11" x14ac:dyDescent="0.25">
      <c r="C50" s="14">
        <v>1400</v>
      </c>
      <c r="D50" s="14"/>
      <c r="E50" s="19">
        <v>6.17</v>
      </c>
      <c r="F50" s="14">
        <f t="shared" si="8"/>
        <v>6.17</v>
      </c>
      <c r="G50" s="15">
        <v>0.21</v>
      </c>
      <c r="H50" s="14">
        <f t="shared" si="7"/>
        <v>1.2956999999999999</v>
      </c>
      <c r="I50" s="11"/>
      <c r="J50" s="11"/>
      <c r="K50" s="11"/>
    </row>
    <row r="51" spans="3:11" x14ac:dyDescent="0.25">
      <c r="C51" s="14">
        <v>2506896</v>
      </c>
      <c r="D51" s="14"/>
      <c r="E51" s="19">
        <v>11040.79</v>
      </c>
      <c r="F51" s="19">
        <f t="shared" si="8"/>
        <v>11040.79</v>
      </c>
      <c r="G51" s="20">
        <v>0.21</v>
      </c>
      <c r="H51" s="19">
        <f t="shared" si="7"/>
        <v>2318.5659000000001</v>
      </c>
      <c r="I51" s="11"/>
      <c r="J51" s="11"/>
      <c r="K51" s="11"/>
    </row>
    <row r="52" spans="3:11" ht="16.5" x14ac:dyDescent="0.35">
      <c r="C52" s="14">
        <f>50078609+738538</f>
        <v>50817147</v>
      </c>
      <c r="D52" s="14"/>
      <c r="E52" s="21">
        <f>278645.73+4109.35-1</f>
        <v>282754.07999999996</v>
      </c>
      <c r="F52" s="21">
        <f>E52</f>
        <v>282754.07999999996</v>
      </c>
      <c r="G52" s="20">
        <v>0.21</v>
      </c>
      <c r="H52" s="21">
        <f>F52*G52</f>
        <v>59378.356799999987</v>
      </c>
      <c r="I52" s="11"/>
      <c r="J52" s="11"/>
      <c r="K52" s="11"/>
    </row>
    <row r="53" spans="3:11" x14ac:dyDescent="0.25">
      <c r="C53" s="14"/>
      <c r="D53" s="14"/>
      <c r="E53" s="14">
        <f>SUM(E43:E52)</f>
        <v>543432.61</v>
      </c>
      <c r="F53" s="14">
        <f>SUM(F43:F52)</f>
        <v>268952.2099999999</v>
      </c>
      <c r="G53" s="20" t="s">
        <v>30</v>
      </c>
      <c r="H53" s="14">
        <f>SUM(H43:H52)</f>
        <v>56479.964099999976</v>
      </c>
      <c r="I53" s="11"/>
      <c r="J53" s="11"/>
      <c r="K53" s="11"/>
    </row>
    <row r="54" spans="3:11" ht="16.5" x14ac:dyDescent="0.35">
      <c r="C54" s="11"/>
      <c r="D54" s="11"/>
      <c r="E54" s="11"/>
      <c r="F54" s="11"/>
      <c r="G54" s="22" t="s">
        <v>31</v>
      </c>
      <c r="H54" s="21">
        <f>-H67*0.21</f>
        <v>-4200.5267849999991</v>
      </c>
      <c r="I54" s="11"/>
      <c r="J54" s="11"/>
      <c r="K54" s="11"/>
    </row>
    <row r="55" spans="3:11" x14ac:dyDescent="0.25">
      <c r="C55" s="11"/>
      <c r="D55" s="11"/>
      <c r="E55" s="11"/>
      <c r="F55" s="11"/>
      <c r="G55" s="11"/>
      <c r="H55" s="14">
        <f>H53+H54</f>
        <v>52279.437314999974</v>
      </c>
      <c r="I55" s="11"/>
      <c r="J55" s="11"/>
      <c r="K55" s="11"/>
    </row>
    <row r="56" spans="3:11" x14ac:dyDescent="0.25">
      <c r="C56" s="11"/>
      <c r="D56" s="11"/>
      <c r="E56" s="11"/>
      <c r="F56" s="11"/>
      <c r="G56" s="11"/>
      <c r="H56" s="14">
        <f>H55-K33</f>
        <v>38.094044999976177</v>
      </c>
      <c r="I56" s="25" t="s">
        <v>32</v>
      </c>
      <c r="J56" s="11"/>
      <c r="K56" s="11"/>
    </row>
    <row r="57" spans="3:11" x14ac:dyDescent="0.25">
      <c r="C57" s="14" t="s">
        <v>33</v>
      </c>
      <c r="D57" s="23" t="s">
        <v>26</v>
      </c>
      <c r="E57" s="18" t="s">
        <v>34</v>
      </c>
      <c r="F57" s="14" t="s">
        <v>35</v>
      </c>
      <c r="G57" s="15" t="s">
        <v>14</v>
      </c>
      <c r="H57" s="14" t="s">
        <v>36</v>
      </c>
      <c r="I57" s="11"/>
      <c r="J57" s="11"/>
      <c r="K57" s="11"/>
    </row>
    <row r="58" spans="3:11" x14ac:dyDescent="0.25">
      <c r="C58" s="14">
        <v>3760136.29</v>
      </c>
      <c r="D58" s="14">
        <v>274481</v>
      </c>
      <c r="E58" s="14">
        <v>13981.44</v>
      </c>
      <c r="F58" s="14">
        <f>-D58+E58+0.6</f>
        <v>-260498.96</v>
      </c>
      <c r="G58" s="15">
        <v>0.05</v>
      </c>
      <c r="H58" s="14">
        <f>F58*G58</f>
        <v>-13024.948</v>
      </c>
      <c r="I58" s="11"/>
      <c r="J58" s="11"/>
      <c r="K58" s="11"/>
    </row>
    <row r="59" spans="3:11" x14ac:dyDescent="0.25">
      <c r="C59" s="14">
        <v>184335</v>
      </c>
      <c r="D59" s="14"/>
      <c r="E59" s="14">
        <v>694.64</v>
      </c>
      <c r="F59" s="14">
        <f>E59</f>
        <v>694.64</v>
      </c>
      <c r="G59" s="15">
        <v>0.05</v>
      </c>
      <c r="H59" s="14">
        <f t="shared" ref="H59:H65" si="9">F59*G59</f>
        <v>34.731999999999999</v>
      </c>
      <c r="I59" s="11"/>
      <c r="J59" s="11"/>
      <c r="K59" s="11"/>
    </row>
    <row r="60" spans="3:11" x14ac:dyDescent="0.25">
      <c r="C60" s="26">
        <v>61276531.409999996</v>
      </c>
      <c r="D60" s="14"/>
      <c r="E60" s="14">
        <v>249599.74</v>
      </c>
      <c r="F60" s="14">
        <f t="shared" ref="F60:F65" si="10">E60</f>
        <v>249599.74</v>
      </c>
      <c r="G60" s="15">
        <v>0.05</v>
      </c>
      <c r="H60" s="14">
        <f t="shared" si="9"/>
        <v>12479.987000000001</v>
      </c>
      <c r="I60" s="11"/>
      <c r="J60" s="11"/>
      <c r="K60" s="11"/>
    </row>
    <row r="61" spans="3:11" x14ac:dyDescent="0.25">
      <c r="C61" s="26">
        <v>570444</v>
      </c>
      <c r="D61" s="14"/>
      <c r="E61" s="14"/>
      <c r="F61" s="14">
        <f t="shared" si="10"/>
        <v>0</v>
      </c>
      <c r="G61" s="15">
        <v>0.05</v>
      </c>
      <c r="H61" s="14">
        <f t="shared" si="9"/>
        <v>0</v>
      </c>
      <c r="I61" s="11"/>
      <c r="J61" s="11"/>
      <c r="K61" s="11"/>
    </row>
    <row r="62" spans="3:11" x14ac:dyDescent="0.25">
      <c r="C62" s="14">
        <v>209122</v>
      </c>
      <c r="D62" s="14"/>
      <c r="E62" s="14">
        <v>851.82</v>
      </c>
      <c r="F62" s="14">
        <f t="shared" si="10"/>
        <v>851.82</v>
      </c>
      <c r="G62" s="15">
        <v>0.05</v>
      </c>
      <c r="H62" s="14">
        <f t="shared" si="9"/>
        <v>42.591000000000008</v>
      </c>
      <c r="I62" s="11"/>
      <c r="J62" s="11"/>
      <c r="K62" s="11"/>
    </row>
    <row r="63" spans="3:11" x14ac:dyDescent="0.25">
      <c r="C63" s="14">
        <v>26248391</v>
      </c>
      <c r="D63" s="14"/>
      <c r="E63" s="19">
        <v>115602.29</v>
      </c>
      <c r="F63" s="14">
        <f t="shared" si="10"/>
        <v>115602.29</v>
      </c>
      <c r="G63" s="15">
        <v>0.05</v>
      </c>
      <c r="H63" s="14">
        <f t="shared" si="9"/>
        <v>5780.1144999999997</v>
      </c>
      <c r="I63" s="11"/>
      <c r="J63" s="11"/>
      <c r="K63" s="11"/>
    </row>
    <row r="64" spans="3:11" x14ac:dyDescent="0.25">
      <c r="C64" s="14">
        <v>1400</v>
      </c>
      <c r="D64" s="14"/>
      <c r="E64" s="19">
        <v>6.17</v>
      </c>
      <c r="F64" s="14">
        <f t="shared" si="10"/>
        <v>6.17</v>
      </c>
      <c r="G64" s="15">
        <v>0.05</v>
      </c>
      <c r="H64" s="14">
        <f t="shared" si="9"/>
        <v>0.3085</v>
      </c>
      <c r="I64" s="11"/>
      <c r="J64" s="11"/>
      <c r="K64" s="11"/>
    </row>
    <row r="65" spans="3:11" x14ac:dyDescent="0.25">
      <c r="C65" s="14">
        <v>2506896</v>
      </c>
      <c r="D65" s="14"/>
      <c r="E65" s="19">
        <v>11040.79</v>
      </c>
      <c r="F65" s="19">
        <f t="shared" si="10"/>
        <v>11040.79</v>
      </c>
      <c r="G65" s="20">
        <v>0.05</v>
      </c>
      <c r="H65" s="19">
        <f t="shared" si="9"/>
        <v>552.03950000000009</v>
      </c>
      <c r="I65" s="11"/>
      <c r="J65" s="11"/>
      <c r="K65" s="11"/>
    </row>
    <row r="66" spans="3:11" ht="16.5" x14ac:dyDescent="0.35">
      <c r="C66" s="14">
        <f>C52</f>
        <v>50817147</v>
      </c>
      <c r="D66" s="14"/>
      <c r="E66" s="21">
        <f>278645.73+4109.35-1.4</f>
        <v>282753.67999999993</v>
      </c>
      <c r="F66" s="21">
        <f>E66</f>
        <v>282753.67999999993</v>
      </c>
      <c r="G66" s="20">
        <v>0.05</v>
      </c>
      <c r="H66" s="21">
        <f>F66*G66</f>
        <v>14137.683999999997</v>
      </c>
      <c r="I66" s="11"/>
      <c r="J66" s="11"/>
      <c r="K66" s="11"/>
    </row>
    <row r="67" spans="3:11" x14ac:dyDescent="0.25">
      <c r="C67" s="14"/>
      <c r="D67" s="14"/>
      <c r="E67" s="14">
        <f>SUM(E57:E66)</f>
        <v>674530.56999999983</v>
      </c>
      <c r="F67" s="14">
        <f>SUM(F57:F66)</f>
        <v>400050.16999999993</v>
      </c>
      <c r="G67" s="20"/>
      <c r="H67" s="14">
        <f>SUM(H57:H66)</f>
        <v>20002.508499999996</v>
      </c>
      <c r="I67" s="11"/>
      <c r="J67" s="11"/>
      <c r="K67" s="11"/>
    </row>
    <row r="68" spans="3:11" x14ac:dyDescent="0.25">
      <c r="C68" s="11"/>
      <c r="D68" s="11"/>
      <c r="E68" s="11"/>
      <c r="F68" s="11"/>
      <c r="G68" s="11"/>
      <c r="H68" s="14">
        <f>H67-L33</f>
        <v>-1.4500000004773028E-2</v>
      </c>
      <c r="I68" s="11"/>
      <c r="J68" s="11"/>
      <c r="K68" s="11"/>
    </row>
  </sheetData>
  <pageMargins left="0.7" right="0.7" top="0.75" bottom="0.75" header="0.3" footer="0.3"/>
  <headerFooter>
    <oddFooter>&amp;L_x000D_&amp;1#&amp;"Calibri"&amp;14&amp;K000000 Business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F07B5-E3BF-40B7-AFC5-84898B664CF4}">
  <dimension ref="A1:N53"/>
  <sheetViews>
    <sheetView topLeftCell="A29" workbookViewId="0">
      <selection activeCell="K33" sqref="K33"/>
    </sheetView>
  </sheetViews>
  <sheetFormatPr defaultRowHeight="15" x14ac:dyDescent="0.25"/>
  <cols>
    <col min="1" max="1" width="11.28515625" customWidth="1"/>
    <col min="2" max="2" width="1.7109375" customWidth="1"/>
    <col min="3" max="3" width="14.7109375" customWidth="1"/>
    <col min="4" max="4" width="14.28515625" bestFit="1" customWidth="1"/>
    <col min="5" max="5" width="16.7109375" customWidth="1"/>
    <col min="6" max="6" width="15" customWidth="1"/>
    <col min="7" max="8" width="14.28515625" customWidth="1"/>
    <col min="9" max="12" width="12.7109375" customWidth="1"/>
    <col min="13" max="13" width="16.5703125" bestFit="1" customWidth="1"/>
    <col min="14" max="14" width="12.710937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5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6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39" x14ac:dyDescent="0.25">
      <c r="A8" s="7" t="s">
        <v>6</v>
      </c>
      <c r="B8" s="8"/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x14ac:dyDescent="0.25">
      <c r="A9" s="12" t="s">
        <v>19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27">
        <v>897876</v>
      </c>
      <c r="N9" s="11"/>
    </row>
    <row r="10" spans="1:14" x14ac:dyDescent="0.25">
      <c r="A10" s="10">
        <v>44994</v>
      </c>
      <c r="B10" s="11"/>
      <c r="C10" s="14">
        <v>4193823</v>
      </c>
      <c r="D10" s="27">
        <v>7836</v>
      </c>
      <c r="E10" s="27">
        <f t="shared" ref="E10:E15" si="0">7795.23</f>
        <v>7795.23</v>
      </c>
      <c r="F10" s="27">
        <f t="shared" ref="F10:F15" si="1">15590.47</f>
        <v>15590.47</v>
      </c>
      <c r="G10" s="14">
        <f t="shared" ref="G10:G33" si="2">E10-D10</f>
        <v>-40.770000000000437</v>
      </c>
      <c r="H10" s="14">
        <f t="shared" ref="H10:H33" si="3">F10-D10</f>
        <v>7754.4699999999993</v>
      </c>
      <c r="I10" s="15">
        <v>0.21</v>
      </c>
      <c r="J10" s="15">
        <v>0.05</v>
      </c>
      <c r="K10" s="14">
        <f t="shared" ref="K10:K15" si="4">G10*I10-L10*I10-5.63</f>
        <v>-95.613635000000073</v>
      </c>
      <c r="L10" s="14">
        <f t="shared" ref="L10:L33" si="5">H10*J10</f>
        <v>387.7235</v>
      </c>
      <c r="M10" s="14">
        <f t="shared" ref="M10:M33" si="6">M9+K10+L10</f>
        <v>898168.10986500001</v>
      </c>
      <c r="N10" s="14">
        <v>0</v>
      </c>
    </row>
    <row r="11" spans="1:14" x14ac:dyDescent="0.25">
      <c r="A11" s="10">
        <v>45017</v>
      </c>
      <c r="B11" s="11"/>
      <c r="C11" s="14">
        <v>4193823</v>
      </c>
      <c r="D11" s="27">
        <v>7836</v>
      </c>
      <c r="E11" s="27">
        <f t="shared" si="0"/>
        <v>7795.23</v>
      </c>
      <c r="F11" s="27">
        <f t="shared" si="1"/>
        <v>15590.47</v>
      </c>
      <c r="G11" s="14">
        <f t="shared" si="2"/>
        <v>-40.770000000000437</v>
      </c>
      <c r="H11" s="14">
        <f t="shared" si="3"/>
        <v>7754.4699999999993</v>
      </c>
      <c r="I11" s="15">
        <v>0.21</v>
      </c>
      <c r="J11" s="15">
        <v>0.05</v>
      </c>
      <c r="K11" s="14">
        <f t="shared" si="4"/>
        <v>-95.613635000000073</v>
      </c>
      <c r="L11" s="14">
        <f t="shared" si="5"/>
        <v>387.7235</v>
      </c>
      <c r="M11" s="14">
        <f t="shared" si="6"/>
        <v>898460.21973000001</v>
      </c>
      <c r="N11" s="14">
        <v>0</v>
      </c>
    </row>
    <row r="12" spans="1:14" x14ac:dyDescent="0.25">
      <c r="A12" s="10">
        <v>45047</v>
      </c>
      <c r="B12" s="11"/>
      <c r="C12" s="14">
        <v>4193823</v>
      </c>
      <c r="D12" s="27">
        <v>7836</v>
      </c>
      <c r="E12" s="27">
        <f t="shared" si="0"/>
        <v>7795.23</v>
      </c>
      <c r="F12" s="27">
        <f t="shared" si="1"/>
        <v>15590.47</v>
      </c>
      <c r="G12" s="14">
        <f t="shared" si="2"/>
        <v>-40.770000000000437</v>
      </c>
      <c r="H12" s="14">
        <f t="shared" si="3"/>
        <v>7754.4699999999993</v>
      </c>
      <c r="I12" s="15">
        <v>0.21</v>
      </c>
      <c r="J12" s="15">
        <v>0.05</v>
      </c>
      <c r="K12" s="14">
        <f t="shared" si="4"/>
        <v>-95.613635000000073</v>
      </c>
      <c r="L12" s="14">
        <f t="shared" si="5"/>
        <v>387.7235</v>
      </c>
      <c r="M12" s="14">
        <f t="shared" si="6"/>
        <v>898752.32959500002</v>
      </c>
      <c r="N12" s="14">
        <v>0</v>
      </c>
    </row>
    <row r="13" spans="1:14" x14ac:dyDescent="0.25">
      <c r="A13" s="10">
        <v>45078</v>
      </c>
      <c r="B13" s="11"/>
      <c r="C13" s="14">
        <v>4193823</v>
      </c>
      <c r="D13" s="27">
        <v>7836</v>
      </c>
      <c r="E13" s="27">
        <f t="shared" si="0"/>
        <v>7795.23</v>
      </c>
      <c r="F13" s="27">
        <f t="shared" si="1"/>
        <v>15590.47</v>
      </c>
      <c r="G13" s="14">
        <f t="shared" si="2"/>
        <v>-40.770000000000437</v>
      </c>
      <c r="H13" s="14">
        <f t="shared" si="3"/>
        <v>7754.4699999999993</v>
      </c>
      <c r="I13" s="15">
        <v>0.21</v>
      </c>
      <c r="J13" s="15">
        <v>0.05</v>
      </c>
      <c r="K13" s="14">
        <f t="shared" si="4"/>
        <v>-95.613635000000073</v>
      </c>
      <c r="L13" s="14">
        <f t="shared" si="5"/>
        <v>387.7235</v>
      </c>
      <c r="M13" s="14">
        <f t="shared" si="6"/>
        <v>899044.43946000002</v>
      </c>
      <c r="N13" s="14">
        <v>0</v>
      </c>
    </row>
    <row r="14" spans="1:14" x14ac:dyDescent="0.25">
      <c r="A14" s="10">
        <v>45108</v>
      </c>
      <c r="B14" s="11"/>
      <c r="C14" s="14">
        <v>4193823</v>
      </c>
      <c r="D14" s="27">
        <v>7836</v>
      </c>
      <c r="E14" s="27">
        <f t="shared" si="0"/>
        <v>7795.23</v>
      </c>
      <c r="F14" s="27">
        <f t="shared" si="1"/>
        <v>15590.47</v>
      </c>
      <c r="G14" s="14">
        <f t="shared" si="2"/>
        <v>-40.770000000000437</v>
      </c>
      <c r="H14" s="14">
        <f t="shared" si="3"/>
        <v>7754.4699999999993</v>
      </c>
      <c r="I14" s="15">
        <v>0.21</v>
      </c>
      <c r="J14" s="15">
        <v>0.05</v>
      </c>
      <c r="K14" s="14">
        <f t="shared" si="4"/>
        <v>-95.613635000000073</v>
      </c>
      <c r="L14" s="14">
        <f t="shared" si="5"/>
        <v>387.7235</v>
      </c>
      <c r="M14" s="14">
        <f t="shared" si="6"/>
        <v>899336.54932500003</v>
      </c>
      <c r="N14" s="14">
        <v>0</v>
      </c>
    </row>
    <row r="15" spans="1:14" x14ac:dyDescent="0.25">
      <c r="A15" s="10">
        <v>45139</v>
      </c>
      <c r="B15" s="11"/>
      <c r="C15" s="14">
        <v>4193823</v>
      </c>
      <c r="D15" s="27">
        <v>7836</v>
      </c>
      <c r="E15" s="27">
        <f t="shared" si="0"/>
        <v>7795.23</v>
      </c>
      <c r="F15" s="27">
        <f t="shared" si="1"/>
        <v>15590.47</v>
      </c>
      <c r="G15" s="14">
        <f t="shared" si="2"/>
        <v>-40.770000000000437</v>
      </c>
      <c r="H15" s="14">
        <f t="shared" si="3"/>
        <v>7754.4699999999993</v>
      </c>
      <c r="I15" s="15">
        <v>0.21</v>
      </c>
      <c r="J15" s="15">
        <v>0.05</v>
      </c>
      <c r="K15" s="14">
        <f t="shared" si="4"/>
        <v>-95.613635000000073</v>
      </c>
      <c r="L15" s="14">
        <f t="shared" si="5"/>
        <v>387.7235</v>
      </c>
      <c r="M15" s="14">
        <f t="shared" si="6"/>
        <v>899628.65919000003</v>
      </c>
      <c r="N15" s="14">
        <v>0</v>
      </c>
    </row>
    <row r="16" spans="1:14" x14ac:dyDescent="0.25">
      <c r="A16" s="10">
        <v>45178</v>
      </c>
      <c r="B16" s="11"/>
      <c r="C16" s="14">
        <v>4193823</v>
      </c>
      <c r="D16" s="27">
        <v>7836</v>
      </c>
      <c r="E16" s="27">
        <f>7795.23272428333</f>
        <v>7795.2327242833298</v>
      </c>
      <c r="F16" s="27">
        <v>15590.465448566667</v>
      </c>
      <c r="G16" s="14">
        <f t="shared" si="2"/>
        <v>-40.767275716670156</v>
      </c>
      <c r="H16" s="14">
        <f t="shared" si="3"/>
        <v>7754.465448566667</v>
      </c>
      <c r="I16" s="15">
        <v>0.21</v>
      </c>
      <c r="J16" s="15">
        <v>0.05</v>
      </c>
      <c r="K16" s="14">
        <f>G16*I16-L16*I16-5.63</f>
        <v>-95.613015110450732</v>
      </c>
      <c r="L16" s="14">
        <f t="shared" si="5"/>
        <v>387.72327242833336</v>
      </c>
      <c r="M16" s="14">
        <f t="shared" si="6"/>
        <v>899920.76944731793</v>
      </c>
      <c r="N16" s="14">
        <v>0</v>
      </c>
    </row>
    <row r="17" spans="1:14" x14ac:dyDescent="0.25">
      <c r="A17" s="10">
        <v>45200</v>
      </c>
      <c r="B17" s="11"/>
      <c r="C17" s="14">
        <v>4193823</v>
      </c>
      <c r="D17" s="27">
        <v>7836</v>
      </c>
      <c r="E17" s="27">
        <f>7795.23272428333</f>
        <v>7795.2327242833298</v>
      </c>
      <c r="F17" s="27">
        <v>15590.465448566667</v>
      </c>
      <c r="G17" s="14">
        <f t="shared" si="2"/>
        <v>-40.767275716670156</v>
      </c>
      <c r="H17" s="14">
        <f t="shared" si="3"/>
        <v>7754.465448566667</v>
      </c>
      <c r="I17" s="15">
        <v>0.21</v>
      </c>
      <c r="J17" s="15">
        <v>0.05</v>
      </c>
      <c r="K17" s="14">
        <f>G17*I17-L17*I17-5.63</f>
        <v>-95.613015110450732</v>
      </c>
      <c r="L17" s="14">
        <f t="shared" si="5"/>
        <v>387.72327242833336</v>
      </c>
      <c r="M17" s="14">
        <f t="shared" si="6"/>
        <v>900212.87970463582</v>
      </c>
      <c r="N17" s="14">
        <v>0</v>
      </c>
    </row>
    <row r="18" spans="1:14" x14ac:dyDescent="0.25">
      <c r="A18" s="10">
        <v>45231</v>
      </c>
      <c r="B18" s="11"/>
      <c r="C18" s="14">
        <v>4193823</v>
      </c>
      <c r="D18" s="27">
        <v>7836</v>
      </c>
      <c r="E18" s="27">
        <f>7795.23272428333</f>
        <v>7795.2327242833298</v>
      </c>
      <c r="F18" s="27">
        <v>15590.465448566667</v>
      </c>
      <c r="G18" s="14">
        <f t="shared" si="2"/>
        <v>-40.767275716670156</v>
      </c>
      <c r="H18" s="14">
        <f t="shared" si="3"/>
        <v>7754.465448566667</v>
      </c>
      <c r="I18" s="15">
        <v>0.21</v>
      </c>
      <c r="J18" s="15">
        <v>0.05</v>
      </c>
      <c r="K18" s="14">
        <f>G18*I18-L18*I18-5.63</f>
        <v>-95.613015110450732</v>
      </c>
      <c r="L18" s="14">
        <f t="shared" si="5"/>
        <v>387.72327242833336</v>
      </c>
      <c r="M18" s="14">
        <f t="shared" si="6"/>
        <v>900504.98996195372</v>
      </c>
      <c r="N18" s="14">
        <v>0</v>
      </c>
    </row>
    <row r="19" spans="1:14" x14ac:dyDescent="0.25">
      <c r="A19" s="10">
        <v>45261</v>
      </c>
      <c r="B19" s="11"/>
      <c r="C19" s="14">
        <v>4193823</v>
      </c>
      <c r="D19" s="27">
        <v>7836</v>
      </c>
      <c r="E19" s="27">
        <f>7795.23272428333</f>
        <v>7795.2327242833298</v>
      </c>
      <c r="F19" s="27">
        <v>15590.465448566667</v>
      </c>
      <c r="G19" s="14">
        <f t="shared" si="2"/>
        <v>-40.767275716670156</v>
      </c>
      <c r="H19" s="14">
        <f t="shared" si="3"/>
        <v>7754.465448566667</v>
      </c>
      <c r="I19" s="15">
        <v>0.21</v>
      </c>
      <c r="J19" s="15">
        <v>0.05</v>
      </c>
      <c r="K19" s="14">
        <f>G19*I19-L19*I19-5.63</f>
        <v>-95.613015110450732</v>
      </c>
      <c r="L19" s="14">
        <f t="shared" si="5"/>
        <v>387.72327242833336</v>
      </c>
      <c r="M19" s="14">
        <f t="shared" si="6"/>
        <v>900797.10021927161</v>
      </c>
      <c r="N19" s="14">
        <v>0</v>
      </c>
    </row>
    <row r="20" spans="1:14" x14ac:dyDescent="0.25">
      <c r="A20" s="10">
        <v>45292</v>
      </c>
      <c r="B20" s="11"/>
      <c r="C20" s="14">
        <v>4193823</v>
      </c>
      <c r="D20" s="27">
        <v>7836</v>
      </c>
      <c r="E20" s="27">
        <v>7797.05</v>
      </c>
      <c r="F20" s="27">
        <v>15594.1</v>
      </c>
      <c r="G20" s="14">
        <f t="shared" si="2"/>
        <v>-38.949999999999818</v>
      </c>
      <c r="H20" s="14">
        <f t="shared" si="3"/>
        <v>7758.1</v>
      </c>
      <c r="I20" s="15">
        <v>0.21</v>
      </c>
      <c r="J20" s="15">
        <v>0.05</v>
      </c>
      <c r="K20" s="14">
        <f>G20*I20-L20*I20-5.37</f>
        <v>-95.009549999999976</v>
      </c>
      <c r="L20" s="14">
        <f t="shared" si="5"/>
        <v>387.90500000000003</v>
      </c>
      <c r="M20" s="14">
        <f t="shared" si="6"/>
        <v>901089.99566927168</v>
      </c>
      <c r="N20" s="14">
        <v>0</v>
      </c>
    </row>
    <row r="21" spans="1:14" x14ac:dyDescent="0.25">
      <c r="A21" s="10">
        <v>45323</v>
      </c>
      <c r="B21" s="11"/>
      <c r="C21" s="14">
        <v>4193823</v>
      </c>
      <c r="D21" s="27">
        <v>7836</v>
      </c>
      <c r="E21" s="27">
        <f>7797.05</f>
        <v>7797.05</v>
      </c>
      <c r="F21" s="27">
        <f>15594.1</f>
        <v>15594.1</v>
      </c>
      <c r="G21" s="14">
        <f t="shared" si="2"/>
        <v>-38.949999999999818</v>
      </c>
      <c r="H21" s="14">
        <f t="shared" si="3"/>
        <v>7758.1</v>
      </c>
      <c r="I21" s="15">
        <v>0.21</v>
      </c>
      <c r="J21" s="15">
        <v>0.05</v>
      </c>
      <c r="K21" s="14">
        <f>G21*I21-L21*I21-5.37</f>
        <v>-95.009549999999976</v>
      </c>
      <c r="L21" s="14">
        <f t="shared" si="5"/>
        <v>387.90500000000003</v>
      </c>
      <c r="M21" s="14">
        <f t="shared" si="6"/>
        <v>901382.89111927175</v>
      </c>
      <c r="N21" s="14">
        <v>0</v>
      </c>
    </row>
    <row r="22" spans="1:14" x14ac:dyDescent="0.25">
      <c r="A22" s="10">
        <v>45360</v>
      </c>
      <c r="B22" s="11"/>
      <c r="C22" s="14">
        <v>4193823</v>
      </c>
      <c r="D22" s="27">
        <v>7836</v>
      </c>
      <c r="E22" s="27">
        <f t="shared" ref="E22:E27" si="7">7797.05</f>
        <v>7797.05</v>
      </c>
      <c r="F22" s="27">
        <f>15594.1</f>
        <v>15594.1</v>
      </c>
      <c r="G22" s="14">
        <f t="shared" si="2"/>
        <v>-38.949999999999818</v>
      </c>
      <c r="H22" s="14">
        <f t="shared" si="3"/>
        <v>7758.1</v>
      </c>
      <c r="I22" s="15">
        <v>0.21</v>
      </c>
      <c r="J22" s="15">
        <v>0.05</v>
      </c>
      <c r="K22" s="14">
        <f t="shared" ref="K22:K27" si="8">G22*I22-L22*I22-5.37</f>
        <v>-95.009549999999976</v>
      </c>
      <c r="L22" s="14">
        <f t="shared" si="5"/>
        <v>387.90500000000003</v>
      </c>
      <c r="M22" s="14">
        <f t="shared" si="6"/>
        <v>901675.78656927182</v>
      </c>
      <c r="N22" s="14">
        <v>0</v>
      </c>
    </row>
    <row r="23" spans="1:14" x14ac:dyDescent="0.25">
      <c r="A23" s="10">
        <v>45383</v>
      </c>
      <c r="B23" s="11"/>
      <c r="C23" s="14">
        <v>4193823</v>
      </c>
      <c r="D23" s="27">
        <v>7836</v>
      </c>
      <c r="E23" s="27">
        <f t="shared" si="7"/>
        <v>7797.05</v>
      </c>
      <c r="F23" s="27">
        <f t="shared" ref="F23:F27" si="9">15594.1</f>
        <v>15594.1</v>
      </c>
      <c r="G23" s="14">
        <f t="shared" si="2"/>
        <v>-38.949999999999818</v>
      </c>
      <c r="H23" s="14">
        <f t="shared" si="3"/>
        <v>7758.1</v>
      </c>
      <c r="I23" s="15">
        <v>0.21</v>
      </c>
      <c r="J23" s="15">
        <v>0.05</v>
      </c>
      <c r="K23" s="14">
        <f t="shared" si="8"/>
        <v>-95.009549999999976</v>
      </c>
      <c r="L23" s="14">
        <f t="shared" si="5"/>
        <v>387.90500000000003</v>
      </c>
      <c r="M23" s="14">
        <f t="shared" si="6"/>
        <v>901968.68201927189</v>
      </c>
      <c r="N23" s="14">
        <v>0</v>
      </c>
    </row>
    <row r="24" spans="1:14" x14ac:dyDescent="0.25">
      <c r="A24" s="10">
        <v>45413</v>
      </c>
      <c r="B24" s="11"/>
      <c r="C24" s="14">
        <v>4193823</v>
      </c>
      <c r="D24" s="27">
        <v>7836</v>
      </c>
      <c r="E24" s="27">
        <f t="shared" si="7"/>
        <v>7797.05</v>
      </c>
      <c r="F24" s="27">
        <f t="shared" si="9"/>
        <v>15594.1</v>
      </c>
      <c r="G24" s="14">
        <f t="shared" si="2"/>
        <v>-38.949999999999818</v>
      </c>
      <c r="H24" s="14">
        <f t="shared" si="3"/>
        <v>7758.1</v>
      </c>
      <c r="I24" s="15">
        <v>0.21</v>
      </c>
      <c r="J24" s="15">
        <v>0.05</v>
      </c>
      <c r="K24" s="14">
        <f t="shared" si="8"/>
        <v>-95.009549999999976</v>
      </c>
      <c r="L24" s="14">
        <f t="shared" si="5"/>
        <v>387.90500000000003</v>
      </c>
      <c r="M24" s="14">
        <f t="shared" si="6"/>
        <v>902261.57746927196</v>
      </c>
      <c r="N24" s="14">
        <v>0</v>
      </c>
    </row>
    <row r="25" spans="1:14" x14ac:dyDescent="0.25">
      <c r="A25" s="10">
        <v>45444</v>
      </c>
      <c r="B25" s="11"/>
      <c r="C25" s="14">
        <v>4193823</v>
      </c>
      <c r="D25" s="27">
        <v>7835.5</v>
      </c>
      <c r="E25" s="27">
        <f t="shared" si="7"/>
        <v>7797.05</v>
      </c>
      <c r="F25" s="27">
        <f t="shared" si="9"/>
        <v>15594.1</v>
      </c>
      <c r="G25" s="14">
        <f t="shared" si="2"/>
        <v>-38.449999999999818</v>
      </c>
      <c r="H25" s="14">
        <f t="shared" si="3"/>
        <v>7758.6</v>
      </c>
      <c r="I25" s="15">
        <v>0.21</v>
      </c>
      <c r="J25" s="15">
        <v>0.05</v>
      </c>
      <c r="K25" s="14">
        <f t="shared" si="8"/>
        <v>-94.909799999999976</v>
      </c>
      <c r="L25" s="14">
        <f t="shared" si="5"/>
        <v>387.93000000000006</v>
      </c>
      <c r="M25" s="32">
        <f t="shared" si="6"/>
        <v>902554.59766927199</v>
      </c>
      <c r="N25" s="14">
        <v>0</v>
      </c>
    </row>
    <row r="26" spans="1:14" x14ac:dyDescent="0.25">
      <c r="A26" s="10">
        <v>45474</v>
      </c>
      <c r="B26" s="11"/>
      <c r="C26" s="14">
        <v>4193823</v>
      </c>
      <c r="D26" s="27">
        <v>7835.5</v>
      </c>
      <c r="E26" s="27">
        <f t="shared" si="7"/>
        <v>7797.05</v>
      </c>
      <c r="F26" s="27">
        <f t="shared" si="9"/>
        <v>15594.1</v>
      </c>
      <c r="G26" s="14">
        <f t="shared" si="2"/>
        <v>-38.449999999999818</v>
      </c>
      <c r="H26" s="14">
        <f t="shared" si="3"/>
        <v>7758.6</v>
      </c>
      <c r="I26" s="15">
        <v>0.21</v>
      </c>
      <c r="J26" s="15">
        <v>0.05</v>
      </c>
      <c r="K26" s="14">
        <f t="shared" si="8"/>
        <v>-94.909799999999976</v>
      </c>
      <c r="L26" s="14">
        <f t="shared" si="5"/>
        <v>387.93000000000006</v>
      </c>
      <c r="M26" s="32">
        <f>M25+K26+L26</f>
        <v>902847.61786927201</v>
      </c>
      <c r="N26" s="14">
        <v>0</v>
      </c>
    </row>
    <row r="27" spans="1:14" x14ac:dyDescent="0.25">
      <c r="A27" s="10">
        <v>45505</v>
      </c>
      <c r="B27" s="11"/>
      <c r="C27" s="14">
        <v>4193823</v>
      </c>
      <c r="D27" s="27">
        <v>7836</v>
      </c>
      <c r="E27" s="27">
        <f t="shared" si="7"/>
        <v>7797.05</v>
      </c>
      <c r="F27" s="27">
        <f t="shared" si="9"/>
        <v>15594.1</v>
      </c>
      <c r="G27" s="14">
        <f t="shared" si="2"/>
        <v>-38.949999999999818</v>
      </c>
      <c r="H27" s="14">
        <f t="shared" si="3"/>
        <v>7758.1</v>
      </c>
      <c r="I27" s="15">
        <v>0.21</v>
      </c>
      <c r="J27" s="15">
        <v>0.05</v>
      </c>
      <c r="K27" s="14">
        <f t="shared" si="8"/>
        <v>-95.009549999999976</v>
      </c>
      <c r="L27" s="14">
        <f t="shared" si="5"/>
        <v>387.90500000000003</v>
      </c>
      <c r="M27" s="32">
        <f t="shared" si="6"/>
        <v>903140.51331927208</v>
      </c>
      <c r="N27" s="14">
        <v>0</v>
      </c>
    </row>
    <row r="28" spans="1:14" x14ac:dyDescent="0.25">
      <c r="A28" s="10">
        <v>45544</v>
      </c>
      <c r="B28" s="11"/>
      <c r="C28" s="14">
        <v>4193823</v>
      </c>
      <c r="D28" s="27">
        <v>7836</v>
      </c>
      <c r="E28" s="27">
        <f>7797.05+0.44</f>
        <v>7797.49</v>
      </c>
      <c r="F28" s="27">
        <f>15594.1+0.44</f>
        <v>15594.54</v>
      </c>
      <c r="G28" s="14">
        <f t="shared" si="2"/>
        <v>-38.510000000000218</v>
      </c>
      <c r="H28" s="14">
        <f t="shared" si="3"/>
        <v>7758.5400000000009</v>
      </c>
      <c r="I28" s="15">
        <v>0.21</v>
      </c>
      <c r="J28" s="15">
        <v>0.05</v>
      </c>
      <c r="K28" s="14">
        <f>G28*I28-L28*I28-5.37</f>
        <v>-94.921770000000066</v>
      </c>
      <c r="L28" s="14">
        <f t="shared" si="5"/>
        <v>387.92700000000008</v>
      </c>
      <c r="M28" s="14">
        <f t="shared" si="6"/>
        <v>903433.51854927209</v>
      </c>
      <c r="N28" s="14">
        <v>0</v>
      </c>
    </row>
    <row r="29" spans="1:14" x14ac:dyDescent="0.25">
      <c r="A29" s="10">
        <v>45566</v>
      </c>
      <c r="B29" s="11"/>
      <c r="C29" s="14">
        <v>4193823</v>
      </c>
      <c r="D29" s="27">
        <v>7836</v>
      </c>
      <c r="E29" s="27">
        <f>7797.05+0.42</f>
        <v>7797.47</v>
      </c>
      <c r="F29" s="27">
        <f>15594.1+0.42</f>
        <v>15594.52</v>
      </c>
      <c r="G29" s="14">
        <f t="shared" si="2"/>
        <v>-38.529999999999745</v>
      </c>
      <c r="H29" s="14">
        <f t="shared" si="3"/>
        <v>7758.52</v>
      </c>
      <c r="I29" s="15">
        <v>0.21</v>
      </c>
      <c r="J29" s="15">
        <v>0.05</v>
      </c>
      <c r="K29" s="14">
        <f>G29*I29-L29*I29-5.37</f>
        <v>-94.925759999999954</v>
      </c>
      <c r="L29" s="14">
        <f t="shared" si="5"/>
        <v>387.92600000000004</v>
      </c>
      <c r="M29" s="14">
        <f t="shared" si="6"/>
        <v>903726.51878927206</v>
      </c>
      <c r="N29" s="14">
        <v>0</v>
      </c>
    </row>
    <row r="30" spans="1:14" x14ac:dyDescent="0.25">
      <c r="A30" s="10">
        <v>45597</v>
      </c>
      <c r="B30" s="11"/>
      <c r="C30" s="14">
        <v>4193823</v>
      </c>
      <c r="D30" s="27">
        <v>7836</v>
      </c>
      <c r="E30" s="27">
        <f>7797.05+0.42</f>
        <v>7797.47</v>
      </c>
      <c r="F30" s="27">
        <f>15594.1+0.42</f>
        <v>15594.52</v>
      </c>
      <c r="G30" s="14">
        <f t="shared" si="2"/>
        <v>-38.529999999999745</v>
      </c>
      <c r="H30" s="14">
        <f t="shared" si="3"/>
        <v>7758.52</v>
      </c>
      <c r="I30" s="15">
        <v>0.21</v>
      </c>
      <c r="J30" s="15">
        <v>0.05</v>
      </c>
      <c r="K30" s="14">
        <f>G30*I30-L30*I30-5.37</f>
        <v>-94.925759999999954</v>
      </c>
      <c r="L30" s="14">
        <f t="shared" si="5"/>
        <v>387.92600000000004</v>
      </c>
      <c r="M30" s="14">
        <f t="shared" si="6"/>
        <v>904019.51902927202</v>
      </c>
      <c r="N30" s="14">
        <v>0</v>
      </c>
    </row>
    <row r="31" spans="1:14" x14ac:dyDescent="0.25">
      <c r="A31" s="10">
        <v>45627</v>
      </c>
      <c r="B31" s="11"/>
      <c r="C31" s="14">
        <v>4193823</v>
      </c>
      <c r="D31" s="27">
        <v>7836</v>
      </c>
      <c r="E31" s="27">
        <f>7797.05+0.42</f>
        <v>7797.47</v>
      </c>
      <c r="F31" s="27">
        <f>15594.1+0.42</f>
        <v>15594.52</v>
      </c>
      <c r="G31" s="14">
        <f t="shared" si="2"/>
        <v>-38.529999999999745</v>
      </c>
      <c r="H31" s="14">
        <f t="shared" si="3"/>
        <v>7758.52</v>
      </c>
      <c r="I31" s="15">
        <v>0.21</v>
      </c>
      <c r="J31" s="15">
        <v>0.05</v>
      </c>
      <c r="K31" s="14">
        <f>G31*I31-L31*I31-5.37</f>
        <v>-94.925759999999954</v>
      </c>
      <c r="L31" s="14">
        <f t="shared" si="5"/>
        <v>387.92600000000004</v>
      </c>
      <c r="M31" s="14">
        <f t="shared" si="6"/>
        <v>904312.51926927199</v>
      </c>
      <c r="N31" s="14">
        <v>0</v>
      </c>
    </row>
    <row r="32" spans="1:14" x14ac:dyDescent="0.25">
      <c r="A32" s="10">
        <v>45658</v>
      </c>
      <c r="B32" s="11"/>
      <c r="C32" s="14">
        <v>4193823</v>
      </c>
      <c r="D32" s="27">
        <v>7836</v>
      </c>
      <c r="E32" s="27">
        <f>7795.23</f>
        <v>7795.23</v>
      </c>
      <c r="F32" s="27">
        <f>15590.47</f>
        <v>15590.47</v>
      </c>
      <c r="G32" s="14">
        <f t="shared" si="2"/>
        <v>-40.770000000000437</v>
      </c>
      <c r="H32" s="14">
        <f t="shared" si="3"/>
        <v>7754.4699999999993</v>
      </c>
      <c r="I32" s="15">
        <v>0.21</v>
      </c>
      <c r="J32" s="15">
        <v>0.05</v>
      </c>
      <c r="K32" s="14">
        <f>G32*I32-L32*I32-5.63</f>
        <v>-95.613635000000073</v>
      </c>
      <c r="L32" s="14">
        <f t="shared" si="5"/>
        <v>387.7235</v>
      </c>
      <c r="M32" s="14">
        <f t="shared" si="6"/>
        <v>904604.62913427199</v>
      </c>
      <c r="N32" s="14">
        <v>0</v>
      </c>
    </row>
    <row r="33" spans="1:14" x14ac:dyDescent="0.25">
      <c r="A33" s="10">
        <v>45689</v>
      </c>
      <c r="B33" s="11"/>
      <c r="C33" s="14">
        <v>4193823</v>
      </c>
      <c r="D33" s="27">
        <v>7836</v>
      </c>
      <c r="E33" s="27">
        <f>7795.23</f>
        <v>7795.23</v>
      </c>
      <c r="F33" s="27">
        <f>15590.47</f>
        <v>15590.47</v>
      </c>
      <c r="G33" s="14">
        <f t="shared" si="2"/>
        <v>-40.770000000000437</v>
      </c>
      <c r="H33" s="14">
        <f t="shared" si="3"/>
        <v>7754.4699999999993</v>
      </c>
      <c r="I33" s="15">
        <v>0.21</v>
      </c>
      <c r="J33" s="15">
        <v>0.05</v>
      </c>
      <c r="K33" s="14">
        <f>G33*I33-L33*I33-5.63</f>
        <v>-95.613635000000073</v>
      </c>
      <c r="L33" s="14">
        <f t="shared" si="5"/>
        <v>387.7235</v>
      </c>
      <c r="M33" s="14">
        <f t="shared" si="6"/>
        <v>904896.738999272</v>
      </c>
      <c r="N33" s="14">
        <v>0</v>
      </c>
    </row>
    <row r="35" spans="1:14" x14ac:dyDescent="0.25">
      <c r="C35" s="24" t="s">
        <v>20</v>
      </c>
      <c r="D35" s="24"/>
      <c r="E35" s="24"/>
      <c r="F35" s="24"/>
      <c r="G35" s="24"/>
      <c r="H35" s="24"/>
      <c r="I35" s="24"/>
      <c r="J35" s="24"/>
      <c r="K35" s="24"/>
    </row>
    <row r="36" spans="1:14" x14ac:dyDescent="0.25">
      <c r="C36" s="24"/>
      <c r="D36" s="24"/>
      <c r="E36" s="24"/>
      <c r="F36" s="24"/>
      <c r="G36" s="24"/>
      <c r="H36" s="24"/>
      <c r="I36" s="24"/>
      <c r="J36" s="24"/>
      <c r="K36" s="24"/>
    </row>
    <row r="37" spans="1:14" x14ac:dyDescent="0.25">
      <c r="C37" s="29" t="s">
        <v>38</v>
      </c>
      <c r="D37" s="25"/>
      <c r="E37" s="25"/>
      <c r="F37" s="25"/>
      <c r="G37" s="25"/>
      <c r="H37" s="25"/>
      <c r="I37" s="25"/>
      <c r="J37" s="25"/>
      <c r="K37" s="25"/>
    </row>
    <row r="38" spans="1:14" x14ac:dyDescent="0.25">
      <c r="C38" s="29" t="s">
        <v>22</v>
      </c>
      <c r="D38" s="25"/>
      <c r="E38" s="25"/>
      <c r="F38" s="25"/>
      <c r="G38" s="25"/>
      <c r="H38" s="25"/>
      <c r="I38" s="25"/>
      <c r="J38" s="25"/>
      <c r="K38" s="25"/>
    </row>
    <row r="39" spans="1:14" x14ac:dyDescent="0.25">
      <c r="C39" s="29" t="s">
        <v>23</v>
      </c>
      <c r="D39" s="25"/>
      <c r="E39" s="25"/>
      <c r="F39" s="25"/>
      <c r="G39" s="25"/>
      <c r="H39" s="25"/>
      <c r="I39" s="25"/>
      <c r="J39" s="25"/>
      <c r="K39" s="25"/>
    </row>
    <row r="40" spans="1:14" x14ac:dyDescent="0.25">
      <c r="C40" s="24" t="s">
        <v>24</v>
      </c>
      <c r="D40" s="25"/>
      <c r="E40" s="25"/>
      <c r="F40" s="25"/>
      <c r="G40" s="25"/>
      <c r="H40" s="25"/>
      <c r="I40" s="25"/>
      <c r="J40" s="25"/>
      <c r="K40" s="25"/>
    </row>
    <row r="41" spans="1:14" x14ac:dyDescent="0.25">
      <c r="C41" s="11"/>
      <c r="D41" s="11"/>
      <c r="E41" s="11"/>
      <c r="F41" s="11"/>
      <c r="G41" s="11"/>
      <c r="H41" s="11"/>
      <c r="I41" s="11"/>
      <c r="J41" s="11"/>
      <c r="K41" s="11"/>
    </row>
    <row r="42" spans="1:14" x14ac:dyDescent="0.25">
      <c r="C42" s="24" t="s">
        <v>25</v>
      </c>
      <c r="D42" s="17" t="s">
        <v>26</v>
      </c>
      <c r="E42" s="18" t="s">
        <v>27</v>
      </c>
      <c r="F42" s="24" t="s">
        <v>28</v>
      </c>
      <c r="G42" s="30" t="s">
        <v>13</v>
      </c>
      <c r="H42" s="24" t="s">
        <v>29</v>
      </c>
      <c r="I42" s="25"/>
      <c r="J42" s="25"/>
      <c r="K42" s="25"/>
    </row>
    <row r="43" spans="1:14" x14ac:dyDescent="0.25">
      <c r="C43" s="24">
        <v>2139710</v>
      </c>
      <c r="D43" s="24">
        <v>7836</v>
      </c>
      <c r="E43" s="24">
        <v>7954.37</v>
      </c>
      <c r="F43" s="24">
        <f>-D43+E43</f>
        <v>118.36999999999989</v>
      </c>
      <c r="G43" s="30">
        <v>0.21</v>
      </c>
      <c r="H43" s="24">
        <f>F43*G43</f>
        <v>24.857699999999976</v>
      </c>
      <c r="I43" s="25"/>
      <c r="J43" s="25"/>
      <c r="K43" s="25"/>
    </row>
    <row r="44" spans="1:14" ht="16.5" x14ac:dyDescent="0.35">
      <c r="C44" s="24">
        <v>-42798.530000000028</v>
      </c>
      <c r="D44" s="24"/>
      <c r="E44" s="28">
        <v>-159.13999999999999</v>
      </c>
      <c r="F44" s="28">
        <f>E44</f>
        <v>-159.13999999999999</v>
      </c>
      <c r="G44" s="30">
        <v>0.21</v>
      </c>
      <c r="H44" s="28">
        <f>F44*G44</f>
        <v>-33.419399999999996</v>
      </c>
      <c r="I44" s="25"/>
      <c r="J44" s="25"/>
      <c r="K44" s="25"/>
    </row>
    <row r="45" spans="1:14" x14ac:dyDescent="0.25">
      <c r="C45" s="25"/>
      <c r="D45" s="25"/>
      <c r="E45" s="24">
        <f>SUM(E43:E44)</f>
        <v>7795.23</v>
      </c>
      <c r="F45" s="24">
        <f>SUM(F43:F44)</f>
        <v>-40.770000000000095</v>
      </c>
      <c r="G45" s="25" t="s">
        <v>30</v>
      </c>
      <c r="H45" s="24">
        <f>SUM(H43:H44)</f>
        <v>-8.5617000000000196</v>
      </c>
      <c r="I45" s="25"/>
      <c r="J45" s="25"/>
      <c r="K45" s="25"/>
    </row>
    <row r="46" spans="1:14" ht="16.5" x14ac:dyDescent="0.35">
      <c r="C46" s="25"/>
      <c r="D46" s="25"/>
      <c r="E46" s="25"/>
      <c r="F46" s="25"/>
      <c r="G46" s="25" t="s">
        <v>31</v>
      </c>
      <c r="H46" s="28">
        <f>-H52*0.21</f>
        <v>-81.42183</v>
      </c>
      <c r="I46" s="25"/>
      <c r="J46" s="25"/>
      <c r="K46" s="25"/>
    </row>
    <row r="47" spans="1:14" x14ac:dyDescent="0.25">
      <c r="C47" s="25"/>
      <c r="D47" s="25"/>
      <c r="E47" s="25"/>
      <c r="F47" s="25"/>
      <c r="G47" s="25"/>
      <c r="H47" s="24">
        <f>H45+H46</f>
        <v>-89.983530000000016</v>
      </c>
      <c r="I47" s="25"/>
      <c r="J47" s="25"/>
      <c r="K47" s="25"/>
    </row>
    <row r="48" spans="1:14" x14ac:dyDescent="0.25">
      <c r="C48" s="25"/>
      <c r="D48" s="25"/>
      <c r="E48" s="25"/>
      <c r="F48" s="25"/>
      <c r="G48" s="25"/>
      <c r="H48" s="24">
        <f>H47-K33</f>
        <v>5.6301050000000572</v>
      </c>
      <c r="I48" s="25" t="s">
        <v>32</v>
      </c>
      <c r="J48" s="25"/>
      <c r="K48" s="25"/>
    </row>
    <row r="49" spans="3:11" x14ac:dyDescent="0.25">
      <c r="C49" s="24" t="s">
        <v>33</v>
      </c>
      <c r="D49" s="23" t="s">
        <v>26</v>
      </c>
      <c r="E49" s="18" t="s">
        <v>34</v>
      </c>
      <c r="F49" s="24" t="s">
        <v>35</v>
      </c>
      <c r="G49" s="30" t="s">
        <v>14</v>
      </c>
      <c r="H49" s="24" t="s">
        <v>36</v>
      </c>
      <c r="I49" s="25"/>
      <c r="J49" s="25"/>
      <c r="K49" s="25"/>
    </row>
    <row r="50" spans="3:11" x14ac:dyDescent="0.25">
      <c r="C50" s="24">
        <v>4279420</v>
      </c>
      <c r="D50" s="24">
        <v>7836</v>
      </c>
      <c r="E50" s="24">
        <v>15908.74</v>
      </c>
      <c r="F50" s="24">
        <f>-D50+E50</f>
        <v>8072.74</v>
      </c>
      <c r="G50" s="30">
        <v>0.05</v>
      </c>
      <c r="H50" s="24">
        <f>F50*G50</f>
        <v>403.637</v>
      </c>
      <c r="I50" s="25"/>
      <c r="J50" s="25"/>
      <c r="K50" s="25"/>
    </row>
    <row r="51" spans="3:11" ht="16.5" x14ac:dyDescent="0.35">
      <c r="C51" s="24">
        <v>-85597.060000000056</v>
      </c>
      <c r="D51" s="24"/>
      <c r="E51" s="28">
        <v>-318.27999999999997</v>
      </c>
      <c r="F51" s="28">
        <f>E51</f>
        <v>-318.27999999999997</v>
      </c>
      <c r="G51" s="30">
        <v>0.05</v>
      </c>
      <c r="H51" s="28">
        <f>F51*G51</f>
        <v>-15.914</v>
      </c>
      <c r="I51" s="11"/>
      <c r="J51" s="11"/>
      <c r="K51" s="11"/>
    </row>
    <row r="52" spans="3:11" x14ac:dyDescent="0.25">
      <c r="C52" s="25"/>
      <c r="D52" s="25"/>
      <c r="E52" s="24">
        <f>SUM(E50:E51)</f>
        <v>15590.46</v>
      </c>
      <c r="F52" s="24">
        <f>SUM(F50:F51)</f>
        <v>7754.46</v>
      </c>
      <c r="G52" s="25"/>
      <c r="H52" s="24">
        <f>SUM(H50:H51)</f>
        <v>387.72300000000001</v>
      </c>
      <c r="I52" s="11"/>
      <c r="J52" s="11"/>
      <c r="K52" s="11"/>
    </row>
    <row r="53" spans="3:11" x14ac:dyDescent="0.25">
      <c r="C53" s="25"/>
      <c r="D53" s="25"/>
      <c r="E53" s="25"/>
      <c r="F53" s="25"/>
      <c r="G53" s="25"/>
      <c r="H53" s="24">
        <f>H52-L33</f>
        <v>-4.9999999998817657E-4</v>
      </c>
      <c r="I53" s="11"/>
      <c r="J53" s="11"/>
      <c r="K53" s="11"/>
    </row>
  </sheetData>
  <pageMargins left="0.7" right="0.7" top="0.75" bottom="0.75" header="0.3" footer="0.3"/>
  <headerFooter>
    <oddFooter>&amp;L_x000D_&amp;1#&amp;"Calibri"&amp;14&amp;K000000 Business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CFF6-001F-4A54-81F8-68974C966969}">
  <dimension ref="A1:N33"/>
  <sheetViews>
    <sheetView topLeftCell="A17" workbookViewId="0">
      <selection activeCell="M33" sqref="M33"/>
    </sheetView>
  </sheetViews>
  <sheetFormatPr defaultRowHeight="15" x14ac:dyDescent="0.25"/>
  <cols>
    <col min="1" max="1" width="11.28515625" customWidth="1"/>
    <col min="2" max="2" width="1.7109375" customWidth="1"/>
    <col min="3" max="3" width="14.28515625" customWidth="1"/>
    <col min="4" max="4" width="14.28515625" bestFit="1" customWidth="1"/>
    <col min="5" max="5" width="16.42578125" customWidth="1"/>
    <col min="6" max="6" width="15.5703125" customWidth="1"/>
    <col min="7" max="8" width="14.28515625" customWidth="1"/>
    <col min="9" max="12" width="12.7109375" customWidth="1"/>
    <col min="13" max="13" width="16.5703125" bestFit="1" customWidth="1"/>
    <col min="14" max="14" width="12.710937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5" t="s">
        <v>39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6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39" x14ac:dyDescent="0.25">
      <c r="A8" s="7" t="s">
        <v>6</v>
      </c>
      <c r="B8" s="8"/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x14ac:dyDescent="0.25">
      <c r="A9" s="12" t="s">
        <v>19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27">
        <v>4303696</v>
      </c>
      <c r="N9" s="11"/>
    </row>
    <row r="10" spans="1:14" x14ac:dyDescent="0.25">
      <c r="A10" s="10">
        <v>44994</v>
      </c>
      <c r="B10" s="11"/>
      <c r="C10" s="14">
        <v>170744829</v>
      </c>
      <c r="D10" s="27">
        <v>729125</v>
      </c>
      <c r="E10" s="27">
        <f>1177165.27</f>
        <v>1177165.27</v>
      </c>
      <c r="F10" s="27">
        <f>1177165.27</f>
        <v>1177165.27</v>
      </c>
      <c r="G10" s="14">
        <f>E10-D10</f>
        <v>448040.27</v>
      </c>
      <c r="H10" s="14">
        <f>F10-D10</f>
        <v>448040.27</v>
      </c>
      <c r="I10" s="15">
        <v>0.21</v>
      </c>
      <c r="J10" s="15">
        <v>0.05</v>
      </c>
      <c r="K10" s="14">
        <f>G10*I10-L10*I10</f>
        <v>89384.03386499999</v>
      </c>
      <c r="L10" s="14">
        <f>H10*J10</f>
        <v>22402.013500000001</v>
      </c>
      <c r="M10" s="14">
        <f t="shared" ref="M10:M33" si="0">M9+K10+L10</f>
        <v>4415482.0473650005</v>
      </c>
      <c r="N10" s="14">
        <v>0</v>
      </c>
    </row>
    <row r="11" spans="1:14" x14ac:dyDescent="0.25">
      <c r="A11" s="10">
        <v>45017</v>
      </c>
      <c r="B11" s="11"/>
      <c r="C11" s="14">
        <v>170744829</v>
      </c>
      <c r="D11" s="27">
        <v>729125</v>
      </c>
      <c r="E11" s="27">
        <f>1177165.27</f>
        <v>1177165.27</v>
      </c>
      <c r="F11" s="27">
        <f>1177165.27</f>
        <v>1177165.27</v>
      </c>
      <c r="G11" s="14">
        <f t="shared" ref="G11:G13" si="1">E11-D11</f>
        <v>448040.27</v>
      </c>
      <c r="H11" s="14">
        <f t="shared" ref="H11:H13" si="2">F11-D11</f>
        <v>448040.27</v>
      </c>
      <c r="I11" s="15">
        <v>0.21</v>
      </c>
      <c r="J11" s="15">
        <v>0.05</v>
      </c>
      <c r="K11" s="14">
        <f t="shared" ref="K11:K13" si="3">G11*I11-L11*I11</f>
        <v>89384.03386499999</v>
      </c>
      <c r="L11" s="14">
        <f t="shared" ref="L11:L13" si="4">H11*J11</f>
        <v>22402.013500000001</v>
      </c>
      <c r="M11" s="14">
        <f t="shared" si="0"/>
        <v>4527268.0947300009</v>
      </c>
      <c r="N11" s="14">
        <v>0</v>
      </c>
    </row>
    <row r="12" spans="1:14" x14ac:dyDescent="0.25">
      <c r="A12" s="10">
        <v>45047</v>
      </c>
      <c r="B12" s="11"/>
      <c r="C12" s="14">
        <v>171264039</v>
      </c>
      <c r="D12" s="27">
        <v>704138</v>
      </c>
      <c r="E12" s="27">
        <f>1177165.27+24295</f>
        <v>1201460.27</v>
      </c>
      <c r="F12" s="27">
        <f>1177165.27+24295</f>
        <v>1201460.27</v>
      </c>
      <c r="G12" s="14">
        <f t="shared" si="1"/>
        <v>497322.27</v>
      </c>
      <c r="H12" s="14">
        <f t="shared" si="2"/>
        <v>497322.27</v>
      </c>
      <c r="I12" s="15">
        <v>0.21</v>
      </c>
      <c r="J12" s="15">
        <v>0.05</v>
      </c>
      <c r="K12" s="14">
        <f t="shared" si="3"/>
        <v>99215.792864999996</v>
      </c>
      <c r="L12" s="14">
        <f t="shared" si="4"/>
        <v>24866.113500000003</v>
      </c>
      <c r="M12" s="14">
        <f t="shared" si="0"/>
        <v>4651350.0010950007</v>
      </c>
      <c r="N12" s="14">
        <v>7400</v>
      </c>
    </row>
    <row r="13" spans="1:14" x14ac:dyDescent="0.25">
      <c r="A13" s="10">
        <v>45078</v>
      </c>
      <c r="B13" s="11"/>
      <c r="C13" s="14">
        <v>171264039</v>
      </c>
      <c r="D13" s="27">
        <v>679150</v>
      </c>
      <c r="E13" s="27">
        <f t="shared" ref="E13:F15" si="5">1179599.06-3122.41</f>
        <v>1176476.6500000001</v>
      </c>
      <c r="F13" s="27">
        <f t="shared" si="5"/>
        <v>1176476.6500000001</v>
      </c>
      <c r="G13" s="14">
        <f t="shared" si="1"/>
        <v>497326.65000000014</v>
      </c>
      <c r="H13" s="14">
        <f t="shared" si="2"/>
        <v>497326.65000000014</v>
      </c>
      <c r="I13" s="15">
        <v>0.21</v>
      </c>
      <c r="J13" s="15">
        <v>0.05</v>
      </c>
      <c r="K13" s="14">
        <f t="shared" si="3"/>
        <v>99216.666675000029</v>
      </c>
      <c r="L13" s="14">
        <f t="shared" si="4"/>
        <v>24866.332500000008</v>
      </c>
      <c r="M13" s="14">
        <f t="shared" si="0"/>
        <v>4775433.0002700007</v>
      </c>
      <c r="N13" s="14">
        <v>7400</v>
      </c>
    </row>
    <row r="14" spans="1:14" x14ac:dyDescent="0.25">
      <c r="A14" s="10">
        <v>45108</v>
      </c>
      <c r="B14" s="11"/>
      <c r="C14" s="14">
        <v>171264039</v>
      </c>
      <c r="D14" s="27">
        <v>679150</v>
      </c>
      <c r="E14" s="27">
        <f t="shared" si="5"/>
        <v>1176476.6500000001</v>
      </c>
      <c r="F14" s="27">
        <f t="shared" si="5"/>
        <v>1176476.6500000001</v>
      </c>
      <c r="G14" s="14">
        <f>E14-D14</f>
        <v>497326.65000000014</v>
      </c>
      <c r="H14" s="14">
        <f>F14-D14</f>
        <v>497326.65000000014</v>
      </c>
      <c r="I14" s="15">
        <v>0.21</v>
      </c>
      <c r="J14" s="15">
        <v>0.05</v>
      </c>
      <c r="K14" s="14">
        <f>G14*I14-L14*I14</f>
        <v>99216.666675000029</v>
      </c>
      <c r="L14" s="14">
        <f>H14*J14</f>
        <v>24866.332500000008</v>
      </c>
      <c r="M14" s="14">
        <f t="shared" si="0"/>
        <v>4899515.9994450007</v>
      </c>
      <c r="N14" s="14">
        <v>7400</v>
      </c>
    </row>
    <row r="15" spans="1:14" x14ac:dyDescent="0.25">
      <c r="A15" s="10">
        <v>45139</v>
      </c>
      <c r="B15" s="11"/>
      <c r="C15" s="14">
        <v>171264039</v>
      </c>
      <c r="D15" s="27">
        <v>679150</v>
      </c>
      <c r="E15" s="27">
        <f t="shared" si="5"/>
        <v>1176476.6500000001</v>
      </c>
      <c r="F15" s="27">
        <f t="shared" si="5"/>
        <v>1176476.6500000001</v>
      </c>
      <c r="G15" s="14">
        <f>E15-D15</f>
        <v>497326.65000000014</v>
      </c>
      <c r="H15" s="14">
        <f>F15-D15</f>
        <v>497326.65000000014</v>
      </c>
      <c r="I15" s="15">
        <v>0.21</v>
      </c>
      <c r="J15" s="15">
        <v>0.05</v>
      </c>
      <c r="K15" s="14">
        <f>G15*I15-L15*I15</f>
        <v>99216.666675000029</v>
      </c>
      <c r="L15" s="14">
        <f>H15*J15</f>
        <v>24866.332500000008</v>
      </c>
      <c r="M15" s="14">
        <f t="shared" si="0"/>
        <v>5023598.9986200007</v>
      </c>
      <c r="N15" s="14">
        <v>7400</v>
      </c>
    </row>
    <row r="16" spans="1:14" x14ac:dyDescent="0.25">
      <c r="A16" s="10">
        <v>45178</v>
      </c>
      <c r="B16" s="11"/>
      <c r="C16" s="14">
        <v>171264039</v>
      </c>
      <c r="D16" s="27">
        <v>679150</v>
      </c>
      <c r="E16" s="27">
        <f>1179599.06237275-3126.42</f>
        <v>1176472.64237275</v>
      </c>
      <c r="F16" s="27">
        <f>1179599.06237275-3126.42</f>
        <v>1176472.64237275</v>
      </c>
      <c r="G16" s="14">
        <f>E16-D16</f>
        <v>497322.64237274998</v>
      </c>
      <c r="H16" s="14">
        <f>F16-D16</f>
        <v>497322.64237274998</v>
      </c>
      <c r="I16" s="15">
        <v>0.21</v>
      </c>
      <c r="J16" s="15">
        <v>0.05</v>
      </c>
      <c r="K16" s="14">
        <f>G16*I16-L16*I16</f>
        <v>99215.867153363622</v>
      </c>
      <c r="L16" s="14">
        <f>H16*J16</f>
        <v>24866.132118637499</v>
      </c>
      <c r="M16" s="14">
        <f t="shared" si="0"/>
        <v>5147680.9978920016</v>
      </c>
      <c r="N16" s="14">
        <v>7399.5</v>
      </c>
    </row>
    <row r="17" spans="1:14" x14ac:dyDescent="0.25">
      <c r="A17" s="10">
        <v>45200</v>
      </c>
      <c r="B17" s="11"/>
      <c r="C17" s="14">
        <v>171264039</v>
      </c>
      <c r="D17" s="27">
        <v>679150</v>
      </c>
      <c r="E17" s="27">
        <f t="shared" ref="E17:F19" si="6">1179599.06237275-3122.41</f>
        <v>1176476.65237275</v>
      </c>
      <c r="F17" s="27">
        <f t="shared" si="6"/>
        <v>1176476.65237275</v>
      </c>
      <c r="G17" s="14">
        <f t="shared" ref="G17:G19" si="7">E17-D17</f>
        <v>497326.65237274999</v>
      </c>
      <c r="H17" s="14">
        <f t="shared" ref="H17:H19" si="8">F17-D17</f>
        <v>497326.65237274999</v>
      </c>
      <c r="I17" s="15">
        <v>0.21</v>
      </c>
      <c r="J17" s="15">
        <v>0.05</v>
      </c>
      <c r="K17" s="14">
        <f t="shared" ref="K17:K19" si="9">G17*I17-L17*I17</f>
        <v>99216.667148363631</v>
      </c>
      <c r="L17" s="14">
        <f t="shared" ref="L17:L19" si="10">H17*J17</f>
        <v>24866.332618637502</v>
      </c>
      <c r="M17" s="14">
        <f t="shared" si="0"/>
        <v>5271763.9976590034</v>
      </c>
      <c r="N17" s="14">
        <v>7399.5</v>
      </c>
    </row>
    <row r="18" spans="1:14" x14ac:dyDescent="0.25">
      <c r="A18" s="10">
        <v>45231</v>
      </c>
      <c r="B18" s="11"/>
      <c r="C18" s="14">
        <v>171264039</v>
      </c>
      <c r="D18" s="27">
        <v>679150</v>
      </c>
      <c r="E18" s="27">
        <f t="shared" si="6"/>
        <v>1176476.65237275</v>
      </c>
      <c r="F18" s="27">
        <f t="shared" si="6"/>
        <v>1176476.65237275</v>
      </c>
      <c r="G18" s="14">
        <f t="shared" si="7"/>
        <v>497326.65237274999</v>
      </c>
      <c r="H18" s="14">
        <f t="shared" si="8"/>
        <v>497326.65237274999</v>
      </c>
      <c r="I18" s="15">
        <v>0.21</v>
      </c>
      <c r="J18" s="15">
        <v>0.05</v>
      </c>
      <c r="K18" s="14">
        <f t="shared" si="9"/>
        <v>99216.667148363631</v>
      </c>
      <c r="L18" s="14">
        <f t="shared" si="10"/>
        <v>24866.332618637502</v>
      </c>
      <c r="M18" s="14">
        <f t="shared" si="0"/>
        <v>5395846.9974260051</v>
      </c>
      <c r="N18" s="14">
        <v>7399.5</v>
      </c>
    </row>
    <row r="19" spans="1:14" x14ac:dyDescent="0.25">
      <c r="A19" s="10">
        <v>45261</v>
      </c>
      <c r="B19" s="11"/>
      <c r="C19" s="14">
        <v>171264039</v>
      </c>
      <c r="D19" s="27">
        <v>679150</v>
      </c>
      <c r="E19" s="27">
        <f t="shared" si="6"/>
        <v>1176476.65237275</v>
      </c>
      <c r="F19" s="27">
        <f t="shared" si="6"/>
        <v>1176476.65237275</v>
      </c>
      <c r="G19" s="14">
        <f t="shared" si="7"/>
        <v>497326.65237274999</v>
      </c>
      <c r="H19" s="14">
        <f t="shared" si="8"/>
        <v>497326.65237274999</v>
      </c>
      <c r="I19" s="15">
        <v>0.21</v>
      </c>
      <c r="J19" s="15">
        <v>0.05</v>
      </c>
      <c r="K19" s="14">
        <f t="shared" si="9"/>
        <v>99216.667148363631</v>
      </c>
      <c r="L19" s="14">
        <f t="shared" si="10"/>
        <v>24866.332618637502</v>
      </c>
      <c r="M19" s="14">
        <f t="shared" si="0"/>
        <v>5519929.9971930068</v>
      </c>
      <c r="N19" s="14">
        <v>7399.5</v>
      </c>
    </row>
    <row r="20" spans="1:14" x14ac:dyDescent="0.25">
      <c r="A20" s="10">
        <v>45292</v>
      </c>
      <c r="B20" s="11"/>
      <c r="C20" s="14">
        <v>171264039</v>
      </c>
      <c r="D20" s="27">
        <v>679150</v>
      </c>
      <c r="E20" s="27">
        <v>1105096</v>
      </c>
      <c r="F20" s="27">
        <v>1105096</v>
      </c>
      <c r="G20" s="14">
        <f>E20-D20</f>
        <v>425946</v>
      </c>
      <c r="H20" s="14">
        <f>F20-D20</f>
        <v>425946</v>
      </c>
      <c r="I20" s="15">
        <v>0.21</v>
      </c>
      <c r="J20" s="15">
        <v>0.05</v>
      </c>
      <c r="K20" s="14">
        <f>G20*I20-L20*I20</f>
        <v>84976.226999999999</v>
      </c>
      <c r="L20" s="14">
        <f>H20*J20</f>
        <v>21297.300000000003</v>
      </c>
      <c r="M20" s="14">
        <f t="shared" si="0"/>
        <v>5626203.5241930066</v>
      </c>
      <c r="N20" s="14">
        <v>7399.5</v>
      </c>
    </row>
    <row r="21" spans="1:14" x14ac:dyDescent="0.25">
      <c r="A21" s="10">
        <v>45323</v>
      </c>
      <c r="B21" s="11"/>
      <c r="C21" s="14">
        <v>171264039</v>
      </c>
      <c r="D21" s="27">
        <v>679150</v>
      </c>
      <c r="E21" s="27">
        <f>1123838.88+18740</f>
        <v>1142578.8799999999</v>
      </c>
      <c r="F21" s="27">
        <f>1123838.88+18740</f>
        <v>1142578.8799999999</v>
      </c>
      <c r="G21" s="14">
        <f>E21-D21</f>
        <v>463428.87999999989</v>
      </c>
      <c r="H21" s="14">
        <f>F21-D21</f>
        <v>463428.87999999989</v>
      </c>
      <c r="I21" s="15">
        <v>0.21</v>
      </c>
      <c r="J21" s="15">
        <v>0.05</v>
      </c>
      <c r="K21" s="14">
        <f>G21*I21-L21*I21</f>
        <v>92454.061559999973</v>
      </c>
      <c r="L21" s="14">
        <f>H21*J21</f>
        <v>23171.443999999996</v>
      </c>
      <c r="M21" s="14">
        <f t="shared" si="0"/>
        <v>5741829.029753007</v>
      </c>
      <c r="N21" s="14">
        <v>7399.5</v>
      </c>
    </row>
    <row r="22" spans="1:14" x14ac:dyDescent="0.25">
      <c r="A22" s="10">
        <v>45360</v>
      </c>
      <c r="B22" s="11"/>
      <c r="C22" s="14">
        <v>171264039</v>
      </c>
      <c r="D22" s="27">
        <v>679150</v>
      </c>
      <c r="E22" s="27">
        <f>1123838.88</f>
        <v>1123838.8799999999</v>
      </c>
      <c r="F22" s="27">
        <f>1142578.88-18740</f>
        <v>1123838.8799999999</v>
      </c>
      <c r="G22" s="14">
        <f>E22-D22</f>
        <v>444688.87999999989</v>
      </c>
      <c r="H22" s="14">
        <f>F22-D22</f>
        <v>444688.87999999989</v>
      </c>
      <c r="I22" s="15">
        <v>0.21</v>
      </c>
      <c r="J22" s="15">
        <v>0.05</v>
      </c>
      <c r="K22" s="14">
        <f>G22*I22-L22*I22</f>
        <v>88715.431559999968</v>
      </c>
      <c r="L22" s="14">
        <f>H22*J22</f>
        <v>22234.443999999996</v>
      </c>
      <c r="M22" s="14">
        <f t="shared" si="0"/>
        <v>5852778.9053130075</v>
      </c>
      <c r="N22" s="14">
        <v>7399.5</v>
      </c>
    </row>
    <row r="23" spans="1:14" x14ac:dyDescent="0.25">
      <c r="A23" s="10">
        <v>45383</v>
      </c>
      <c r="B23" s="11"/>
      <c r="C23" s="14">
        <v>171264039</v>
      </c>
      <c r="D23" s="27">
        <v>679150</v>
      </c>
      <c r="E23" s="27">
        <f t="shared" ref="E23" si="11">1123838.88</f>
        <v>1123838.8799999999</v>
      </c>
      <c r="F23" s="27">
        <f t="shared" ref="F23" si="12">1142578.88-18740</f>
        <v>1123838.8799999999</v>
      </c>
      <c r="G23" s="14">
        <f t="shared" ref="G23:G25" si="13">E23-D23</f>
        <v>444688.87999999989</v>
      </c>
      <c r="H23" s="14">
        <f t="shared" ref="H23:H25" si="14">F23-D23</f>
        <v>444688.87999999989</v>
      </c>
      <c r="I23" s="15">
        <v>0.21</v>
      </c>
      <c r="J23" s="15">
        <v>0.05</v>
      </c>
      <c r="K23" s="14">
        <f t="shared" ref="K23:K25" si="15">G23*I23-L23*I23</f>
        <v>88715.431559999968</v>
      </c>
      <c r="L23" s="14">
        <f t="shared" ref="L23:L25" si="16">H23*J23</f>
        <v>22234.443999999996</v>
      </c>
      <c r="M23" s="14">
        <f t="shared" si="0"/>
        <v>5963728.7808730081</v>
      </c>
      <c r="N23" s="14">
        <v>7399.5</v>
      </c>
    </row>
    <row r="24" spans="1:14" x14ac:dyDescent="0.25">
      <c r="A24" s="10">
        <v>45413</v>
      </c>
      <c r="B24" s="11"/>
      <c r="C24" s="14">
        <v>229396403</v>
      </c>
      <c r="D24" s="27">
        <v>803650</v>
      </c>
      <c r="E24" s="27">
        <f>1363029+10657</f>
        <v>1373686</v>
      </c>
      <c r="F24" s="27">
        <f>1363029+10657</f>
        <v>1373686</v>
      </c>
      <c r="G24" s="14">
        <f t="shared" si="13"/>
        <v>570036</v>
      </c>
      <c r="H24" s="14">
        <f t="shared" si="14"/>
        <v>570036</v>
      </c>
      <c r="I24" s="15">
        <v>0.21</v>
      </c>
      <c r="J24" s="15">
        <v>0.05</v>
      </c>
      <c r="K24" s="14">
        <f t="shared" si="15"/>
        <v>113722.182</v>
      </c>
      <c r="L24" s="14">
        <f t="shared" si="16"/>
        <v>28501.800000000003</v>
      </c>
      <c r="M24" s="14">
        <f t="shared" si="0"/>
        <v>6105952.7628730079</v>
      </c>
      <c r="N24" s="14">
        <v>7399.5</v>
      </c>
    </row>
    <row r="25" spans="1:14" x14ac:dyDescent="0.25">
      <c r="A25" s="10">
        <v>45444</v>
      </c>
      <c r="B25" s="11"/>
      <c r="C25" s="14">
        <v>229396403</v>
      </c>
      <c r="D25" s="27">
        <v>928150</v>
      </c>
      <c r="E25" s="27">
        <f>1363029+135161</f>
        <v>1498190</v>
      </c>
      <c r="F25" s="27">
        <f>1363029+135161</f>
        <v>1498190</v>
      </c>
      <c r="G25" s="14">
        <f t="shared" si="13"/>
        <v>570040</v>
      </c>
      <c r="H25" s="14">
        <f t="shared" si="14"/>
        <v>570040</v>
      </c>
      <c r="I25" s="15">
        <v>0.21</v>
      </c>
      <c r="J25" s="15">
        <v>0.05</v>
      </c>
      <c r="K25" s="14">
        <f t="shared" si="15"/>
        <v>113722.98</v>
      </c>
      <c r="L25" s="14">
        <f t="shared" si="16"/>
        <v>28502</v>
      </c>
      <c r="M25" s="14">
        <f t="shared" si="0"/>
        <v>6248177.7428730084</v>
      </c>
      <c r="N25" s="14">
        <v>7399.5</v>
      </c>
    </row>
    <row r="26" spans="1:14" x14ac:dyDescent="0.25">
      <c r="A26" s="10">
        <v>45474</v>
      </c>
      <c r="B26" s="11"/>
      <c r="C26" s="14">
        <v>229396403</v>
      </c>
      <c r="D26" s="27">
        <v>928150.4</v>
      </c>
      <c r="E26" s="27">
        <f>1363029+135160.5</f>
        <v>1498189.5</v>
      </c>
      <c r="F26" s="27">
        <f>1363029+135160.5</f>
        <v>1498189.5</v>
      </c>
      <c r="G26" s="14">
        <f>E26-D26</f>
        <v>570039.1</v>
      </c>
      <c r="H26" s="14">
        <f>F26-D26</f>
        <v>570039.1</v>
      </c>
      <c r="I26" s="15">
        <v>0.21</v>
      </c>
      <c r="J26" s="15">
        <v>0.05</v>
      </c>
      <c r="K26" s="14">
        <f>G26*I26-L26*I26</f>
        <v>113722.80045</v>
      </c>
      <c r="L26" s="14">
        <f>H26*J26</f>
        <v>28501.955000000002</v>
      </c>
      <c r="M26" s="14">
        <f t="shared" si="0"/>
        <v>6390402.4983230084</v>
      </c>
      <c r="N26" s="14">
        <v>7399.5</v>
      </c>
    </row>
    <row r="27" spans="1:14" x14ac:dyDescent="0.25">
      <c r="A27" s="10">
        <v>45505</v>
      </c>
      <c r="B27" s="11"/>
      <c r="C27" s="14">
        <v>229396403</v>
      </c>
      <c r="D27" s="27">
        <v>928150.49</v>
      </c>
      <c r="E27" s="27">
        <f>1498189.5-3</f>
        <v>1498186.5</v>
      </c>
      <c r="F27" s="27">
        <f>1498189.5-3</f>
        <v>1498186.5</v>
      </c>
      <c r="G27" s="14">
        <f>E27-D27</f>
        <v>570036.01</v>
      </c>
      <c r="H27" s="14">
        <f>F27-D27</f>
        <v>570036.01</v>
      </c>
      <c r="I27" s="15">
        <v>0.21</v>
      </c>
      <c r="J27" s="15">
        <v>0.05</v>
      </c>
      <c r="K27" s="14">
        <f>G27*I27-L27*I27</f>
        <v>113722.183995</v>
      </c>
      <c r="L27" s="14">
        <f>H27*J27</f>
        <v>28501.800500000001</v>
      </c>
      <c r="M27" s="14">
        <f t="shared" si="0"/>
        <v>6532626.4828180084</v>
      </c>
      <c r="N27" s="14">
        <v>7399.5</v>
      </c>
    </row>
    <row r="28" spans="1:14" x14ac:dyDescent="0.25">
      <c r="A28" s="10">
        <v>45544</v>
      </c>
      <c r="B28" s="11"/>
      <c r="C28" s="14">
        <v>229396403</v>
      </c>
      <c r="D28" s="27">
        <v>928150</v>
      </c>
      <c r="E28" s="27">
        <f>1482624.57+15561.5</f>
        <v>1498186.07</v>
      </c>
      <c r="F28" s="27">
        <f>1482624.57+15561.5</f>
        <v>1498186.07</v>
      </c>
      <c r="G28" s="14">
        <f>E28-D28</f>
        <v>570036.07000000007</v>
      </c>
      <c r="H28" s="14">
        <f>F28-D28</f>
        <v>570036.07000000007</v>
      </c>
      <c r="I28" s="15">
        <v>0.21</v>
      </c>
      <c r="J28" s="15">
        <v>0.05</v>
      </c>
      <c r="K28" s="14">
        <f t="shared" ref="K28:K33" si="17">G28*I28-L28*I28</f>
        <v>113722.19596500001</v>
      </c>
      <c r="L28" s="14">
        <f t="shared" ref="L28:L33" si="18">H28*J28</f>
        <v>28501.803500000005</v>
      </c>
      <c r="M28" s="14">
        <f t="shared" si="0"/>
        <v>6674850.4822830092</v>
      </c>
      <c r="N28" s="14">
        <v>7399.5</v>
      </c>
    </row>
    <row r="29" spans="1:14" x14ac:dyDescent="0.25">
      <c r="A29" s="10">
        <v>45566</v>
      </c>
      <c r="B29" s="11"/>
      <c r="C29" s="14">
        <v>229396403</v>
      </c>
      <c r="D29" s="27">
        <v>928150</v>
      </c>
      <c r="E29" s="27">
        <f>1482624.57+15561.5</f>
        <v>1498186.07</v>
      </c>
      <c r="F29" s="27">
        <f>1482624.57+15561.5</f>
        <v>1498186.07</v>
      </c>
      <c r="G29" s="14">
        <f t="shared" ref="G29:G31" si="19">E29-D29</f>
        <v>570036.07000000007</v>
      </c>
      <c r="H29" s="14">
        <f t="shared" ref="H29:H31" si="20">F29-D29</f>
        <v>570036.07000000007</v>
      </c>
      <c r="I29" s="15">
        <v>0.21</v>
      </c>
      <c r="J29" s="15">
        <v>0.05</v>
      </c>
      <c r="K29" s="14">
        <f t="shared" si="17"/>
        <v>113722.19596500001</v>
      </c>
      <c r="L29" s="14">
        <f t="shared" si="18"/>
        <v>28501.803500000005</v>
      </c>
      <c r="M29" s="14">
        <f t="shared" si="0"/>
        <v>6817074.48174801</v>
      </c>
      <c r="N29" s="14">
        <v>7399.5</v>
      </c>
    </row>
    <row r="30" spans="1:14" x14ac:dyDescent="0.25">
      <c r="A30" s="10">
        <v>45597</v>
      </c>
      <c r="B30" s="11"/>
      <c r="C30" s="14">
        <v>229396403</v>
      </c>
      <c r="D30" s="27">
        <v>928149.5</v>
      </c>
      <c r="E30" s="27">
        <f>1482624.57+15563.1</f>
        <v>1498187.6700000002</v>
      </c>
      <c r="F30" s="27">
        <f>1482624.57+15563.1</f>
        <v>1498187.6700000002</v>
      </c>
      <c r="G30" s="14">
        <f t="shared" si="19"/>
        <v>570038.17000000016</v>
      </c>
      <c r="H30" s="14">
        <f t="shared" si="20"/>
        <v>570038.17000000016</v>
      </c>
      <c r="I30" s="15">
        <v>0.21</v>
      </c>
      <c r="J30" s="15">
        <v>0.05</v>
      </c>
      <c r="K30" s="14">
        <f t="shared" si="17"/>
        <v>113722.61491500003</v>
      </c>
      <c r="L30" s="14">
        <f t="shared" si="18"/>
        <v>28501.908500000009</v>
      </c>
      <c r="M30" s="14">
        <f t="shared" si="0"/>
        <v>6959299.0051630102</v>
      </c>
      <c r="N30" s="14">
        <v>7399.5</v>
      </c>
    </row>
    <row r="31" spans="1:14" x14ac:dyDescent="0.25">
      <c r="A31" s="10">
        <v>45627</v>
      </c>
      <c r="B31" s="11"/>
      <c r="C31" s="14">
        <v>229396403</v>
      </c>
      <c r="D31" s="27">
        <v>928150</v>
      </c>
      <c r="E31" s="27">
        <f>1482624.57+15561.5</f>
        <v>1498186.07</v>
      </c>
      <c r="F31" s="27">
        <f>1482624.57+15561.5</f>
        <v>1498186.07</v>
      </c>
      <c r="G31" s="14">
        <f t="shared" si="19"/>
        <v>570036.07000000007</v>
      </c>
      <c r="H31" s="14">
        <f t="shared" si="20"/>
        <v>570036.07000000007</v>
      </c>
      <c r="I31" s="15">
        <v>0.21</v>
      </c>
      <c r="J31" s="15">
        <v>0.05</v>
      </c>
      <c r="K31" s="14">
        <f t="shared" si="17"/>
        <v>113722.19596500001</v>
      </c>
      <c r="L31" s="14">
        <f t="shared" si="18"/>
        <v>28501.803500000005</v>
      </c>
      <c r="M31" s="14">
        <f t="shared" si="0"/>
        <v>7101523.004628011</v>
      </c>
      <c r="N31" s="14">
        <v>7399.5</v>
      </c>
    </row>
    <row r="32" spans="1:14" x14ac:dyDescent="0.25">
      <c r="A32" s="10">
        <v>45658</v>
      </c>
      <c r="B32" s="11"/>
      <c r="C32" s="14">
        <v>229396403</v>
      </c>
      <c r="D32" s="27">
        <v>928149.5</v>
      </c>
      <c r="E32" s="27">
        <f>1255906.5</f>
        <v>1255906.5</v>
      </c>
      <c r="F32" s="27">
        <f>1255906.5</f>
        <v>1255906.5</v>
      </c>
      <c r="G32" s="14">
        <f>E32-D32</f>
        <v>327757</v>
      </c>
      <c r="H32" s="14">
        <f>F32-D32</f>
        <v>327757</v>
      </c>
      <c r="I32" s="15">
        <v>0.21</v>
      </c>
      <c r="J32" s="15">
        <v>0.05</v>
      </c>
      <c r="K32" s="14">
        <f t="shared" si="17"/>
        <v>65387.521500000003</v>
      </c>
      <c r="L32" s="14">
        <f t="shared" si="18"/>
        <v>16387.850000000002</v>
      </c>
      <c r="M32" s="14">
        <f t="shared" si="0"/>
        <v>7183298.3761280105</v>
      </c>
      <c r="N32" s="14">
        <v>7399.5</v>
      </c>
    </row>
    <row r="33" spans="1:14" x14ac:dyDescent="0.25">
      <c r="A33" s="10">
        <v>45689</v>
      </c>
      <c r="B33" s="11"/>
      <c r="C33" s="14">
        <v>229396403</v>
      </c>
      <c r="D33" s="27">
        <v>928150</v>
      </c>
      <c r="E33" s="27">
        <f>1255907.73</f>
        <v>1255907.73</v>
      </c>
      <c r="F33" s="27">
        <f>1255907.73</f>
        <v>1255907.73</v>
      </c>
      <c r="G33" s="14">
        <f>E33-D33</f>
        <v>327757.73</v>
      </c>
      <c r="H33" s="14">
        <f>F33-D33</f>
        <v>327757.73</v>
      </c>
      <c r="I33" s="15">
        <v>0.21</v>
      </c>
      <c r="J33" s="15">
        <v>0.05</v>
      </c>
      <c r="K33" s="14">
        <f t="shared" si="17"/>
        <v>65387.667134999989</v>
      </c>
      <c r="L33" s="14">
        <f t="shared" si="18"/>
        <v>16387.886500000001</v>
      </c>
      <c r="M33" s="14">
        <f t="shared" si="0"/>
        <v>7265073.9297630107</v>
      </c>
      <c r="N33" s="14">
        <v>7399.5</v>
      </c>
    </row>
  </sheetData>
  <pageMargins left="0.7" right="0.7" top="0.75" bottom="0.75" header="0.3" footer="0.3"/>
  <headerFooter>
    <oddFooter>&amp;L_x000D_&amp;1#&amp;"Calibri"&amp;14&amp;K000000 Business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66696-335A-4CDB-913B-CC669B81F0A8}">
  <dimension ref="A1:N58"/>
  <sheetViews>
    <sheetView topLeftCell="A23" workbookViewId="0">
      <selection activeCell="K33" sqref="K33"/>
    </sheetView>
  </sheetViews>
  <sheetFormatPr defaultRowHeight="15" x14ac:dyDescent="0.25"/>
  <cols>
    <col min="1" max="1" width="11.28515625" customWidth="1"/>
    <col min="2" max="2" width="1.7109375" customWidth="1"/>
    <col min="3" max="3" width="14.28515625" customWidth="1"/>
    <col min="4" max="4" width="14.28515625" bestFit="1" customWidth="1"/>
    <col min="5" max="5" width="16.42578125" customWidth="1"/>
    <col min="6" max="6" width="15.5703125" customWidth="1"/>
    <col min="7" max="8" width="14.28515625" customWidth="1"/>
    <col min="9" max="12" width="12.7109375" customWidth="1"/>
    <col min="13" max="13" width="16.5703125" bestFit="1" customWidth="1"/>
    <col min="14" max="14" width="12.710937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5" t="s">
        <v>39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6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39" x14ac:dyDescent="0.25">
      <c r="A8" s="7" t="s">
        <v>6</v>
      </c>
      <c r="B8" s="8"/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x14ac:dyDescent="0.25">
      <c r="A9" s="12" t="s">
        <v>19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27">
        <v>4169205</v>
      </c>
      <c r="N9" s="11"/>
    </row>
    <row r="10" spans="1:14" x14ac:dyDescent="0.25">
      <c r="A10" s="10">
        <v>44994</v>
      </c>
      <c r="B10" s="11"/>
      <c r="C10" s="14">
        <v>41905553</v>
      </c>
      <c r="D10" s="27">
        <v>81716</v>
      </c>
      <c r="E10" s="27">
        <f>128665.36</f>
        <v>128665.36</v>
      </c>
      <c r="F10" s="27">
        <f>199680.84</f>
        <v>199680.84</v>
      </c>
      <c r="G10" s="14">
        <f>E10-D10</f>
        <v>46949.36</v>
      </c>
      <c r="H10" s="14">
        <f>F10-D10</f>
        <v>117964.84</v>
      </c>
      <c r="I10" s="15">
        <v>0.21</v>
      </c>
      <c r="J10" s="15">
        <v>0.05</v>
      </c>
      <c r="K10" s="14">
        <f>G10*I10-L10*I10</f>
        <v>8620.7347799999989</v>
      </c>
      <c r="L10" s="14">
        <f>H10*J10</f>
        <v>5898.2420000000002</v>
      </c>
      <c r="M10" s="14">
        <f t="shared" ref="M10:M33" si="0">M9+K10+L10</f>
        <v>4183723.9767800001</v>
      </c>
      <c r="N10" s="14">
        <v>0</v>
      </c>
    </row>
    <row r="11" spans="1:14" x14ac:dyDescent="0.25">
      <c r="A11" s="10">
        <v>45017</v>
      </c>
      <c r="B11" s="11"/>
      <c r="C11" s="14">
        <v>41905553</v>
      </c>
      <c r="D11" s="27">
        <v>81716</v>
      </c>
      <c r="E11" s="27">
        <f>128665.36</f>
        <v>128665.36</v>
      </c>
      <c r="F11" s="27">
        <f>199680.84</f>
        <v>199680.84</v>
      </c>
      <c r="G11" s="14">
        <f t="shared" ref="G11:G13" si="1">E11-D11</f>
        <v>46949.36</v>
      </c>
      <c r="H11" s="14">
        <f t="shared" ref="H11:H13" si="2">F11-D11</f>
        <v>117964.84</v>
      </c>
      <c r="I11" s="15">
        <v>0.21</v>
      </c>
      <c r="J11" s="15">
        <v>0.05</v>
      </c>
      <c r="K11" s="14">
        <f t="shared" ref="K11:K13" si="3">G11*I11-L11*I11</f>
        <v>8620.7347799999989</v>
      </c>
      <c r="L11" s="14">
        <f t="shared" ref="L11:L13" si="4">H11*J11</f>
        <v>5898.2420000000002</v>
      </c>
      <c r="M11" s="14">
        <f t="shared" si="0"/>
        <v>4198242.9535600003</v>
      </c>
      <c r="N11" s="14">
        <v>0</v>
      </c>
    </row>
    <row r="12" spans="1:14" x14ac:dyDescent="0.25">
      <c r="A12" s="10">
        <v>45047</v>
      </c>
      <c r="B12" s="11"/>
      <c r="C12" s="14">
        <v>42148136</v>
      </c>
      <c r="D12" s="27">
        <v>81952</v>
      </c>
      <c r="E12" s="27">
        <f>128665.36+929.67</f>
        <v>129595.03</v>
      </c>
      <c r="F12" s="27">
        <f>199680.84+929.67</f>
        <v>200610.51</v>
      </c>
      <c r="G12" s="14">
        <f t="shared" si="1"/>
        <v>47643.03</v>
      </c>
      <c r="H12" s="14">
        <f t="shared" si="2"/>
        <v>118658.51000000001</v>
      </c>
      <c r="I12" s="15">
        <v>0.21</v>
      </c>
      <c r="J12" s="15">
        <v>0.05</v>
      </c>
      <c r="K12" s="14">
        <f t="shared" si="3"/>
        <v>8759.121944999999</v>
      </c>
      <c r="L12" s="14">
        <f t="shared" si="4"/>
        <v>5932.9255000000012</v>
      </c>
      <c r="M12" s="14">
        <f t="shared" si="0"/>
        <v>4212935.0010050004</v>
      </c>
      <c r="N12" s="14">
        <v>113921</v>
      </c>
    </row>
    <row r="13" spans="1:14" x14ac:dyDescent="0.25">
      <c r="A13" s="10">
        <v>45078</v>
      </c>
      <c r="B13" s="11"/>
      <c r="C13" s="14">
        <v>42148136</v>
      </c>
      <c r="D13" s="27">
        <v>82189</v>
      </c>
      <c r="E13" s="27">
        <f>129802.47+29.37</f>
        <v>129831.84</v>
      </c>
      <c r="F13" s="27">
        <f>200817.95+29.37</f>
        <v>200847.32</v>
      </c>
      <c r="G13" s="14">
        <f t="shared" si="1"/>
        <v>47642.84</v>
      </c>
      <c r="H13" s="14">
        <f t="shared" si="2"/>
        <v>118658.32</v>
      </c>
      <c r="I13" s="15">
        <v>0.21</v>
      </c>
      <c r="J13" s="15">
        <v>0.05</v>
      </c>
      <c r="K13" s="14">
        <f t="shared" si="3"/>
        <v>8759.0840399999979</v>
      </c>
      <c r="L13" s="14">
        <f t="shared" si="4"/>
        <v>5932.9160000000011</v>
      </c>
      <c r="M13" s="14">
        <f t="shared" si="0"/>
        <v>4227627.0010450007</v>
      </c>
      <c r="N13" s="14">
        <v>113921</v>
      </c>
    </row>
    <row r="14" spans="1:14" x14ac:dyDescent="0.25">
      <c r="A14" s="10">
        <v>45108</v>
      </c>
      <c r="B14" s="11"/>
      <c r="C14" s="14">
        <v>42148136</v>
      </c>
      <c r="D14" s="27">
        <v>82189</v>
      </c>
      <c r="E14" s="27">
        <f>129802.47+29.37</f>
        <v>129831.84</v>
      </c>
      <c r="F14" s="27">
        <f>200817.95+29.37</f>
        <v>200847.32</v>
      </c>
      <c r="G14" s="14">
        <f>E14-D14</f>
        <v>47642.84</v>
      </c>
      <c r="H14" s="14">
        <f>F14-D14</f>
        <v>118658.32</v>
      </c>
      <c r="I14" s="15">
        <v>0.21</v>
      </c>
      <c r="J14" s="15">
        <v>0.05</v>
      </c>
      <c r="K14" s="14">
        <f>G14*I14-L14*I14</f>
        <v>8759.0840399999979</v>
      </c>
      <c r="L14" s="14">
        <f>H14*J14</f>
        <v>5932.9160000000011</v>
      </c>
      <c r="M14" s="14">
        <f t="shared" si="0"/>
        <v>4242319.001085001</v>
      </c>
      <c r="N14" s="14">
        <v>113921</v>
      </c>
    </row>
    <row r="15" spans="1:14" x14ac:dyDescent="0.25">
      <c r="A15" s="10">
        <v>45139</v>
      </c>
      <c r="B15" s="11"/>
      <c r="C15" s="14">
        <v>42148136</v>
      </c>
      <c r="D15" s="27">
        <v>82189</v>
      </c>
      <c r="E15" s="27">
        <f>129802.47+29.37</f>
        <v>129831.84</v>
      </c>
      <c r="F15" s="27">
        <f>200817.95+29.37</f>
        <v>200847.32</v>
      </c>
      <c r="G15" s="14">
        <f>E15-D15</f>
        <v>47642.84</v>
      </c>
      <c r="H15" s="14">
        <f>F15-D15</f>
        <v>118658.32</v>
      </c>
      <c r="I15" s="15">
        <v>0.21</v>
      </c>
      <c r="J15" s="15">
        <v>0.05</v>
      </c>
      <c r="K15" s="14">
        <f>G15*I15-L15*I15</f>
        <v>8759.0840399999979</v>
      </c>
      <c r="L15" s="14">
        <f>H15*J15</f>
        <v>5932.9160000000011</v>
      </c>
      <c r="M15" s="14">
        <f t="shared" si="0"/>
        <v>4257011.0011250013</v>
      </c>
      <c r="N15" s="14">
        <v>113921</v>
      </c>
    </row>
    <row r="16" spans="1:14" x14ac:dyDescent="0.25">
      <c r="A16" s="10">
        <v>45178</v>
      </c>
      <c r="B16" s="11"/>
      <c r="C16" s="14">
        <v>42148136</v>
      </c>
      <c r="D16" s="27">
        <v>82189</v>
      </c>
      <c r="E16" s="27">
        <f>129802.470015845+29.37</f>
        <v>129831.84001584499</v>
      </c>
      <c r="F16" s="27">
        <f>200817.949694075+29.37</f>
        <v>200847.31969407501</v>
      </c>
      <c r="G16" s="14">
        <f>E16-D16</f>
        <v>47642.840015844995</v>
      </c>
      <c r="H16" s="14">
        <f>F16-D16</f>
        <v>118658.31969407501</v>
      </c>
      <c r="I16" s="15">
        <v>0.21</v>
      </c>
      <c r="J16" s="15">
        <v>0.05</v>
      </c>
      <c r="K16" s="14">
        <f>G16*I16-L16*I16</f>
        <v>8759.0840465396614</v>
      </c>
      <c r="L16" s="14">
        <f>H16*J16</f>
        <v>5932.9159847037508</v>
      </c>
      <c r="M16" s="14">
        <f t="shared" si="0"/>
        <v>4271703.0011562454</v>
      </c>
      <c r="N16" s="14">
        <v>113921</v>
      </c>
    </row>
    <row r="17" spans="1:14" x14ac:dyDescent="0.25">
      <c r="A17" s="10">
        <v>45200</v>
      </c>
      <c r="B17" s="11"/>
      <c r="C17" s="14">
        <v>42148136</v>
      </c>
      <c r="D17" s="27">
        <v>82189</v>
      </c>
      <c r="E17" s="27">
        <f>129802.470015845+33.38</f>
        <v>129835.850015845</v>
      </c>
      <c r="F17" s="27">
        <f>200817.949694075+33.38</f>
        <v>200851.32969407502</v>
      </c>
      <c r="G17" s="14">
        <f t="shared" ref="G17:G19" si="5">E17-D17</f>
        <v>47646.850015845004</v>
      </c>
      <c r="H17" s="14">
        <f t="shared" ref="H17:H19" si="6">F17-D17</f>
        <v>118662.32969407502</v>
      </c>
      <c r="I17" s="15">
        <v>0.21</v>
      </c>
      <c r="J17" s="15">
        <v>0.05</v>
      </c>
      <c r="K17" s="14">
        <f t="shared" ref="K17:K19" si="7">G17*I17-L17*I17</f>
        <v>8759.8840415396626</v>
      </c>
      <c r="L17" s="14">
        <f t="shared" ref="L17:L19" si="8">H17*J17</f>
        <v>5933.1164847037508</v>
      </c>
      <c r="M17" s="14">
        <f t="shared" si="0"/>
        <v>4286396.0016824882</v>
      </c>
      <c r="N17" s="14">
        <v>113921</v>
      </c>
    </row>
    <row r="18" spans="1:14" x14ac:dyDescent="0.25">
      <c r="A18" s="10">
        <v>45231</v>
      </c>
      <c r="B18" s="11"/>
      <c r="C18" s="14">
        <v>42148136</v>
      </c>
      <c r="D18" s="27">
        <v>82189</v>
      </c>
      <c r="E18" s="27">
        <f>129802.470015845+29.37</f>
        <v>129831.84001584499</v>
      </c>
      <c r="F18" s="27">
        <f>200817.949694075+29.37</f>
        <v>200847.31969407501</v>
      </c>
      <c r="G18" s="14">
        <f t="shared" si="5"/>
        <v>47642.840015844995</v>
      </c>
      <c r="H18" s="14">
        <f t="shared" si="6"/>
        <v>118658.31969407501</v>
      </c>
      <c r="I18" s="15">
        <v>0.21</v>
      </c>
      <c r="J18" s="15">
        <v>0.05</v>
      </c>
      <c r="K18" s="14">
        <f t="shared" si="7"/>
        <v>8759.0840465396614</v>
      </c>
      <c r="L18" s="14">
        <f t="shared" si="8"/>
        <v>5932.9159847037508</v>
      </c>
      <c r="M18" s="14">
        <f t="shared" si="0"/>
        <v>4301088.0017137323</v>
      </c>
      <c r="N18" s="14">
        <v>113921</v>
      </c>
    </row>
    <row r="19" spans="1:14" x14ac:dyDescent="0.25">
      <c r="A19" s="10">
        <v>45261</v>
      </c>
      <c r="B19" s="11"/>
      <c r="C19" s="14">
        <v>42148136</v>
      </c>
      <c r="D19" s="27">
        <v>82189</v>
      </c>
      <c r="E19" s="27">
        <f>129802.470015845+29.37</f>
        <v>129831.84001584499</v>
      </c>
      <c r="F19" s="27">
        <f>200817.949694075+29.37</f>
        <v>200847.31969407501</v>
      </c>
      <c r="G19" s="14">
        <f t="shared" si="5"/>
        <v>47642.840015844995</v>
      </c>
      <c r="H19" s="14">
        <f t="shared" si="6"/>
        <v>118658.31969407501</v>
      </c>
      <c r="I19" s="15">
        <v>0.21</v>
      </c>
      <c r="J19" s="15">
        <v>0.05</v>
      </c>
      <c r="K19" s="14">
        <f t="shared" si="7"/>
        <v>8759.0840465396614</v>
      </c>
      <c r="L19" s="14">
        <f t="shared" si="8"/>
        <v>5932.9159847037508</v>
      </c>
      <c r="M19" s="14">
        <f t="shared" si="0"/>
        <v>4315780.0017449763</v>
      </c>
      <c r="N19" s="14">
        <v>113921</v>
      </c>
    </row>
    <row r="20" spans="1:14" x14ac:dyDescent="0.25">
      <c r="A20" s="10">
        <v>45292</v>
      </c>
      <c r="B20" s="11"/>
      <c r="C20" s="14">
        <v>42148136</v>
      </c>
      <c r="D20" s="27">
        <v>82189</v>
      </c>
      <c r="E20" s="27">
        <v>120661</v>
      </c>
      <c r="F20" s="27">
        <v>186356</v>
      </c>
      <c r="G20" s="14">
        <f>E20-D20</f>
        <v>38472</v>
      </c>
      <c r="H20" s="14">
        <f>F20-D20</f>
        <v>104167</v>
      </c>
      <c r="I20" s="15">
        <v>0.21</v>
      </c>
      <c r="J20" s="15">
        <v>0.05</v>
      </c>
      <c r="K20" s="14">
        <f>G20*I20-L20*I20-2.97</f>
        <v>6982.3964999999998</v>
      </c>
      <c r="L20" s="14">
        <f>H20*J20</f>
        <v>5208.3500000000004</v>
      </c>
      <c r="M20" s="14">
        <f t="shared" si="0"/>
        <v>4327970.7482449757</v>
      </c>
      <c r="N20" s="14">
        <v>113921</v>
      </c>
    </row>
    <row r="21" spans="1:14" x14ac:dyDescent="0.25">
      <c r="A21" s="10">
        <v>45323</v>
      </c>
      <c r="B21" s="11"/>
      <c r="C21" s="14">
        <v>42148136</v>
      </c>
      <c r="D21" s="27">
        <v>82189</v>
      </c>
      <c r="E21" s="27">
        <f>120484.41-211.64</f>
        <v>120272.77</v>
      </c>
      <c r="F21" s="27">
        <f t="shared" ref="F21:F26" si="9">186179.66</f>
        <v>186179.66</v>
      </c>
      <c r="G21" s="14">
        <f>E21-D21</f>
        <v>38083.770000000004</v>
      </c>
      <c r="H21" s="14">
        <f>F21-D21</f>
        <v>103990.66</v>
      </c>
      <c r="I21" s="15">
        <v>0.21</v>
      </c>
      <c r="J21" s="15">
        <v>0.05</v>
      </c>
      <c r="K21" s="14">
        <f>G21*I21-L21*I21-2.97</f>
        <v>6902.7197700000006</v>
      </c>
      <c r="L21" s="14">
        <f>H21*J21</f>
        <v>5199.5330000000004</v>
      </c>
      <c r="M21" s="14">
        <f t="shared" si="0"/>
        <v>4340073.0010149758</v>
      </c>
      <c r="N21" s="14">
        <v>113921</v>
      </c>
    </row>
    <row r="22" spans="1:14" x14ac:dyDescent="0.25">
      <c r="A22" s="10">
        <v>45360</v>
      </c>
      <c r="B22" s="11"/>
      <c r="C22" s="14">
        <v>42148136</v>
      </c>
      <c r="D22" s="27">
        <v>82189</v>
      </c>
      <c r="E22" s="27">
        <f t="shared" ref="E22:E27" si="10">120484.41</f>
        <v>120484.41</v>
      </c>
      <c r="F22" s="27">
        <f t="shared" si="9"/>
        <v>186179.66</v>
      </c>
      <c r="G22" s="14">
        <f>E22-D22</f>
        <v>38295.410000000003</v>
      </c>
      <c r="H22" s="14">
        <f>F22-D22</f>
        <v>103990.66</v>
      </c>
      <c r="I22" s="15">
        <v>0.21</v>
      </c>
      <c r="J22" s="15">
        <v>0.05</v>
      </c>
      <c r="K22" s="14">
        <f t="shared" ref="K22:K27" si="11">G22*I22-L22*I22-2.97</f>
        <v>6947.16417</v>
      </c>
      <c r="L22" s="14">
        <f>H22*J22</f>
        <v>5199.5330000000004</v>
      </c>
      <c r="M22" s="14">
        <f t="shared" si="0"/>
        <v>4352219.6981849754</v>
      </c>
      <c r="N22" s="14">
        <v>113921</v>
      </c>
    </row>
    <row r="23" spans="1:14" x14ac:dyDescent="0.25">
      <c r="A23" s="10">
        <v>45383</v>
      </c>
      <c r="B23" s="11"/>
      <c r="C23" s="14">
        <v>42148136</v>
      </c>
      <c r="D23" s="27">
        <v>82188.5</v>
      </c>
      <c r="E23" s="27">
        <f t="shared" si="10"/>
        <v>120484.41</v>
      </c>
      <c r="F23" s="27">
        <f t="shared" si="9"/>
        <v>186179.66</v>
      </c>
      <c r="G23" s="14">
        <f t="shared" ref="G23:G25" si="12">E23-D23</f>
        <v>38295.910000000003</v>
      </c>
      <c r="H23" s="14">
        <f t="shared" ref="H23:H25" si="13">F23-D23</f>
        <v>103991.16</v>
      </c>
      <c r="I23" s="15">
        <v>0.21</v>
      </c>
      <c r="J23" s="15">
        <v>0.05</v>
      </c>
      <c r="K23" s="14">
        <f t="shared" si="11"/>
        <v>6947.2639200000003</v>
      </c>
      <c r="L23" s="14">
        <f t="shared" ref="L23:L25" si="14">H23*J23</f>
        <v>5199.5580000000009</v>
      </c>
      <c r="M23" s="14">
        <f t="shared" si="0"/>
        <v>4364366.5201049754</v>
      </c>
      <c r="N23" s="14">
        <v>113921</v>
      </c>
    </row>
    <row r="24" spans="1:14" x14ac:dyDescent="0.25">
      <c r="A24" s="10">
        <v>45413</v>
      </c>
      <c r="B24" s="11"/>
      <c r="C24" s="14">
        <v>42148136</v>
      </c>
      <c r="D24" s="27">
        <v>82188.5</v>
      </c>
      <c r="E24" s="27">
        <f t="shared" si="10"/>
        <v>120484.41</v>
      </c>
      <c r="F24" s="27">
        <f t="shared" si="9"/>
        <v>186179.66</v>
      </c>
      <c r="G24" s="14">
        <f t="shared" si="12"/>
        <v>38295.910000000003</v>
      </c>
      <c r="H24" s="14">
        <f t="shared" si="13"/>
        <v>103991.16</v>
      </c>
      <c r="I24" s="15">
        <v>0.21</v>
      </c>
      <c r="J24" s="15">
        <v>0.05</v>
      </c>
      <c r="K24" s="14">
        <f t="shared" si="11"/>
        <v>6947.2639200000003</v>
      </c>
      <c r="L24" s="14">
        <f t="shared" si="14"/>
        <v>5199.5580000000009</v>
      </c>
      <c r="M24" s="14">
        <f t="shared" si="0"/>
        <v>4376513.3420249755</v>
      </c>
      <c r="N24" s="14">
        <v>113921</v>
      </c>
    </row>
    <row r="25" spans="1:14" x14ac:dyDescent="0.25">
      <c r="A25" s="10">
        <v>45444</v>
      </c>
      <c r="B25" s="11"/>
      <c r="C25" s="14">
        <v>42148136</v>
      </c>
      <c r="D25" s="27">
        <v>82188.5</v>
      </c>
      <c r="E25" s="27">
        <f t="shared" si="10"/>
        <v>120484.41</v>
      </c>
      <c r="F25" s="27">
        <f t="shared" si="9"/>
        <v>186179.66</v>
      </c>
      <c r="G25" s="14">
        <f t="shared" si="12"/>
        <v>38295.910000000003</v>
      </c>
      <c r="H25" s="14">
        <f t="shared" si="13"/>
        <v>103991.16</v>
      </c>
      <c r="I25" s="15">
        <v>0.21</v>
      </c>
      <c r="J25" s="15">
        <v>0.05</v>
      </c>
      <c r="K25" s="14">
        <f t="shared" si="11"/>
        <v>6947.2639200000003</v>
      </c>
      <c r="L25" s="14">
        <f t="shared" si="14"/>
        <v>5199.5580000000009</v>
      </c>
      <c r="M25" s="14">
        <f t="shared" si="0"/>
        <v>4388660.1639449755</v>
      </c>
      <c r="N25" s="14">
        <v>113921</v>
      </c>
    </row>
    <row r="26" spans="1:14" x14ac:dyDescent="0.25">
      <c r="A26" s="10">
        <v>45474</v>
      </c>
      <c r="B26" s="11"/>
      <c r="C26" s="14">
        <v>42148136</v>
      </c>
      <c r="D26" s="27">
        <v>82188.5</v>
      </c>
      <c r="E26" s="27">
        <f t="shared" si="10"/>
        <v>120484.41</v>
      </c>
      <c r="F26" s="27">
        <f t="shared" si="9"/>
        <v>186179.66</v>
      </c>
      <c r="G26" s="14">
        <f>E26-D26</f>
        <v>38295.910000000003</v>
      </c>
      <c r="H26" s="14">
        <f>F26-D26</f>
        <v>103991.16</v>
      </c>
      <c r="I26" s="15">
        <v>0.21</v>
      </c>
      <c r="J26" s="15">
        <v>0.05</v>
      </c>
      <c r="K26" s="14">
        <f t="shared" si="11"/>
        <v>6947.2639200000003</v>
      </c>
      <c r="L26" s="14">
        <f>H26*J26</f>
        <v>5199.5580000000009</v>
      </c>
      <c r="M26" s="14">
        <f t="shared" si="0"/>
        <v>4400806.9858649755</v>
      </c>
      <c r="N26" s="14">
        <v>113921</v>
      </c>
    </row>
    <row r="27" spans="1:14" x14ac:dyDescent="0.25">
      <c r="A27" s="10">
        <v>45505</v>
      </c>
      <c r="B27" s="11"/>
      <c r="C27" s="14">
        <v>42148136</v>
      </c>
      <c r="D27" s="27">
        <v>82189</v>
      </c>
      <c r="E27" s="27">
        <f t="shared" si="10"/>
        <v>120484.41</v>
      </c>
      <c r="F27" s="27">
        <f t="shared" ref="F27" si="15">186179.66</f>
        <v>186179.66</v>
      </c>
      <c r="G27" s="14">
        <f>E27-D27</f>
        <v>38295.410000000003</v>
      </c>
      <c r="H27" s="14">
        <f>F27-D27</f>
        <v>103990.66</v>
      </c>
      <c r="I27" s="15">
        <v>0.21</v>
      </c>
      <c r="J27" s="15">
        <v>0.05</v>
      </c>
      <c r="K27" s="14">
        <f t="shared" si="11"/>
        <v>6947.16417</v>
      </c>
      <c r="L27" s="14">
        <f>H27*J27</f>
        <v>5199.5330000000004</v>
      </c>
      <c r="M27" s="14">
        <f t="shared" si="0"/>
        <v>4412953.6830349751</v>
      </c>
      <c r="N27" s="14">
        <v>113921</v>
      </c>
    </row>
    <row r="28" spans="1:14" x14ac:dyDescent="0.25">
      <c r="A28" s="10">
        <v>45544</v>
      </c>
      <c r="B28" s="11"/>
      <c r="C28" s="14">
        <v>42148136</v>
      </c>
      <c r="D28" s="27">
        <v>82189</v>
      </c>
      <c r="E28" s="27">
        <f>120484.41</f>
        <v>120484.41</v>
      </c>
      <c r="F28" s="27">
        <f>186179.66</f>
        <v>186179.66</v>
      </c>
      <c r="G28" s="14">
        <f>E28-D28</f>
        <v>38295.410000000003</v>
      </c>
      <c r="H28" s="14">
        <f>F28-D28</f>
        <v>103990.66</v>
      </c>
      <c r="I28" s="15">
        <v>0.21</v>
      </c>
      <c r="J28" s="15">
        <v>0.05</v>
      </c>
      <c r="K28" s="14">
        <f>G28*I28-L28*I28-2.97</f>
        <v>6947.16417</v>
      </c>
      <c r="L28" s="14">
        <f t="shared" ref="L28:L33" si="16">H28*J28</f>
        <v>5199.5330000000004</v>
      </c>
      <c r="M28" s="14">
        <f t="shared" si="0"/>
        <v>4425100.3802049747</v>
      </c>
      <c r="N28" s="14">
        <v>113921</v>
      </c>
    </row>
    <row r="29" spans="1:14" x14ac:dyDescent="0.25">
      <c r="A29" s="10">
        <v>45566</v>
      </c>
      <c r="B29" s="11"/>
      <c r="C29" s="14">
        <v>42148136</v>
      </c>
      <c r="D29" s="27">
        <v>82189</v>
      </c>
      <c r="E29" s="27">
        <f>120484.41</f>
        <v>120484.41</v>
      </c>
      <c r="F29" s="27">
        <f>186179.66</f>
        <v>186179.66</v>
      </c>
      <c r="G29" s="14">
        <f t="shared" ref="G29:G31" si="17">E29-D29</f>
        <v>38295.410000000003</v>
      </c>
      <c r="H29" s="14">
        <f t="shared" ref="H29:H31" si="18">F29-D29</f>
        <v>103990.66</v>
      </c>
      <c r="I29" s="15">
        <v>0.21</v>
      </c>
      <c r="J29" s="15">
        <v>0.05</v>
      </c>
      <c r="K29" s="14">
        <f>G29*I29-L29*I29-2.97</f>
        <v>6947.16417</v>
      </c>
      <c r="L29" s="14">
        <f t="shared" si="16"/>
        <v>5199.5330000000004</v>
      </c>
      <c r="M29" s="32">
        <f t="shared" si="0"/>
        <v>4437247.0773749743</v>
      </c>
      <c r="N29" s="14">
        <v>113921</v>
      </c>
    </row>
    <row r="30" spans="1:14" x14ac:dyDescent="0.25">
      <c r="A30" s="10">
        <v>45597</v>
      </c>
      <c r="B30" s="11"/>
      <c r="C30" s="14">
        <v>42148136</v>
      </c>
      <c r="D30" s="27">
        <v>82188.5</v>
      </c>
      <c r="E30" s="27">
        <f>120484.41+1</f>
        <v>120485.41</v>
      </c>
      <c r="F30" s="27">
        <f>186179.66+1</f>
        <v>186180.66</v>
      </c>
      <c r="G30" s="14">
        <f t="shared" si="17"/>
        <v>38296.910000000003</v>
      </c>
      <c r="H30" s="14">
        <f t="shared" si="18"/>
        <v>103992.16</v>
      </c>
      <c r="I30" s="15">
        <v>0.21</v>
      </c>
      <c r="J30" s="15">
        <v>0.05</v>
      </c>
      <c r="K30" s="14">
        <f>G30*I30-L30*I30-2.97</f>
        <v>6947.463420000001</v>
      </c>
      <c r="L30" s="14">
        <f t="shared" si="16"/>
        <v>5199.6080000000002</v>
      </c>
      <c r="M30" s="14">
        <f t="shared" si="0"/>
        <v>4449394.1487949742</v>
      </c>
      <c r="N30" s="14">
        <v>113921</v>
      </c>
    </row>
    <row r="31" spans="1:14" x14ac:dyDescent="0.25">
      <c r="A31" s="10">
        <v>45627</v>
      </c>
      <c r="B31" s="11"/>
      <c r="C31" s="14">
        <v>42148136</v>
      </c>
      <c r="D31" s="27">
        <v>82189</v>
      </c>
      <c r="E31" s="27">
        <f>120484.41-2.79</f>
        <v>120481.62000000001</v>
      </c>
      <c r="F31" s="27">
        <f>186179.66-2.79</f>
        <v>186176.87</v>
      </c>
      <c r="G31" s="14">
        <f t="shared" si="17"/>
        <v>38292.62000000001</v>
      </c>
      <c r="H31" s="14">
        <f t="shared" si="18"/>
        <v>103987.87</v>
      </c>
      <c r="I31" s="15">
        <v>0.21</v>
      </c>
      <c r="J31" s="15">
        <v>0.05</v>
      </c>
      <c r="K31" s="14">
        <f>G31*I31-L31*I31-2.97</f>
        <v>6946.6075650000021</v>
      </c>
      <c r="L31" s="14">
        <f t="shared" si="16"/>
        <v>5199.3935000000001</v>
      </c>
      <c r="M31" s="14">
        <f t="shared" si="0"/>
        <v>4461540.1498599742</v>
      </c>
      <c r="N31" s="14">
        <v>113921</v>
      </c>
    </row>
    <row r="32" spans="1:14" x14ac:dyDescent="0.25">
      <c r="A32" s="10">
        <v>45658</v>
      </c>
      <c r="B32" s="11"/>
      <c r="C32" s="14">
        <v>42148136</v>
      </c>
      <c r="D32" s="27">
        <v>82188.86</v>
      </c>
      <c r="E32" s="27">
        <f>111475.72+1</f>
        <v>111476.72</v>
      </c>
      <c r="F32" s="27">
        <f>172276.85+1</f>
        <v>172277.85</v>
      </c>
      <c r="G32" s="14">
        <f>E32-D32</f>
        <v>29287.86</v>
      </c>
      <c r="H32" s="14">
        <f>F32-D32</f>
        <v>90088.99</v>
      </c>
      <c r="I32" s="15">
        <v>0.21</v>
      </c>
      <c r="J32" s="15">
        <v>0.05</v>
      </c>
      <c r="K32" s="14">
        <f>G32*I32-L32*I32-4.1</f>
        <v>5200.4162049999995</v>
      </c>
      <c r="L32" s="14">
        <f t="shared" si="16"/>
        <v>4504.4495000000006</v>
      </c>
      <c r="M32" s="14">
        <f t="shared" si="0"/>
        <v>4471245.0155649744</v>
      </c>
      <c r="N32" s="14">
        <v>113921</v>
      </c>
    </row>
    <row r="33" spans="1:14" x14ac:dyDescent="0.25">
      <c r="A33" s="10">
        <v>45689</v>
      </c>
      <c r="B33" s="11"/>
      <c r="C33" s="14">
        <v>42148136</v>
      </c>
      <c r="D33" s="27">
        <v>82188.86</v>
      </c>
      <c r="E33" s="27">
        <f>111475.72+1.6</f>
        <v>111477.32</v>
      </c>
      <c r="F33" s="27">
        <f>172276.85+1.6</f>
        <v>172278.45</v>
      </c>
      <c r="G33" s="14">
        <f>E33-D33</f>
        <v>29288.460000000006</v>
      </c>
      <c r="H33" s="14">
        <f>F33-D33</f>
        <v>90089.590000000011</v>
      </c>
      <c r="I33" s="15">
        <v>0.21</v>
      </c>
      <c r="J33" s="15">
        <v>0.05</v>
      </c>
      <c r="K33" s="14">
        <f>G33*I33-L33*I33-4.1</f>
        <v>5200.5359050000006</v>
      </c>
      <c r="L33" s="14">
        <f t="shared" si="16"/>
        <v>4504.4795000000004</v>
      </c>
      <c r="M33" s="14">
        <f t="shared" si="0"/>
        <v>4480950.0309699746</v>
      </c>
      <c r="N33" s="14">
        <v>113921</v>
      </c>
    </row>
    <row r="35" spans="1:14" x14ac:dyDescent="0.25">
      <c r="C35" s="24" t="s">
        <v>20</v>
      </c>
      <c r="D35" s="14"/>
      <c r="E35" s="14"/>
      <c r="F35" s="14"/>
      <c r="G35" s="14"/>
      <c r="H35" s="14"/>
      <c r="I35" s="14"/>
      <c r="J35" s="14"/>
      <c r="K35" s="14"/>
    </row>
    <row r="36" spans="1:14" x14ac:dyDescent="0.25">
      <c r="C36" s="14"/>
      <c r="D36" s="14"/>
      <c r="E36" s="14"/>
      <c r="F36" s="14"/>
      <c r="G36" s="14"/>
      <c r="H36" s="14"/>
      <c r="I36" s="14"/>
      <c r="J36" s="14"/>
      <c r="K36" s="14"/>
    </row>
    <row r="37" spans="1:14" x14ac:dyDescent="0.25">
      <c r="C37" s="29" t="s">
        <v>42</v>
      </c>
      <c r="D37" s="25"/>
      <c r="E37" s="25"/>
      <c r="F37" s="25"/>
      <c r="G37" s="25"/>
      <c r="H37" s="25"/>
      <c r="I37" s="25"/>
      <c r="J37" s="25"/>
      <c r="K37" s="11"/>
    </row>
    <row r="38" spans="1:14" x14ac:dyDescent="0.25">
      <c r="C38" s="29" t="s">
        <v>22</v>
      </c>
      <c r="D38" s="25"/>
      <c r="E38" s="25"/>
      <c r="F38" s="25"/>
      <c r="G38" s="25"/>
      <c r="H38" s="25"/>
      <c r="I38" s="25"/>
      <c r="J38" s="25"/>
      <c r="K38" s="11"/>
    </row>
    <row r="39" spans="1:14" x14ac:dyDescent="0.25">
      <c r="C39" s="29" t="s">
        <v>23</v>
      </c>
      <c r="D39" s="25"/>
      <c r="E39" s="25"/>
      <c r="F39" s="25"/>
      <c r="G39" s="25"/>
      <c r="H39" s="25"/>
      <c r="I39" s="25"/>
      <c r="J39" s="25"/>
      <c r="K39" s="11"/>
    </row>
    <row r="40" spans="1:14" x14ac:dyDescent="0.25">
      <c r="C40" s="24" t="s">
        <v>24</v>
      </c>
      <c r="D40" s="25"/>
      <c r="E40" s="25"/>
      <c r="F40" s="25"/>
      <c r="G40" s="25"/>
      <c r="H40" s="25"/>
      <c r="I40" s="25"/>
      <c r="J40" s="25"/>
      <c r="K40" s="11"/>
    </row>
    <row r="41" spans="1:14" x14ac:dyDescent="0.25">
      <c r="C41" s="11"/>
      <c r="D41" s="11"/>
      <c r="E41" s="11"/>
      <c r="F41" s="11"/>
      <c r="G41" s="11"/>
      <c r="H41" s="11"/>
      <c r="I41" s="11"/>
      <c r="J41" s="11"/>
      <c r="K41" s="11"/>
    </row>
    <row r="42" spans="1:14" x14ac:dyDescent="0.25">
      <c r="C42" s="24" t="s">
        <v>25</v>
      </c>
      <c r="D42" s="17" t="s">
        <v>26</v>
      </c>
      <c r="E42" s="18" t="s">
        <v>27</v>
      </c>
      <c r="F42" s="24" t="s">
        <v>28</v>
      </c>
      <c r="G42" s="30" t="s">
        <v>13</v>
      </c>
      <c r="H42" s="24" t="s">
        <v>29</v>
      </c>
      <c r="I42" s="25"/>
      <c r="J42" s="25"/>
      <c r="K42" s="11"/>
    </row>
    <row r="43" spans="1:14" x14ac:dyDescent="0.25">
      <c r="C43" s="24">
        <v>175037.2</v>
      </c>
      <c r="D43" s="24">
        <v>82189</v>
      </c>
      <c r="E43" s="24">
        <v>650.85</v>
      </c>
      <c r="F43" s="24">
        <f>-D43+E43</f>
        <v>-81538.149999999994</v>
      </c>
      <c r="G43" s="30">
        <v>0.21</v>
      </c>
      <c r="H43" s="24">
        <f>F43*G43</f>
        <v>-17123.011499999997</v>
      </c>
      <c r="I43" s="25"/>
      <c r="J43" s="25"/>
      <c r="K43" s="11"/>
    </row>
    <row r="44" spans="1:14" x14ac:dyDescent="0.25">
      <c r="C44" s="24">
        <v>25712341</v>
      </c>
      <c r="D44" s="24"/>
      <c r="E44" s="24">
        <v>104734.9</v>
      </c>
      <c r="F44" s="24">
        <f>E44</f>
        <v>104734.9</v>
      </c>
      <c r="G44" s="30">
        <v>0.21</v>
      </c>
      <c r="H44" s="24">
        <f>F44*G44</f>
        <v>21994.328999999998</v>
      </c>
      <c r="I44" s="25"/>
      <c r="J44" s="25"/>
      <c r="K44" s="11"/>
    </row>
    <row r="45" spans="1:14" x14ac:dyDescent="0.25">
      <c r="C45" s="31">
        <v>1076291.1100000001</v>
      </c>
      <c r="D45" s="24"/>
      <c r="E45" s="24">
        <v>4740.17</v>
      </c>
      <c r="F45" s="24">
        <f>E45</f>
        <v>4740.17</v>
      </c>
      <c r="G45" s="30">
        <v>0.21</v>
      </c>
      <c r="H45" s="24">
        <f>F45*G45</f>
        <v>995.4357</v>
      </c>
      <c r="I45" s="25"/>
      <c r="J45" s="25"/>
      <c r="K45" s="11"/>
    </row>
    <row r="46" spans="1:14" ht="16.5" x14ac:dyDescent="0.35">
      <c r="C46" s="31">
        <v>242582</v>
      </c>
      <c r="D46" s="24"/>
      <c r="E46" s="28">
        <f>1349.77+1.6</f>
        <v>1351.37</v>
      </c>
      <c r="F46" s="28">
        <f>E46</f>
        <v>1351.37</v>
      </c>
      <c r="G46" s="30">
        <v>0.21</v>
      </c>
      <c r="H46" s="28">
        <f>F46*G46</f>
        <v>283.78769999999997</v>
      </c>
      <c r="I46" s="25"/>
      <c r="J46" s="25"/>
      <c r="K46" s="11"/>
    </row>
    <row r="47" spans="1:14" x14ac:dyDescent="0.25">
      <c r="C47" s="25"/>
      <c r="D47" s="25"/>
      <c r="E47" s="24">
        <f>SUM(E43:E46)</f>
        <v>111477.29</v>
      </c>
      <c r="F47" s="24">
        <f>SUM(F43:F46)</f>
        <v>29288.289999999997</v>
      </c>
      <c r="G47" s="25" t="s">
        <v>30</v>
      </c>
      <c r="H47" s="24">
        <f>SUM(H43:H46)</f>
        <v>6150.5409000000009</v>
      </c>
      <c r="I47" s="25"/>
      <c r="J47" s="25"/>
      <c r="K47" s="11"/>
    </row>
    <row r="48" spans="1:14" ht="16.5" x14ac:dyDescent="0.35">
      <c r="C48" s="25"/>
      <c r="D48" s="25"/>
      <c r="E48" s="25"/>
      <c r="F48" s="25"/>
      <c r="G48" s="25" t="s">
        <v>31</v>
      </c>
      <c r="H48" s="28">
        <f>-H56*0.21</f>
        <v>-945.93975</v>
      </c>
      <c r="I48" s="25"/>
      <c r="J48" s="25"/>
      <c r="K48" s="11"/>
    </row>
    <row r="49" spans="3:11" x14ac:dyDescent="0.25">
      <c r="C49" s="25"/>
      <c r="D49" s="25"/>
      <c r="E49" s="25"/>
      <c r="F49" s="25"/>
      <c r="G49" s="25"/>
      <c r="H49" s="24">
        <f>H47+H48</f>
        <v>5204.6011500000004</v>
      </c>
      <c r="I49" s="25"/>
      <c r="J49" s="25"/>
      <c r="K49" s="11"/>
    </row>
    <row r="50" spans="3:11" x14ac:dyDescent="0.25">
      <c r="C50" s="25"/>
      <c r="D50" s="25"/>
      <c r="E50" s="25"/>
      <c r="F50" s="25"/>
      <c r="G50" s="25"/>
      <c r="H50" s="24">
        <f>H49-K33</f>
        <v>4.0652449999997771</v>
      </c>
      <c r="I50" s="25" t="s">
        <v>32</v>
      </c>
      <c r="J50" s="25"/>
      <c r="K50" s="11"/>
    </row>
    <row r="51" spans="3:11" x14ac:dyDescent="0.25">
      <c r="C51" s="24" t="s">
        <v>33</v>
      </c>
      <c r="D51" s="23" t="s">
        <v>26</v>
      </c>
      <c r="E51" s="18" t="s">
        <v>34</v>
      </c>
      <c r="F51" s="24" t="s">
        <v>35</v>
      </c>
      <c r="G51" s="30" t="s">
        <v>14</v>
      </c>
      <c r="H51" s="24" t="s">
        <v>36</v>
      </c>
      <c r="I51" s="25"/>
      <c r="J51" s="25"/>
      <c r="K51" s="11"/>
    </row>
    <row r="52" spans="3:11" x14ac:dyDescent="0.25">
      <c r="C52" s="24">
        <v>350074.4</v>
      </c>
      <c r="D52" s="24">
        <v>82189</v>
      </c>
      <c r="E52" s="24">
        <v>1301.69</v>
      </c>
      <c r="F52" s="24">
        <f>-D52+E52</f>
        <v>-80887.31</v>
      </c>
      <c r="G52" s="30">
        <v>0.05</v>
      </c>
      <c r="H52" s="24">
        <f>F52*G52</f>
        <v>-4044.3654999999999</v>
      </c>
      <c r="I52" s="11"/>
      <c r="J52" s="11"/>
      <c r="K52" s="11"/>
    </row>
    <row r="53" spans="3:11" x14ac:dyDescent="0.25">
      <c r="C53" s="24">
        <v>40479188</v>
      </c>
      <c r="D53" s="24"/>
      <c r="E53" s="24">
        <v>164885.20000000001</v>
      </c>
      <c r="F53" s="24">
        <f>E53</f>
        <v>164885.20000000001</v>
      </c>
      <c r="G53" s="30">
        <v>0.05</v>
      </c>
      <c r="H53" s="24">
        <f>F53*G53</f>
        <v>8244.26</v>
      </c>
      <c r="I53" s="11"/>
      <c r="J53" s="11"/>
      <c r="K53" s="11"/>
    </row>
    <row r="54" spans="3:11" x14ac:dyDescent="0.25">
      <c r="C54" s="24">
        <v>242582</v>
      </c>
      <c r="D54" s="24"/>
      <c r="E54" s="24">
        <v>4740.17</v>
      </c>
      <c r="F54" s="24">
        <f>E54</f>
        <v>4740.17</v>
      </c>
      <c r="G54" s="30">
        <v>0.05</v>
      </c>
      <c r="H54" s="24">
        <f>F54*G54</f>
        <v>237.00850000000003</v>
      </c>
      <c r="I54" s="11"/>
      <c r="J54" s="11"/>
      <c r="K54" s="11"/>
    </row>
    <row r="55" spans="3:11" ht="16.5" x14ac:dyDescent="0.35">
      <c r="C55" s="24"/>
      <c r="D55" s="24"/>
      <c r="E55" s="28">
        <f>1349.77+1.67</f>
        <v>1351.44</v>
      </c>
      <c r="F55" s="28">
        <f>E55</f>
        <v>1351.44</v>
      </c>
      <c r="G55" s="30">
        <v>0.05</v>
      </c>
      <c r="H55" s="28">
        <f>F55*G55</f>
        <v>67.572000000000003</v>
      </c>
      <c r="I55" s="11"/>
      <c r="J55" s="11"/>
      <c r="K55" s="11"/>
    </row>
    <row r="56" spans="3:11" x14ac:dyDescent="0.25">
      <c r="C56" s="25"/>
      <c r="D56" s="25"/>
      <c r="E56" s="24">
        <f>SUM(E52:E55)</f>
        <v>172278.50000000003</v>
      </c>
      <c r="F56" s="24">
        <f>SUM(F52:F55)</f>
        <v>90089.500000000015</v>
      </c>
      <c r="G56" s="25"/>
      <c r="H56" s="24">
        <f>SUM(H52:H55)</f>
        <v>4504.4750000000004</v>
      </c>
      <c r="I56" s="11"/>
      <c r="J56" s="11"/>
      <c r="K56" s="11"/>
    </row>
    <row r="57" spans="3:11" x14ac:dyDescent="0.25">
      <c r="C57" s="25"/>
      <c r="D57" s="25"/>
      <c r="E57" s="25"/>
      <c r="F57" s="25"/>
      <c r="G57" s="25"/>
      <c r="H57" s="24">
        <f>H56-L33</f>
        <v>-4.500000000007276E-3</v>
      </c>
      <c r="I57" s="11"/>
      <c r="J57" s="11"/>
      <c r="K57" s="11"/>
    </row>
    <row r="58" spans="3:11" x14ac:dyDescent="0.25">
      <c r="C58" s="11"/>
      <c r="D58" s="11"/>
      <c r="E58" s="11"/>
      <c r="F58" s="11"/>
      <c r="G58" s="11"/>
      <c r="H58" s="11"/>
      <c r="I58" s="11"/>
      <c r="J58" s="11"/>
      <c r="K58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8BC8-82C7-4E98-8730-8490117EF472}">
  <dimension ref="A1:N33"/>
  <sheetViews>
    <sheetView topLeftCell="A8" workbookViewId="0">
      <selection activeCell="F34" sqref="F34"/>
    </sheetView>
  </sheetViews>
  <sheetFormatPr defaultRowHeight="15" x14ac:dyDescent="0.25"/>
  <cols>
    <col min="1" max="1" width="11.28515625" customWidth="1"/>
    <col min="2" max="2" width="1.7109375" customWidth="1"/>
    <col min="3" max="3" width="14.28515625" customWidth="1"/>
    <col min="4" max="4" width="14.28515625" bestFit="1" customWidth="1"/>
    <col min="5" max="5" width="16.42578125" customWidth="1"/>
    <col min="6" max="6" width="15.5703125" customWidth="1"/>
    <col min="7" max="8" width="14.28515625" customWidth="1"/>
    <col min="9" max="12" width="12.7109375" customWidth="1"/>
    <col min="13" max="13" width="16.5703125" bestFit="1" customWidth="1"/>
    <col min="14" max="14" width="12.710937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5" t="s">
        <v>39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6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39" x14ac:dyDescent="0.25">
      <c r="A8" s="7" t="s">
        <v>6</v>
      </c>
      <c r="B8" s="8"/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x14ac:dyDescent="0.25">
      <c r="A9" s="12" t="s">
        <v>19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27">
        <v>1874444</v>
      </c>
      <c r="N9" s="11"/>
    </row>
    <row r="10" spans="1:14" x14ac:dyDescent="0.25">
      <c r="A10" s="10">
        <v>44994</v>
      </c>
      <c r="B10" s="11"/>
      <c r="C10" s="14">
        <v>38352938</v>
      </c>
      <c r="D10" s="27">
        <v>163004</v>
      </c>
      <c r="E10" s="27">
        <f>458892.12</f>
        <v>458892.12</v>
      </c>
      <c r="F10" s="27">
        <f>458892.12</f>
        <v>458892.12</v>
      </c>
      <c r="G10" s="14">
        <f>E10-D10</f>
        <v>295888.12</v>
      </c>
      <c r="H10" s="14">
        <f>F10-D10</f>
        <v>295888.12</v>
      </c>
      <c r="I10" s="15">
        <v>0.21</v>
      </c>
      <c r="J10" s="15">
        <v>0.05</v>
      </c>
      <c r="K10" s="14">
        <f>G10*I10-L10*I10</f>
        <v>59029.679940000002</v>
      </c>
      <c r="L10" s="14">
        <f>H10*J10</f>
        <v>14794.406000000001</v>
      </c>
      <c r="M10" s="14">
        <f t="shared" ref="M10:M33" si="0">M9+K10+L10</f>
        <v>1948268.0859399999</v>
      </c>
      <c r="N10" s="14">
        <v>0</v>
      </c>
    </row>
    <row r="11" spans="1:14" x14ac:dyDescent="0.25">
      <c r="A11" s="10">
        <v>45017</v>
      </c>
      <c r="B11" s="11"/>
      <c r="C11" s="14">
        <v>38352938</v>
      </c>
      <c r="D11" s="27">
        <v>163004</v>
      </c>
      <c r="E11" s="27">
        <f>458892.12</f>
        <v>458892.12</v>
      </c>
      <c r="F11" s="27">
        <f>458892.12</f>
        <v>458892.12</v>
      </c>
      <c r="G11" s="14">
        <f t="shared" ref="G11:G13" si="1">E11-D11</f>
        <v>295888.12</v>
      </c>
      <c r="H11" s="14">
        <f t="shared" ref="H11:H13" si="2">F11-D11</f>
        <v>295888.12</v>
      </c>
      <c r="I11" s="15">
        <v>0.21</v>
      </c>
      <c r="J11" s="15">
        <v>0.05</v>
      </c>
      <c r="K11" s="14">
        <f t="shared" ref="K11:K13" si="3">G11*I11-L11*I11</f>
        <v>59029.679940000002</v>
      </c>
      <c r="L11" s="14">
        <f t="shared" ref="L11:L13" si="4">H11*J11</f>
        <v>14794.406000000001</v>
      </c>
      <c r="M11" s="14">
        <f t="shared" si="0"/>
        <v>2022092.1718799998</v>
      </c>
      <c r="N11" s="14">
        <v>0</v>
      </c>
    </row>
    <row r="12" spans="1:14" x14ac:dyDescent="0.25">
      <c r="A12" s="10">
        <v>45047</v>
      </c>
      <c r="B12" s="11"/>
      <c r="C12" s="14">
        <v>38717242</v>
      </c>
      <c r="D12" s="27">
        <v>163725</v>
      </c>
      <c r="E12" s="27">
        <f>458892.44+2851.91</f>
        <v>461744.35</v>
      </c>
      <c r="F12" s="27">
        <f>458892.44+2851.91</f>
        <v>461744.35</v>
      </c>
      <c r="G12" s="14">
        <f t="shared" si="1"/>
        <v>298019.34999999998</v>
      </c>
      <c r="H12" s="14">
        <f t="shared" si="2"/>
        <v>298019.34999999998</v>
      </c>
      <c r="I12" s="15">
        <v>0.21</v>
      </c>
      <c r="J12" s="15">
        <v>0.05</v>
      </c>
      <c r="K12" s="14">
        <f t="shared" si="3"/>
        <v>59454.860324999987</v>
      </c>
      <c r="L12" s="14">
        <f t="shared" si="4"/>
        <v>14900.967499999999</v>
      </c>
      <c r="M12" s="14">
        <f t="shared" si="0"/>
        <v>2096447.9997049998</v>
      </c>
      <c r="N12" s="14">
        <v>0</v>
      </c>
    </row>
    <row r="13" spans="1:14" x14ac:dyDescent="0.25">
      <c r="A13" s="10">
        <v>45078</v>
      </c>
      <c r="B13" s="11"/>
      <c r="C13" s="14">
        <v>38717242</v>
      </c>
      <c r="D13" s="27">
        <v>164446</v>
      </c>
      <c r="E13" s="27">
        <f t="shared" ref="E13:F15" si="5">462434.8+31.24</f>
        <v>462466.04</v>
      </c>
      <c r="F13" s="27">
        <f t="shared" si="5"/>
        <v>462466.04</v>
      </c>
      <c r="G13" s="14">
        <f t="shared" si="1"/>
        <v>298020.03999999998</v>
      </c>
      <c r="H13" s="14">
        <f t="shared" si="2"/>
        <v>298020.03999999998</v>
      </c>
      <c r="I13" s="15">
        <v>0.21</v>
      </c>
      <c r="J13" s="15">
        <v>0.05</v>
      </c>
      <c r="K13" s="14">
        <f t="shared" si="3"/>
        <v>59454.997979999993</v>
      </c>
      <c r="L13" s="14">
        <f t="shared" si="4"/>
        <v>14901.002</v>
      </c>
      <c r="M13" s="14">
        <f t="shared" si="0"/>
        <v>2170803.9996849997</v>
      </c>
      <c r="N13" s="14">
        <v>0</v>
      </c>
    </row>
    <row r="14" spans="1:14" x14ac:dyDescent="0.25">
      <c r="A14" s="10">
        <v>45108</v>
      </c>
      <c r="B14" s="11"/>
      <c r="C14" s="14">
        <v>38717242</v>
      </c>
      <c r="D14" s="27">
        <v>164446</v>
      </c>
      <c r="E14" s="27">
        <f t="shared" si="5"/>
        <v>462466.04</v>
      </c>
      <c r="F14" s="27">
        <f t="shared" si="5"/>
        <v>462466.04</v>
      </c>
      <c r="G14" s="14">
        <f>E14-D14</f>
        <v>298020.03999999998</v>
      </c>
      <c r="H14" s="14">
        <f>F14-D14</f>
        <v>298020.03999999998</v>
      </c>
      <c r="I14" s="15">
        <v>0.21</v>
      </c>
      <c r="J14" s="15">
        <v>0.05</v>
      </c>
      <c r="K14" s="14">
        <f>G14*I14-L14*I14</f>
        <v>59454.997979999993</v>
      </c>
      <c r="L14" s="14">
        <f>H14*J14</f>
        <v>14901.002</v>
      </c>
      <c r="M14" s="14">
        <f t="shared" si="0"/>
        <v>2245159.9996649995</v>
      </c>
      <c r="N14" s="14">
        <v>0</v>
      </c>
    </row>
    <row r="15" spans="1:14" x14ac:dyDescent="0.25">
      <c r="A15" s="10">
        <v>45139</v>
      </c>
      <c r="B15" s="11"/>
      <c r="C15" s="14">
        <v>38717242</v>
      </c>
      <c r="D15" s="27">
        <v>164446</v>
      </c>
      <c r="E15" s="27">
        <f t="shared" si="5"/>
        <v>462466.04</v>
      </c>
      <c r="F15" s="27">
        <f t="shared" si="5"/>
        <v>462466.04</v>
      </c>
      <c r="G15" s="14">
        <f>E15-D15</f>
        <v>298020.03999999998</v>
      </c>
      <c r="H15" s="14">
        <f>F15-D15</f>
        <v>298020.03999999998</v>
      </c>
      <c r="I15" s="15">
        <v>0.21</v>
      </c>
      <c r="J15" s="15">
        <v>0.05</v>
      </c>
      <c r="K15" s="14">
        <f>G15*I15-L15*I15</f>
        <v>59454.997979999993</v>
      </c>
      <c r="L15" s="14">
        <f>H15*J15</f>
        <v>14901.002</v>
      </c>
      <c r="M15" s="14">
        <f t="shared" si="0"/>
        <v>2319515.9996449994</v>
      </c>
      <c r="N15" s="14">
        <v>0</v>
      </c>
    </row>
    <row r="16" spans="1:14" x14ac:dyDescent="0.25">
      <c r="A16" s="10">
        <v>45178</v>
      </c>
      <c r="B16" s="11"/>
      <c r="C16" s="14">
        <v>38717242</v>
      </c>
      <c r="D16" s="27">
        <v>164446</v>
      </c>
      <c r="E16" s="27">
        <f>462434.799992163+35.25</f>
        <v>462470.04999216303</v>
      </c>
      <c r="F16" s="27">
        <f>462434.799992163+35.25</f>
        <v>462470.04999216303</v>
      </c>
      <c r="G16" s="14">
        <f>E16-D16</f>
        <v>298024.04999216303</v>
      </c>
      <c r="H16" s="14">
        <f>F16-D16</f>
        <v>298024.04999216303</v>
      </c>
      <c r="I16" s="15">
        <v>0.21</v>
      </c>
      <c r="J16" s="15">
        <v>0.05</v>
      </c>
      <c r="K16" s="14">
        <f>G16*I16-L16*I16</f>
        <v>59455.797973436522</v>
      </c>
      <c r="L16" s="14">
        <f>H16*J16</f>
        <v>14901.202499608153</v>
      </c>
      <c r="M16" s="14">
        <f t="shared" si="0"/>
        <v>2393873.0001180437</v>
      </c>
      <c r="N16" s="14">
        <v>0</v>
      </c>
    </row>
    <row r="17" spans="1:14" x14ac:dyDescent="0.25">
      <c r="A17" s="10">
        <v>45200</v>
      </c>
      <c r="B17" s="11"/>
      <c r="C17" s="14">
        <v>38717242</v>
      </c>
      <c r="D17" s="27">
        <v>164446</v>
      </c>
      <c r="E17" s="27">
        <f t="shared" ref="E17:F19" si="6">462434.799992163+31.24</f>
        <v>462466.03999216302</v>
      </c>
      <c r="F17" s="27">
        <f t="shared" si="6"/>
        <v>462466.03999216302</v>
      </c>
      <c r="G17" s="14">
        <f t="shared" ref="G17:G19" si="7">E17-D17</f>
        <v>298020.03999216302</v>
      </c>
      <c r="H17" s="14">
        <f t="shared" ref="H17:H19" si="8">F17-D17</f>
        <v>298020.03999216302</v>
      </c>
      <c r="I17" s="15">
        <v>0.21</v>
      </c>
      <c r="J17" s="15">
        <v>0.05</v>
      </c>
      <c r="K17" s="14">
        <f t="shared" ref="K17:K19" si="9">G17*I17-L17*I17</f>
        <v>59454.99797843652</v>
      </c>
      <c r="L17" s="14">
        <f t="shared" ref="L17:L19" si="10">H17*J17</f>
        <v>14901.001999608152</v>
      </c>
      <c r="M17" s="14">
        <f t="shared" si="0"/>
        <v>2468229.0000960883</v>
      </c>
      <c r="N17" s="14">
        <v>0</v>
      </c>
    </row>
    <row r="18" spans="1:14" x14ac:dyDescent="0.25">
      <c r="A18" s="10">
        <v>45231</v>
      </c>
      <c r="B18" s="11"/>
      <c r="C18" s="14">
        <v>38717242</v>
      </c>
      <c r="D18" s="27">
        <v>164446</v>
      </c>
      <c r="E18" s="27">
        <f t="shared" si="6"/>
        <v>462466.03999216302</v>
      </c>
      <c r="F18" s="27">
        <f t="shared" si="6"/>
        <v>462466.03999216302</v>
      </c>
      <c r="G18" s="14">
        <f t="shared" si="7"/>
        <v>298020.03999216302</v>
      </c>
      <c r="H18" s="14">
        <f t="shared" si="8"/>
        <v>298020.03999216302</v>
      </c>
      <c r="I18" s="15">
        <v>0.21</v>
      </c>
      <c r="J18" s="15">
        <v>0.05</v>
      </c>
      <c r="K18" s="14">
        <f t="shared" si="9"/>
        <v>59454.99797843652</v>
      </c>
      <c r="L18" s="14">
        <f t="shared" si="10"/>
        <v>14901.001999608152</v>
      </c>
      <c r="M18" s="14">
        <f t="shared" si="0"/>
        <v>2542585.0000741328</v>
      </c>
      <c r="N18" s="14">
        <v>0</v>
      </c>
    </row>
    <row r="19" spans="1:14" x14ac:dyDescent="0.25">
      <c r="A19" s="10">
        <v>45261</v>
      </c>
      <c r="B19" s="11"/>
      <c r="C19" s="14">
        <v>38717242</v>
      </c>
      <c r="D19" s="27">
        <v>164446</v>
      </c>
      <c r="E19" s="27">
        <f t="shared" si="6"/>
        <v>462466.03999216302</v>
      </c>
      <c r="F19" s="27">
        <f t="shared" si="6"/>
        <v>462466.03999216302</v>
      </c>
      <c r="G19" s="14">
        <f t="shared" si="7"/>
        <v>298020.03999216302</v>
      </c>
      <c r="H19" s="14">
        <f t="shared" si="8"/>
        <v>298020.03999216302</v>
      </c>
      <c r="I19" s="15">
        <v>0.21</v>
      </c>
      <c r="J19" s="15">
        <v>0.05</v>
      </c>
      <c r="K19" s="14">
        <f t="shared" si="9"/>
        <v>59454.99797843652</v>
      </c>
      <c r="L19" s="14">
        <f t="shared" si="10"/>
        <v>14901.001999608152</v>
      </c>
      <c r="M19" s="14">
        <f t="shared" si="0"/>
        <v>2616941.0000521773</v>
      </c>
      <c r="N19" s="14">
        <v>0</v>
      </c>
    </row>
    <row r="20" spans="1:14" x14ac:dyDescent="0.25">
      <c r="A20" s="10">
        <v>45292</v>
      </c>
      <c r="B20" s="11"/>
      <c r="C20" s="14">
        <v>38717242</v>
      </c>
      <c r="D20" s="27">
        <v>164446</v>
      </c>
      <c r="E20" s="27">
        <v>457370</v>
      </c>
      <c r="F20" s="27">
        <v>457370</v>
      </c>
      <c r="G20" s="14">
        <f>E20-D20</f>
        <v>292924</v>
      </c>
      <c r="H20" s="14">
        <f>F20-D20</f>
        <v>292924</v>
      </c>
      <c r="I20" s="15">
        <v>0.21</v>
      </c>
      <c r="J20" s="15">
        <v>0.05</v>
      </c>
      <c r="K20" s="14">
        <f>G20*I20-L20*I20</f>
        <v>58438.338000000003</v>
      </c>
      <c r="L20" s="14">
        <f>H20*J20</f>
        <v>14646.2</v>
      </c>
      <c r="M20" s="14">
        <f t="shared" si="0"/>
        <v>2690025.5380521775</v>
      </c>
      <c r="N20" s="14">
        <v>0</v>
      </c>
    </row>
    <row r="21" spans="1:14" x14ac:dyDescent="0.25">
      <c r="A21" s="10">
        <v>45323</v>
      </c>
      <c r="B21" s="11"/>
      <c r="C21" s="14">
        <v>38717242</v>
      </c>
      <c r="D21" s="27">
        <v>164446</v>
      </c>
      <c r="E21" s="27">
        <v>456370.48</v>
      </c>
      <c r="F21" s="27">
        <v>456370.48</v>
      </c>
      <c r="G21" s="14">
        <f>E21-D21</f>
        <v>291924.47999999998</v>
      </c>
      <c r="H21" s="14">
        <f>F21-D21</f>
        <v>291924.47999999998</v>
      </c>
      <c r="I21" s="15">
        <v>0.21</v>
      </c>
      <c r="J21" s="15">
        <v>0.05</v>
      </c>
      <c r="K21" s="14">
        <f>G21*I21-L21*I21</f>
        <v>58238.933759999993</v>
      </c>
      <c r="L21" s="14">
        <f>H21*J21</f>
        <v>14596.224</v>
      </c>
      <c r="M21" s="14">
        <f t="shared" si="0"/>
        <v>2762860.6958121774</v>
      </c>
      <c r="N21" s="14">
        <v>0</v>
      </c>
    </row>
    <row r="22" spans="1:14" x14ac:dyDescent="0.25">
      <c r="A22" s="10">
        <v>45360</v>
      </c>
      <c r="B22" s="11"/>
      <c r="C22" s="14">
        <v>38717242</v>
      </c>
      <c r="D22" s="27">
        <v>164446</v>
      </c>
      <c r="E22" s="27">
        <f>456870.48</f>
        <v>456870.48</v>
      </c>
      <c r="F22" s="27">
        <f>456870.48</f>
        <v>456870.48</v>
      </c>
      <c r="G22" s="14">
        <f>E22-D22</f>
        <v>292424.48</v>
      </c>
      <c r="H22" s="14">
        <f>F22-D22</f>
        <v>292424.48</v>
      </c>
      <c r="I22" s="15">
        <v>0.21</v>
      </c>
      <c r="J22" s="15">
        <v>0.05</v>
      </c>
      <c r="K22" s="14">
        <f>G22*I22-L22*I22</f>
        <v>58338.683759999993</v>
      </c>
      <c r="L22" s="14">
        <f>H22*J22</f>
        <v>14621.224</v>
      </c>
      <c r="M22" s="14">
        <f t="shared" si="0"/>
        <v>2835820.6035721772</v>
      </c>
      <c r="N22" s="14">
        <v>0</v>
      </c>
    </row>
    <row r="23" spans="1:14" x14ac:dyDescent="0.25">
      <c r="A23" s="10">
        <v>45383</v>
      </c>
      <c r="B23" s="11"/>
      <c r="C23" s="14">
        <v>38717242</v>
      </c>
      <c r="D23" s="27">
        <v>164446</v>
      </c>
      <c r="E23" s="27">
        <f t="shared" ref="E23:F26" si="11">456870.48</f>
        <v>456870.48</v>
      </c>
      <c r="F23" s="27">
        <f t="shared" si="11"/>
        <v>456870.48</v>
      </c>
      <c r="G23" s="14">
        <f t="shared" ref="G23:G25" si="12">E23-D23</f>
        <v>292424.48</v>
      </c>
      <c r="H23" s="14">
        <f t="shared" ref="H23:H25" si="13">F23-D23</f>
        <v>292424.48</v>
      </c>
      <c r="I23" s="15">
        <v>0.21</v>
      </c>
      <c r="J23" s="15">
        <v>0.05</v>
      </c>
      <c r="K23" s="14">
        <f t="shared" ref="K23:K25" si="14">G23*I23-L23*I23</f>
        <v>58338.683759999993</v>
      </c>
      <c r="L23" s="14">
        <f t="shared" ref="L23:L25" si="15">H23*J23</f>
        <v>14621.224</v>
      </c>
      <c r="M23" s="14">
        <f t="shared" si="0"/>
        <v>2908780.5113321771</v>
      </c>
      <c r="N23" s="14">
        <v>0</v>
      </c>
    </row>
    <row r="24" spans="1:14" x14ac:dyDescent="0.25">
      <c r="A24" s="10">
        <v>45413</v>
      </c>
      <c r="B24" s="11"/>
      <c r="C24" s="14">
        <v>38717242</v>
      </c>
      <c r="D24" s="27">
        <v>164445.5</v>
      </c>
      <c r="E24" s="27">
        <f t="shared" si="11"/>
        <v>456870.48</v>
      </c>
      <c r="F24" s="27">
        <f t="shared" si="11"/>
        <v>456870.48</v>
      </c>
      <c r="G24" s="14">
        <f t="shared" si="12"/>
        <v>292424.98</v>
      </c>
      <c r="H24" s="14">
        <f t="shared" si="13"/>
        <v>292424.98</v>
      </c>
      <c r="I24" s="15">
        <v>0.21</v>
      </c>
      <c r="J24" s="15">
        <v>0.05</v>
      </c>
      <c r="K24" s="14">
        <f t="shared" si="14"/>
        <v>58338.783509999994</v>
      </c>
      <c r="L24" s="14">
        <f t="shared" si="15"/>
        <v>14621.249</v>
      </c>
      <c r="M24" s="32">
        <f t="shared" si="0"/>
        <v>2981740.5438421769</v>
      </c>
      <c r="N24" s="14">
        <v>0</v>
      </c>
    </row>
    <row r="25" spans="1:14" x14ac:dyDescent="0.25">
      <c r="A25" s="10">
        <v>45444</v>
      </c>
      <c r="B25" s="11"/>
      <c r="C25" s="14">
        <v>38717242</v>
      </c>
      <c r="D25" s="27">
        <v>164445.5</v>
      </c>
      <c r="E25" s="27">
        <f>456870.48</f>
        <v>456870.48</v>
      </c>
      <c r="F25" s="27">
        <f t="shared" si="11"/>
        <v>456870.48</v>
      </c>
      <c r="G25" s="14">
        <f t="shared" si="12"/>
        <v>292424.98</v>
      </c>
      <c r="H25" s="14">
        <f t="shared" si="13"/>
        <v>292424.98</v>
      </c>
      <c r="I25" s="15">
        <v>0.21</v>
      </c>
      <c r="J25" s="15">
        <v>0.05</v>
      </c>
      <c r="K25" s="14">
        <f t="shared" si="14"/>
        <v>58338.783509999994</v>
      </c>
      <c r="L25" s="14">
        <f t="shared" si="15"/>
        <v>14621.249</v>
      </c>
      <c r="M25" s="32">
        <f t="shared" si="0"/>
        <v>3054700.5763521767</v>
      </c>
      <c r="N25" s="14">
        <v>0</v>
      </c>
    </row>
    <row r="26" spans="1:14" x14ac:dyDescent="0.25">
      <c r="A26" s="10">
        <v>45474</v>
      </c>
      <c r="B26" s="11"/>
      <c r="C26" s="14">
        <v>38717242</v>
      </c>
      <c r="D26" s="27">
        <v>164445.5</v>
      </c>
      <c r="E26" s="27">
        <f t="shared" si="11"/>
        <v>456870.48</v>
      </c>
      <c r="F26" s="27">
        <f t="shared" si="11"/>
        <v>456870.48</v>
      </c>
      <c r="G26" s="14">
        <f>E26-D26</f>
        <v>292424.98</v>
      </c>
      <c r="H26" s="14">
        <f>F26-D26</f>
        <v>292424.98</v>
      </c>
      <c r="I26" s="15">
        <v>0.21</v>
      </c>
      <c r="J26" s="15">
        <v>0.05</v>
      </c>
      <c r="K26" s="14">
        <f>G26*I26-L26*I26</f>
        <v>58338.783509999994</v>
      </c>
      <c r="L26" s="14">
        <f>H26*J26</f>
        <v>14621.249</v>
      </c>
      <c r="M26" s="32">
        <f t="shared" si="0"/>
        <v>3127660.6088621765</v>
      </c>
      <c r="N26" s="14">
        <v>0</v>
      </c>
    </row>
    <row r="27" spans="1:14" x14ac:dyDescent="0.25">
      <c r="A27" s="10">
        <v>45505</v>
      </c>
      <c r="B27" s="11"/>
      <c r="C27" s="14">
        <v>38717242</v>
      </c>
      <c r="D27" s="27">
        <v>164446</v>
      </c>
      <c r="E27" s="27">
        <f>456870.48</f>
        <v>456870.48</v>
      </c>
      <c r="F27" s="27">
        <f>456870.48</f>
        <v>456870.48</v>
      </c>
      <c r="G27" s="14">
        <f>E27-D27</f>
        <v>292424.48</v>
      </c>
      <c r="H27" s="14">
        <f>F27-D27</f>
        <v>292424.48</v>
      </c>
      <c r="I27" s="15">
        <v>0.21</v>
      </c>
      <c r="J27" s="15">
        <v>0.05</v>
      </c>
      <c r="K27" s="14">
        <f>G27*I27-L27*I27</f>
        <v>58338.683759999993</v>
      </c>
      <c r="L27" s="14">
        <f>H27*J27</f>
        <v>14621.224</v>
      </c>
      <c r="M27" s="32">
        <f t="shared" si="0"/>
        <v>3200620.5166221764</v>
      </c>
      <c r="N27" s="14">
        <v>0</v>
      </c>
    </row>
    <row r="28" spans="1:14" x14ac:dyDescent="0.25">
      <c r="A28" s="10">
        <v>45544</v>
      </c>
      <c r="B28" s="11"/>
      <c r="C28" s="14">
        <v>38717242</v>
      </c>
      <c r="D28" s="27">
        <v>164446</v>
      </c>
      <c r="E28" s="27">
        <f>456870.48+0.37</f>
        <v>456870.85</v>
      </c>
      <c r="F28" s="27">
        <f>456870.48+0.37</f>
        <v>456870.85</v>
      </c>
      <c r="G28" s="14">
        <f>E28-D28</f>
        <v>292424.84999999998</v>
      </c>
      <c r="H28" s="14">
        <f>F28-D28</f>
        <v>292424.84999999998</v>
      </c>
      <c r="I28" s="15">
        <v>0.21</v>
      </c>
      <c r="J28" s="15">
        <v>0.05</v>
      </c>
      <c r="K28" s="14">
        <f>G28*I28-L28*I28</f>
        <v>58338.757574999996</v>
      </c>
      <c r="L28" s="14">
        <f>H28*J28</f>
        <v>14621.2425</v>
      </c>
      <c r="M28" s="14">
        <f t="shared" si="0"/>
        <v>3273580.5166971767</v>
      </c>
      <c r="N28" s="14">
        <v>0</v>
      </c>
    </row>
    <row r="29" spans="1:14" x14ac:dyDescent="0.25">
      <c r="A29" s="10">
        <v>45566</v>
      </c>
      <c r="B29" s="11"/>
      <c r="C29" s="14">
        <v>38717242</v>
      </c>
      <c r="D29" s="27">
        <v>164446</v>
      </c>
      <c r="E29" s="27">
        <f>456870.48-2</f>
        <v>456868.48</v>
      </c>
      <c r="F29" s="27">
        <f>456870.48-2</f>
        <v>456868.48</v>
      </c>
      <c r="G29" s="14">
        <f t="shared" ref="G29:G31" si="16">E29-D29</f>
        <v>292422.48</v>
      </c>
      <c r="H29" s="14">
        <f t="shared" ref="H29:H31" si="17">F29-D29</f>
        <v>292422.48</v>
      </c>
      <c r="I29" s="15">
        <v>0.21</v>
      </c>
      <c r="J29" s="15">
        <v>0.05</v>
      </c>
      <c r="K29" s="14">
        <f t="shared" ref="K29:K31" si="18">G29*I29-L29*I29</f>
        <v>58338.284759999995</v>
      </c>
      <c r="L29" s="14">
        <f t="shared" ref="L29:L31" si="19">H29*J29</f>
        <v>14621.124</v>
      </c>
      <c r="M29" s="14">
        <f t="shared" si="0"/>
        <v>3346539.9254571768</v>
      </c>
      <c r="N29" s="14">
        <v>0</v>
      </c>
    </row>
    <row r="30" spans="1:14" x14ac:dyDescent="0.25">
      <c r="A30" s="10">
        <v>45597</v>
      </c>
      <c r="B30" s="11"/>
      <c r="C30" s="14">
        <v>38717242</v>
      </c>
      <c r="D30" s="27">
        <v>164446</v>
      </c>
      <c r="E30" s="27">
        <f t="shared" ref="E30:F31" si="20">456870.48</f>
        <v>456870.48</v>
      </c>
      <c r="F30" s="27">
        <f t="shared" si="20"/>
        <v>456870.48</v>
      </c>
      <c r="G30" s="14">
        <f t="shared" si="16"/>
        <v>292424.48</v>
      </c>
      <c r="H30" s="14">
        <f t="shared" si="17"/>
        <v>292424.48</v>
      </c>
      <c r="I30" s="15">
        <v>0.21</v>
      </c>
      <c r="J30" s="15">
        <v>0.05</v>
      </c>
      <c r="K30" s="14">
        <f t="shared" si="18"/>
        <v>58338.683759999993</v>
      </c>
      <c r="L30" s="14">
        <f t="shared" si="19"/>
        <v>14621.224</v>
      </c>
      <c r="M30" s="14">
        <f t="shared" si="0"/>
        <v>3419499.8332171766</v>
      </c>
      <c r="N30" s="14">
        <v>0</v>
      </c>
    </row>
    <row r="31" spans="1:14" x14ac:dyDescent="0.25">
      <c r="A31" s="10">
        <v>45627</v>
      </c>
      <c r="B31" s="11"/>
      <c r="C31" s="14">
        <v>38717242</v>
      </c>
      <c r="D31" s="27">
        <v>164446</v>
      </c>
      <c r="E31" s="27">
        <f t="shared" si="20"/>
        <v>456870.48</v>
      </c>
      <c r="F31" s="27">
        <f t="shared" si="20"/>
        <v>456870.48</v>
      </c>
      <c r="G31" s="14">
        <f t="shared" si="16"/>
        <v>292424.48</v>
      </c>
      <c r="H31" s="14">
        <f t="shared" si="17"/>
        <v>292424.48</v>
      </c>
      <c r="I31" s="15">
        <v>0.21</v>
      </c>
      <c r="J31" s="15">
        <v>0.05</v>
      </c>
      <c r="K31" s="14">
        <f t="shared" si="18"/>
        <v>58338.683759999993</v>
      </c>
      <c r="L31" s="14">
        <f t="shared" si="19"/>
        <v>14621.224</v>
      </c>
      <c r="M31" s="14">
        <f t="shared" si="0"/>
        <v>3492459.7409771765</v>
      </c>
      <c r="N31" s="14">
        <v>0</v>
      </c>
    </row>
    <row r="32" spans="1:14" x14ac:dyDescent="0.25">
      <c r="A32" s="10">
        <v>45658</v>
      </c>
      <c r="B32" s="11"/>
      <c r="C32" s="14">
        <v>38717242</v>
      </c>
      <c r="D32" s="27">
        <v>164445.5</v>
      </c>
      <c r="E32" s="27">
        <f>305250.49</f>
        <v>305250.49</v>
      </c>
      <c r="F32" s="27">
        <f>305250.49</f>
        <v>305250.49</v>
      </c>
      <c r="G32" s="14">
        <f>E32-D32</f>
        <v>140804.99</v>
      </c>
      <c r="H32" s="14">
        <f>F32-D32</f>
        <v>140804.99</v>
      </c>
      <c r="I32" s="15">
        <v>0.21</v>
      </c>
      <c r="J32" s="15">
        <v>0.05</v>
      </c>
      <c r="K32" s="14">
        <f>G32*I32-L32*I32</f>
        <v>28090.595504999998</v>
      </c>
      <c r="L32" s="14">
        <f>H32*J32</f>
        <v>7040.2494999999999</v>
      </c>
      <c r="M32" s="14">
        <f t="shared" si="0"/>
        <v>3527590.5859821765</v>
      </c>
      <c r="N32" s="14">
        <v>0</v>
      </c>
    </row>
    <row r="33" spans="1:14" x14ac:dyDescent="0.25">
      <c r="A33" s="10">
        <v>45689</v>
      </c>
      <c r="B33" s="11"/>
      <c r="C33" s="14">
        <v>38717242</v>
      </c>
      <c r="D33" s="27">
        <v>164445.5</v>
      </c>
      <c r="E33" s="27">
        <f>305251</f>
        <v>305251</v>
      </c>
      <c r="F33" s="27">
        <f>305251</f>
        <v>305251</v>
      </c>
      <c r="G33" s="14">
        <f>E33-D33</f>
        <v>140805.5</v>
      </c>
      <c r="H33" s="14">
        <f>F33-D33</f>
        <v>140805.5</v>
      </c>
      <c r="I33" s="15">
        <v>0.21</v>
      </c>
      <c r="J33" s="15">
        <v>0.05</v>
      </c>
      <c r="K33" s="14">
        <f>G33*I33-L33*I33</f>
        <v>28090.697249999997</v>
      </c>
      <c r="L33" s="14">
        <f>H33*J33</f>
        <v>7040.2750000000005</v>
      </c>
      <c r="M33" s="14">
        <f t="shared" si="0"/>
        <v>3562721.5582321766</v>
      </c>
      <c r="N33" s="1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45C5-63A0-4DEC-8BB4-F85E629771E0}">
  <dimension ref="A1:N33"/>
  <sheetViews>
    <sheetView tabSelected="1" topLeftCell="A7" workbookViewId="0">
      <selection activeCell="M24" sqref="M24"/>
    </sheetView>
  </sheetViews>
  <sheetFormatPr defaultRowHeight="15" x14ac:dyDescent="0.25"/>
  <cols>
    <col min="1" max="1" width="11.28515625" customWidth="1"/>
    <col min="2" max="2" width="1.7109375" customWidth="1"/>
    <col min="3" max="3" width="14.28515625" customWidth="1"/>
    <col min="4" max="4" width="14.28515625" bestFit="1" customWidth="1"/>
    <col min="5" max="5" width="16.42578125" customWidth="1"/>
    <col min="6" max="6" width="15.5703125" customWidth="1"/>
    <col min="7" max="8" width="14.28515625" customWidth="1"/>
    <col min="9" max="12" width="12.7109375" customWidth="1"/>
    <col min="13" max="13" width="16.5703125" bestFit="1" customWidth="1"/>
    <col min="14" max="14" width="12.710937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5" t="s">
        <v>44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6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39" x14ac:dyDescent="0.25">
      <c r="A8" s="7" t="s">
        <v>6</v>
      </c>
      <c r="B8" s="8"/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x14ac:dyDescent="0.25">
      <c r="A9" s="12" t="s">
        <v>19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27">
        <v>137118</v>
      </c>
      <c r="N9" s="11"/>
    </row>
    <row r="10" spans="1:14" x14ac:dyDescent="0.25">
      <c r="A10" s="10">
        <v>44994</v>
      </c>
      <c r="B10" s="11"/>
      <c r="C10" s="14">
        <v>7326019</v>
      </c>
      <c r="D10" s="27">
        <v>31380</v>
      </c>
      <c r="E10" s="27">
        <f>52824.05+38.92</f>
        <v>52862.97</v>
      </c>
      <c r="F10" s="27">
        <f>52824.05+38.92</f>
        <v>52862.97</v>
      </c>
      <c r="G10" s="14">
        <f>E10-D10</f>
        <v>21482.97</v>
      </c>
      <c r="H10" s="14">
        <f>F10-D10</f>
        <v>21482.97</v>
      </c>
      <c r="I10" s="15">
        <v>0.21</v>
      </c>
      <c r="J10" s="15">
        <v>0.05</v>
      </c>
      <c r="K10" s="14">
        <f>G10*I10-L10*I10</f>
        <v>4285.8525150000005</v>
      </c>
      <c r="L10" s="14">
        <f>H10*J10</f>
        <v>1074.1485</v>
      </c>
      <c r="M10" s="14">
        <f t="shared" ref="M10:M33" si="0">M9+K10+L10</f>
        <v>142478.00101500002</v>
      </c>
      <c r="N10" s="14">
        <v>0</v>
      </c>
    </row>
    <row r="11" spans="1:14" x14ac:dyDescent="0.25">
      <c r="A11" s="10">
        <v>45017</v>
      </c>
      <c r="B11" s="11"/>
      <c r="C11" s="14">
        <v>7326019</v>
      </c>
      <c r="D11" s="27">
        <v>31380</v>
      </c>
      <c r="E11" s="27">
        <f t="shared" ref="E11:F15" si="1">52824.05+34.9</f>
        <v>52858.950000000004</v>
      </c>
      <c r="F11" s="27">
        <f t="shared" si="1"/>
        <v>52858.950000000004</v>
      </c>
      <c r="G11" s="14">
        <f t="shared" ref="G11:G13" si="2">E11-D11</f>
        <v>21478.950000000004</v>
      </c>
      <c r="H11" s="14">
        <f t="shared" ref="H11:H13" si="3">F11-D11</f>
        <v>21478.950000000004</v>
      </c>
      <c r="I11" s="15">
        <v>0.21</v>
      </c>
      <c r="J11" s="15">
        <v>0.05</v>
      </c>
      <c r="K11" s="14">
        <f t="shared" ref="K11:K13" si="4">G11*I11-L11*I11</f>
        <v>4285.0505250000006</v>
      </c>
      <c r="L11" s="14">
        <f t="shared" ref="L11:L13" si="5">H11*J11</f>
        <v>1073.9475000000002</v>
      </c>
      <c r="M11" s="14">
        <f t="shared" si="0"/>
        <v>147836.99904000002</v>
      </c>
      <c r="N11" s="14">
        <v>0</v>
      </c>
    </row>
    <row r="12" spans="1:14" x14ac:dyDescent="0.25">
      <c r="A12" s="10">
        <v>45047</v>
      </c>
      <c r="B12" s="11"/>
      <c r="C12" s="14">
        <v>7326019</v>
      </c>
      <c r="D12" s="27">
        <v>31380</v>
      </c>
      <c r="E12" s="27">
        <f t="shared" si="1"/>
        <v>52858.950000000004</v>
      </c>
      <c r="F12" s="27">
        <f t="shared" si="1"/>
        <v>52858.950000000004</v>
      </c>
      <c r="G12" s="14">
        <f t="shared" si="2"/>
        <v>21478.950000000004</v>
      </c>
      <c r="H12" s="14">
        <f t="shared" si="3"/>
        <v>21478.950000000004</v>
      </c>
      <c r="I12" s="15">
        <v>0.21</v>
      </c>
      <c r="J12" s="15">
        <v>0.05</v>
      </c>
      <c r="K12" s="14">
        <f t="shared" si="4"/>
        <v>4285.0505250000006</v>
      </c>
      <c r="L12" s="14">
        <f t="shared" si="5"/>
        <v>1073.9475000000002</v>
      </c>
      <c r="M12" s="14">
        <f t="shared" si="0"/>
        <v>153195.99706500003</v>
      </c>
      <c r="N12" s="14">
        <v>0</v>
      </c>
    </row>
    <row r="13" spans="1:14" x14ac:dyDescent="0.25">
      <c r="A13" s="10">
        <v>45078</v>
      </c>
      <c r="B13" s="11"/>
      <c r="C13" s="14">
        <v>7326019</v>
      </c>
      <c r="D13" s="27">
        <v>31380</v>
      </c>
      <c r="E13" s="27">
        <f t="shared" si="1"/>
        <v>52858.950000000004</v>
      </c>
      <c r="F13" s="27">
        <f t="shared" si="1"/>
        <v>52858.950000000004</v>
      </c>
      <c r="G13" s="14">
        <f t="shared" si="2"/>
        <v>21478.950000000004</v>
      </c>
      <c r="H13" s="14">
        <f t="shared" si="3"/>
        <v>21478.950000000004</v>
      </c>
      <c r="I13" s="15">
        <v>0.21</v>
      </c>
      <c r="J13" s="15">
        <v>0.05</v>
      </c>
      <c r="K13" s="14">
        <f t="shared" si="4"/>
        <v>4285.0505250000006</v>
      </c>
      <c r="L13" s="14">
        <f t="shared" si="5"/>
        <v>1073.9475000000002</v>
      </c>
      <c r="M13" s="14">
        <f t="shared" si="0"/>
        <v>158554.99509000004</v>
      </c>
      <c r="N13" s="14">
        <v>0</v>
      </c>
    </row>
    <row r="14" spans="1:14" x14ac:dyDescent="0.25">
      <c r="A14" s="10">
        <v>45108</v>
      </c>
      <c r="B14" s="11"/>
      <c r="C14" s="14">
        <v>7326019</v>
      </c>
      <c r="D14" s="27">
        <v>31380</v>
      </c>
      <c r="E14" s="27">
        <f t="shared" si="1"/>
        <v>52858.950000000004</v>
      </c>
      <c r="F14" s="27">
        <f t="shared" si="1"/>
        <v>52858.950000000004</v>
      </c>
      <c r="G14" s="14">
        <f>E14-D14</f>
        <v>21478.950000000004</v>
      </c>
      <c r="H14" s="14">
        <f>F14-D14</f>
        <v>21478.950000000004</v>
      </c>
      <c r="I14" s="15">
        <v>0.21</v>
      </c>
      <c r="J14" s="15">
        <v>0.05</v>
      </c>
      <c r="K14" s="14">
        <f>G14*I14-L14*I14</f>
        <v>4285.0505250000006</v>
      </c>
      <c r="L14" s="14">
        <f>H14*J14</f>
        <v>1073.9475000000002</v>
      </c>
      <c r="M14" s="14">
        <f t="shared" si="0"/>
        <v>163913.99311500005</v>
      </c>
      <c r="N14" s="14">
        <v>0</v>
      </c>
    </row>
    <row r="15" spans="1:14" x14ac:dyDescent="0.25">
      <c r="A15" s="10">
        <v>45139</v>
      </c>
      <c r="B15" s="11"/>
      <c r="C15" s="14">
        <v>7326019</v>
      </c>
      <c r="D15" s="27">
        <v>31380</v>
      </c>
      <c r="E15" s="27">
        <f t="shared" si="1"/>
        <v>52858.950000000004</v>
      </c>
      <c r="F15" s="27">
        <f t="shared" si="1"/>
        <v>52858.950000000004</v>
      </c>
      <c r="G15" s="14">
        <f>E15-D15</f>
        <v>21478.950000000004</v>
      </c>
      <c r="H15" s="14">
        <f>F15-D15</f>
        <v>21478.950000000004</v>
      </c>
      <c r="I15" s="15">
        <v>0.21</v>
      </c>
      <c r="J15" s="15">
        <v>0.05</v>
      </c>
      <c r="K15" s="14">
        <f>G15*I15-L15*I15</f>
        <v>4285.0505250000006</v>
      </c>
      <c r="L15" s="14">
        <f>H15*J15</f>
        <v>1073.9475000000002</v>
      </c>
      <c r="M15" s="14">
        <f t="shared" si="0"/>
        <v>169272.99114000006</v>
      </c>
      <c r="N15" s="14">
        <v>0</v>
      </c>
    </row>
    <row r="16" spans="1:14" x14ac:dyDescent="0.25">
      <c r="A16" s="10">
        <v>45178</v>
      </c>
      <c r="B16" s="11"/>
      <c r="C16" s="14">
        <v>7236019</v>
      </c>
      <c r="D16" s="27">
        <v>31380</v>
      </c>
      <c r="E16" s="27">
        <f>52850.6432993408+8.31</f>
        <v>52858.953299340799</v>
      </c>
      <c r="F16" s="27">
        <f>52850.6432993408+8.31</f>
        <v>52858.953299340799</v>
      </c>
      <c r="G16" s="14">
        <f>E16-D16</f>
        <v>21478.953299340799</v>
      </c>
      <c r="H16" s="14">
        <f>F16-D16</f>
        <v>21478.953299340799</v>
      </c>
      <c r="I16" s="15">
        <v>0.21</v>
      </c>
      <c r="J16" s="15">
        <v>0.05</v>
      </c>
      <c r="K16" s="14">
        <f>G16*I16-L16*I16</f>
        <v>4285.0511832184893</v>
      </c>
      <c r="L16" s="14">
        <f>H16*J16</f>
        <v>1073.9476649670401</v>
      </c>
      <c r="M16" s="14">
        <f t="shared" si="0"/>
        <v>174631.98998818558</v>
      </c>
      <c r="N16" s="14">
        <v>0</v>
      </c>
    </row>
    <row r="17" spans="1:14" x14ac:dyDescent="0.25">
      <c r="A17" s="10">
        <v>45200</v>
      </c>
      <c r="B17" s="11"/>
      <c r="C17" s="14">
        <v>7236019</v>
      </c>
      <c r="D17" s="27">
        <v>31380</v>
      </c>
      <c r="E17" s="27">
        <f>52850.6432993408+8.32</f>
        <v>52858.963299340801</v>
      </c>
      <c r="F17" s="27">
        <f>52850.6432993408+8.32</f>
        <v>52858.963299340801</v>
      </c>
      <c r="G17" s="14">
        <f t="shared" ref="G17:G19" si="6">E17-D17</f>
        <v>21478.963299340801</v>
      </c>
      <c r="H17" s="14">
        <f t="shared" ref="H17:H19" si="7">F17-D17</f>
        <v>21478.963299340801</v>
      </c>
      <c r="I17" s="15">
        <v>0.21</v>
      </c>
      <c r="J17" s="15">
        <v>0.05</v>
      </c>
      <c r="K17" s="14">
        <f t="shared" ref="K17:K19" si="8">G17*I17-L17*I17</f>
        <v>4285.0531782184898</v>
      </c>
      <c r="L17" s="14">
        <f t="shared" ref="L17:L19" si="9">H17*J17</f>
        <v>1073.9481649670402</v>
      </c>
      <c r="M17" s="14">
        <f t="shared" si="0"/>
        <v>179990.9913313711</v>
      </c>
      <c r="N17" s="14">
        <v>0</v>
      </c>
    </row>
    <row r="18" spans="1:14" x14ac:dyDescent="0.25">
      <c r="A18" s="10">
        <v>45231</v>
      </c>
      <c r="B18" s="11"/>
      <c r="C18" s="14">
        <v>7236019</v>
      </c>
      <c r="D18" s="27">
        <v>31380</v>
      </c>
      <c r="E18" s="27">
        <f>52850.6432993408+8.31</f>
        <v>52858.953299340799</v>
      </c>
      <c r="F18" s="27">
        <f>52850.6432993408+8.31</f>
        <v>52858.953299340799</v>
      </c>
      <c r="G18" s="14">
        <f t="shared" si="6"/>
        <v>21478.953299340799</v>
      </c>
      <c r="H18" s="14">
        <f t="shared" si="7"/>
        <v>21478.953299340799</v>
      </c>
      <c r="I18" s="15">
        <v>0.21</v>
      </c>
      <c r="J18" s="15">
        <v>0.05</v>
      </c>
      <c r="K18" s="14">
        <f t="shared" si="8"/>
        <v>4285.0511832184893</v>
      </c>
      <c r="L18" s="14">
        <f t="shared" si="9"/>
        <v>1073.9476649670401</v>
      </c>
      <c r="M18" s="14">
        <f t="shared" si="0"/>
        <v>185349.99017955663</v>
      </c>
      <c r="N18" s="14">
        <v>0</v>
      </c>
    </row>
    <row r="19" spans="1:14" x14ac:dyDescent="0.25">
      <c r="A19" s="10">
        <v>45261</v>
      </c>
      <c r="B19" s="11"/>
      <c r="C19" s="14">
        <v>10776974</v>
      </c>
      <c r="D19" s="27">
        <v>39159</v>
      </c>
      <c r="E19" s="27">
        <v>162857</v>
      </c>
      <c r="F19" s="27">
        <v>162857</v>
      </c>
      <c r="G19" s="14">
        <f t="shared" si="6"/>
        <v>123698</v>
      </c>
      <c r="H19" s="14">
        <f t="shared" si="7"/>
        <v>123698</v>
      </c>
      <c r="I19" s="15">
        <v>0.21</v>
      </c>
      <c r="J19" s="15">
        <v>0.05</v>
      </c>
      <c r="K19" s="14">
        <f t="shared" si="8"/>
        <v>24677.750999999997</v>
      </c>
      <c r="L19" s="14">
        <f t="shared" si="9"/>
        <v>6184.9000000000005</v>
      </c>
      <c r="M19" s="14">
        <f t="shared" si="0"/>
        <v>216212.64117955661</v>
      </c>
      <c r="N19" s="14">
        <v>0</v>
      </c>
    </row>
    <row r="20" spans="1:14" x14ac:dyDescent="0.25">
      <c r="A20" s="10">
        <v>45292</v>
      </c>
      <c r="B20" s="11"/>
      <c r="C20" s="14">
        <v>10776974</v>
      </c>
      <c r="D20" s="27">
        <v>46937.84</v>
      </c>
      <c r="E20" s="27">
        <v>91630</v>
      </c>
      <c r="F20" s="27">
        <v>91630</v>
      </c>
      <c r="G20" s="14">
        <f>E20-D20</f>
        <v>44692.160000000003</v>
      </c>
      <c r="H20" s="14">
        <f>F20-D20</f>
        <v>44692.160000000003</v>
      </c>
      <c r="I20" s="15">
        <v>0.21</v>
      </c>
      <c r="J20" s="15">
        <v>0.05</v>
      </c>
      <c r="K20" s="14">
        <f>G20*I20-L20*I20</f>
        <v>8916.0859199999995</v>
      </c>
      <c r="L20" s="14">
        <f>H20*J20</f>
        <v>2234.6080000000002</v>
      </c>
      <c r="M20" s="14">
        <f t="shared" si="0"/>
        <v>227363.33509955663</v>
      </c>
      <c r="N20" s="14">
        <v>0</v>
      </c>
    </row>
    <row r="21" spans="1:14" x14ac:dyDescent="0.25">
      <c r="A21" s="10">
        <v>45323</v>
      </c>
      <c r="B21" s="11"/>
      <c r="C21" s="14">
        <v>15510892</v>
      </c>
      <c r="D21" s="27">
        <v>57647</v>
      </c>
      <c r="E21" s="27">
        <v>90063.75</v>
      </c>
      <c r="F21" s="27">
        <v>90063.75</v>
      </c>
      <c r="G21" s="14">
        <f>E21-D21</f>
        <v>32416.75</v>
      </c>
      <c r="H21" s="14">
        <f>F21-D21</f>
        <v>32416.75</v>
      </c>
      <c r="I21" s="15">
        <v>0.21</v>
      </c>
      <c r="J21" s="15">
        <v>0.05</v>
      </c>
      <c r="K21" s="14">
        <f>G21*I21-L21*I21</f>
        <v>6467.1416250000002</v>
      </c>
      <c r="L21" s="14">
        <f>H21*J21</f>
        <v>1620.8375000000001</v>
      </c>
      <c r="M21" s="14">
        <f t="shared" si="0"/>
        <v>235451.31422455661</v>
      </c>
      <c r="N21" s="14">
        <v>0</v>
      </c>
    </row>
    <row r="22" spans="1:14" x14ac:dyDescent="0.25">
      <c r="A22" s="10">
        <v>45360</v>
      </c>
      <c r="B22" s="11"/>
      <c r="C22" s="14">
        <v>15510892</v>
      </c>
      <c r="D22" s="27">
        <v>68357</v>
      </c>
      <c r="E22" s="27">
        <f>101160.75-384</f>
        <v>100776.75</v>
      </c>
      <c r="F22" s="27">
        <f>101160.75-384</f>
        <v>100776.75</v>
      </c>
      <c r="G22" s="14">
        <f>E22-D22</f>
        <v>32419.75</v>
      </c>
      <c r="H22" s="14">
        <f>F22-D22</f>
        <v>32419.75</v>
      </c>
      <c r="I22" s="15">
        <v>0.21</v>
      </c>
      <c r="J22" s="15">
        <v>0.05</v>
      </c>
      <c r="K22" s="14">
        <f>G22*I22-L22*I22</f>
        <v>6467.7401250000003</v>
      </c>
      <c r="L22" s="14">
        <f>H22*J22</f>
        <v>1620.9875000000002</v>
      </c>
      <c r="M22" s="14">
        <f t="shared" si="0"/>
        <v>243540.04184955661</v>
      </c>
      <c r="N22" s="14">
        <v>0</v>
      </c>
    </row>
    <row r="23" spans="1:14" x14ac:dyDescent="0.25">
      <c r="A23" s="10">
        <v>45383</v>
      </c>
      <c r="B23" s="11"/>
      <c r="C23" s="14">
        <v>65320878</v>
      </c>
      <c r="D23" s="27">
        <v>175033</v>
      </c>
      <c r="E23" s="27">
        <f>387709.19-94820</f>
        <v>292889.19</v>
      </c>
      <c r="F23" s="27">
        <f>387709.19-94820</f>
        <v>292889.19</v>
      </c>
      <c r="G23" s="14">
        <f t="shared" ref="G23:G25" si="10">E23-D23</f>
        <v>117856.19</v>
      </c>
      <c r="H23" s="14">
        <f t="shared" ref="H23:H25" si="11">F23-D23</f>
        <v>117856.19</v>
      </c>
      <c r="I23" s="15">
        <v>0.21</v>
      </c>
      <c r="J23" s="15">
        <v>0.05</v>
      </c>
      <c r="K23" s="14">
        <f t="shared" ref="K23:K25" si="12">G23*I23-L23*I23</f>
        <v>23512.309904999998</v>
      </c>
      <c r="L23" s="14">
        <f t="shared" ref="L23:L25" si="13">H23*J23</f>
        <v>5892.8095000000003</v>
      </c>
      <c r="M23" s="14">
        <f t="shared" si="0"/>
        <v>272945.16125455656</v>
      </c>
      <c r="N23" s="14">
        <v>0</v>
      </c>
    </row>
    <row r="24" spans="1:14" x14ac:dyDescent="0.25">
      <c r="A24" s="10">
        <v>45413</v>
      </c>
      <c r="B24" s="11"/>
      <c r="C24" s="14">
        <v>69630522</v>
      </c>
      <c r="D24" s="27">
        <v>288801</v>
      </c>
      <c r="E24" s="33">
        <f>332157.9+88402</f>
        <v>420559.9</v>
      </c>
      <c r="F24" s="33">
        <f>332157.9+88402</f>
        <v>420559.9</v>
      </c>
      <c r="G24" s="14">
        <f t="shared" si="10"/>
        <v>131758.90000000002</v>
      </c>
      <c r="H24" s="14">
        <f t="shared" si="11"/>
        <v>131758.90000000002</v>
      </c>
      <c r="I24" s="15">
        <v>0.21</v>
      </c>
      <c r="J24" s="15">
        <v>0.05</v>
      </c>
      <c r="K24" s="14">
        <f t="shared" si="12"/>
        <v>26285.900550000002</v>
      </c>
      <c r="L24" s="14">
        <f t="shared" si="13"/>
        <v>6587.9450000000015</v>
      </c>
      <c r="M24" s="32">
        <f t="shared" si="0"/>
        <v>305819.00680455659</v>
      </c>
      <c r="N24" s="14">
        <v>0</v>
      </c>
    </row>
    <row r="25" spans="1:14" x14ac:dyDescent="0.25">
      <c r="A25" s="10">
        <v>45444</v>
      </c>
      <c r="B25" s="11"/>
      <c r="C25" s="14">
        <v>69730008</v>
      </c>
      <c r="D25" s="27">
        <v>295892.49</v>
      </c>
      <c r="E25" s="27">
        <f>415629+12254</f>
        <v>427883</v>
      </c>
      <c r="F25" s="27">
        <f>415629+12254</f>
        <v>427883</v>
      </c>
      <c r="G25" s="14">
        <f t="shared" si="10"/>
        <v>131990.51</v>
      </c>
      <c r="H25" s="14">
        <f t="shared" si="11"/>
        <v>131990.51</v>
      </c>
      <c r="I25" s="15">
        <v>0.21</v>
      </c>
      <c r="J25" s="15">
        <v>0.05</v>
      </c>
      <c r="K25" s="14">
        <f t="shared" si="12"/>
        <v>26332.106745000001</v>
      </c>
      <c r="L25" s="14">
        <f t="shared" si="13"/>
        <v>6599.5255000000006</v>
      </c>
      <c r="M25" s="14">
        <f t="shared" si="0"/>
        <v>338750.63904955657</v>
      </c>
      <c r="N25" s="14">
        <v>0</v>
      </c>
    </row>
    <row r="26" spans="1:14" x14ac:dyDescent="0.25">
      <c r="A26" s="10">
        <v>45474</v>
      </c>
      <c r="B26" s="11"/>
      <c r="C26" s="14">
        <v>69730008</v>
      </c>
      <c r="D26" s="27">
        <v>295892</v>
      </c>
      <c r="E26" s="27">
        <f>415629.94+12246</f>
        <v>427875.94</v>
      </c>
      <c r="F26" s="27">
        <f>415629.94+12246</f>
        <v>427875.94</v>
      </c>
      <c r="G26" s="14">
        <f>E26-D26</f>
        <v>131983.94</v>
      </c>
      <c r="H26" s="14">
        <f>F26-D26</f>
        <v>131983.94</v>
      </c>
      <c r="I26" s="15">
        <v>0.21</v>
      </c>
      <c r="J26" s="15">
        <v>0.05</v>
      </c>
      <c r="K26" s="14">
        <f>G26*I26-L26*I26</f>
        <v>26330.796030000001</v>
      </c>
      <c r="L26" s="14">
        <f>H26*J26</f>
        <v>6599.1970000000001</v>
      </c>
      <c r="M26" s="14">
        <f t="shared" si="0"/>
        <v>371680.63207955658</v>
      </c>
      <c r="N26" s="14">
        <v>0</v>
      </c>
    </row>
    <row r="27" spans="1:14" x14ac:dyDescent="0.25">
      <c r="A27" s="10">
        <v>45505</v>
      </c>
      <c r="B27" s="11"/>
      <c r="C27" s="14">
        <v>69730008</v>
      </c>
      <c r="D27" s="27">
        <v>295892</v>
      </c>
      <c r="E27" s="27">
        <f>415629.94+12243</f>
        <v>427872.94</v>
      </c>
      <c r="F27" s="27">
        <f>415629.94+12243</f>
        <v>427872.94</v>
      </c>
      <c r="G27" s="14">
        <f>E27-D27</f>
        <v>131980.94</v>
      </c>
      <c r="H27" s="14">
        <f>F27-D27</f>
        <v>131980.94</v>
      </c>
      <c r="I27" s="15">
        <v>0.21</v>
      </c>
      <c r="J27" s="15">
        <v>0.05</v>
      </c>
      <c r="K27" s="14">
        <f>G27*I27-L27*I27</f>
        <v>26330.197530000001</v>
      </c>
      <c r="L27" s="14">
        <f>H27*J27</f>
        <v>6599.0470000000005</v>
      </c>
      <c r="M27" s="14">
        <f t="shared" si="0"/>
        <v>404609.87660955661</v>
      </c>
      <c r="N27" s="14">
        <v>0</v>
      </c>
    </row>
    <row r="28" spans="1:14" x14ac:dyDescent="0.25">
      <c r="A28" s="10">
        <v>45544</v>
      </c>
      <c r="B28" s="11"/>
      <c r="C28" s="14">
        <v>69730008</v>
      </c>
      <c r="D28" s="27">
        <v>295892</v>
      </c>
      <c r="E28" s="27">
        <f>415629.94+12246.03</f>
        <v>427875.97000000003</v>
      </c>
      <c r="F28" s="27">
        <f>415629.94+12246.03</f>
        <v>427875.97000000003</v>
      </c>
      <c r="G28" s="14">
        <f>E28-D28</f>
        <v>131983.97000000003</v>
      </c>
      <c r="H28" s="14">
        <f>F28-D28</f>
        <v>131983.97000000003</v>
      </c>
      <c r="I28" s="15">
        <v>0.21</v>
      </c>
      <c r="J28" s="15">
        <v>0.05</v>
      </c>
      <c r="K28" s="14">
        <f>G28*I28-L28*I28</f>
        <v>26330.802015000005</v>
      </c>
      <c r="L28" s="14">
        <f>H28*J28</f>
        <v>6599.1985000000022</v>
      </c>
      <c r="M28" s="14">
        <f t="shared" si="0"/>
        <v>437539.87712455663</v>
      </c>
      <c r="N28" s="14">
        <v>0</v>
      </c>
    </row>
    <row r="29" spans="1:14" x14ac:dyDescent="0.25">
      <c r="A29" s="10">
        <v>45566</v>
      </c>
      <c r="B29" s="11"/>
      <c r="C29" s="14">
        <v>69730008</v>
      </c>
      <c r="D29" s="27">
        <v>295892</v>
      </c>
      <c r="E29" s="27">
        <f>415629.94+12246.03</f>
        <v>427875.97000000003</v>
      </c>
      <c r="F29" s="27">
        <f>415629.94+12246.03</f>
        <v>427875.97000000003</v>
      </c>
      <c r="G29" s="14">
        <f t="shared" ref="G29:G31" si="14">E29-D29</f>
        <v>131983.97000000003</v>
      </c>
      <c r="H29" s="14">
        <f t="shared" ref="H29:H31" si="15">F29-D29</f>
        <v>131983.97000000003</v>
      </c>
      <c r="I29" s="15">
        <v>0.21</v>
      </c>
      <c r="J29" s="15">
        <v>0.05</v>
      </c>
      <c r="K29" s="14">
        <f t="shared" ref="K29:K31" si="16">G29*I29-L29*I29</f>
        <v>26330.802015000005</v>
      </c>
      <c r="L29" s="14">
        <f t="shared" ref="L29:L31" si="17">H29*J29</f>
        <v>6599.1985000000022</v>
      </c>
      <c r="M29" s="14">
        <f t="shared" si="0"/>
        <v>470469.87763955665</v>
      </c>
      <c r="N29" s="14">
        <v>0</v>
      </c>
    </row>
    <row r="30" spans="1:14" x14ac:dyDescent="0.25">
      <c r="A30" s="10">
        <v>45597</v>
      </c>
      <c r="B30" s="11"/>
      <c r="C30" s="14">
        <v>69730008</v>
      </c>
      <c r="D30" s="27">
        <v>295892</v>
      </c>
      <c r="E30" s="27">
        <f>415627.5+12244.5</f>
        <v>427872</v>
      </c>
      <c r="F30" s="27">
        <f>415627.5+12244.5</f>
        <v>427872</v>
      </c>
      <c r="G30" s="14">
        <f t="shared" si="14"/>
        <v>131980</v>
      </c>
      <c r="H30" s="14">
        <f t="shared" si="15"/>
        <v>131980</v>
      </c>
      <c r="I30" s="15">
        <v>0.21</v>
      </c>
      <c r="J30" s="15">
        <v>0.05</v>
      </c>
      <c r="K30" s="14">
        <f t="shared" si="16"/>
        <v>26330.01</v>
      </c>
      <c r="L30" s="14">
        <f t="shared" si="17"/>
        <v>6599</v>
      </c>
      <c r="M30" s="14">
        <f t="shared" si="0"/>
        <v>503398.88763955666</v>
      </c>
      <c r="N30" s="14">
        <v>0</v>
      </c>
    </row>
    <row r="31" spans="1:14" x14ac:dyDescent="0.25">
      <c r="A31" s="10">
        <v>45627</v>
      </c>
      <c r="B31" s="11"/>
      <c r="C31" s="14">
        <v>69730008</v>
      </c>
      <c r="D31" s="27">
        <v>295892</v>
      </c>
      <c r="E31" s="27">
        <f>415629.94+12246.03</f>
        <v>427875.97000000003</v>
      </c>
      <c r="F31" s="27">
        <f>415629.94+12246.03</f>
        <v>427875.97000000003</v>
      </c>
      <c r="G31" s="14">
        <f t="shared" si="14"/>
        <v>131983.97000000003</v>
      </c>
      <c r="H31" s="14">
        <f t="shared" si="15"/>
        <v>131983.97000000003</v>
      </c>
      <c r="I31" s="15">
        <v>0.21</v>
      </c>
      <c r="J31" s="15">
        <v>0.05</v>
      </c>
      <c r="K31" s="14">
        <f t="shared" si="16"/>
        <v>26330.802015000005</v>
      </c>
      <c r="L31" s="14">
        <f t="shared" si="17"/>
        <v>6599.1985000000022</v>
      </c>
      <c r="M31" s="14">
        <f t="shared" si="0"/>
        <v>536328.88815455674</v>
      </c>
      <c r="N31" s="14">
        <v>0</v>
      </c>
    </row>
    <row r="32" spans="1:14" x14ac:dyDescent="0.25">
      <c r="A32" s="10">
        <v>45658</v>
      </c>
      <c r="B32" s="11"/>
      <c r="C32" s="14">
        <v>69730008</v>
      </c>
      <c r="D32" s="27">
        <v>295892</v>
      </c>
      <c r="E32" s="27">
        <f>521784.91-1.15</f>
        <v>521783.75999999995</v>
      </c>
      <c r="F32" s="27">
        <f>521784.91-1.15</f>
        <v>521783.75999999995</v>
      </c>
      <c r="G32" s="14">
        <f>E32-D32</f>
        <v>225891.75999999995</v>
      </c>
      <c r="H32" s="14">
        <f>F32-D32</f>
        <v>225891.75999999995</v>
      </c>
      <c r="I32" s="15">
        <v>0.21</v>
      </c>
      <c r="J32" s="15">
        <v>0.05</v>
      </c>
      <c r="K32" s="14">
        <f>G32*I32-L32*I32</f>
        <v>45065.406119999985</v>
      </c>
      <c r="L32" s="14">
        <f>H32*J32</f>
        <v>11294.587999999998</v>
      </c>
      <c r="M32" s="14">
        <f t="shared" si="0"/>
        <v>592688.88227455667</v>
      </c>
      <c r="N32" s="14">
        <v>0</v>
      </c>
    </row>
    <row r="33" spans="1:14" x14ac:dyDescent="0.25">
      <c r="A33" s="10">
        <v>45689</v>
      </c>
      <c r="B33" s="11"/>
      <c r="C33" s="14">
        <v>69730008</v>
      </c>
      <c r="D33" s="27">
        <v>295892</v>
      </c>
      <c r="E33" s="27">
        <f>521784.91-1.15</f>
        <v>521783.75999999995</v>
      </c>
      <c r="F33" s="27">
        <f>521784.91-1.15</f>
        <v>521783.75999999995</v>
      </c>
      <c r="G33" s="14">
        <f>E33-D33</f>
        <v>225891.75999999995</v>
      </c>
      <c r="H33" s="14">
        <f>F33-D33</f>
        <v>225891.75999999995</v>
      </c>
      <c r="I33" s="15">
        <v>0.21</v>
      </c>
      <c r="J33" s="15">
        <v>0.05</v>
      </c>
      <c r="K33" s="14">
        <f>G33*I33-L33*I33</f>
        <v>45065.406119999985</v>
      </c>
      <c r="L33" s="14">
        <f>H33*J33</f>
        <v>11294.587999999998</v>
      </c>
      <c r="M33" s="14">
        <f t="shared" si="0"/>
        <v>649048.8763945566</v>
      </c>
      <c r="N33" s="1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5A3E-9B17-4701-A149-B861C125C4AB}">
  <dimension ref="A1:N33"/>
  <sheetViews>
    <sheetView topLeftCell="A14" workbookViewId="0">
      <selection activeCell="M33" sqref="M33"/>
    </sheetView>
  </sheetViews>
  <sheetFormatPr defaultRowHeight="15" x14ac:dyDescent="0.25"/>
  <cols>
    <col min="1" max="1" width="11.28515625" customWidth="1"/>
    <col min="2" max="2" width="1.7109375" customWidth="1"/>
    <col min="3" max="3" width="14.28515625" customWidth="1"/>
    <col min="4" max="4" width="14.28515625" bestFit="1" customWidth="1"/>
    <col min="5" max="5" width="16.42578125" customWidth="1"/>
    <col min="6" max="6" width="15.5703125" customWidth="1"/>
    <col min="7" max="8" width="14.28515625" customWidth="1"/>
    <col min="9" max="12" width="12.7109375" customWidth="1"/>
    <col min="13" max="13" width="16.5703125" bestFit="1" customWidth="1"/>
    <col min="14" max="14" width="12.710937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5" t="s">
        <v>44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6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39" x14ac:dyDescent="0.25">
      <c r="A8" s="7" t="s">
        <v>6</v>
      </c>
      <c r="B8" s="8"/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x14ac:dyDescent="0.25">
      <c r="A9" s="12" t="s">
        <v>19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4">
        <v>0</v>
      </c>
      <c r="N9" s="11"/>
    </row>
    <row r="10" spans="1:14" x14ac:dyDescent="0.25">
      <c r="A10" s="10">
        <v>44994</v>
      </c>
      <c r="B10" s="11"/>
      <c r="C10" s="11"/>
      <c r="D10" s="11"/>
      <c r="E10" s="11"/>
      <c r="F10" s="11"/>
      <c r="G10" s="14">
        <f t="shared" ref="G10:G21" si="0">E10-D10</f>
        <v>0</v>
      </c>
      <c r="H10" s="14">
        <f t="shared" ref="H10:H21" si="1">F10-D10</f>
        <v>0</v>
      </c>
      <c r="I10" s="15">
        <v>0.21</v>
      </c>
      <c r="J10" s="15">
        <v>0.05</v>
      </c>
      <c r="K10" s="14">
        <f t="shared" ref="K10:K21" si="2">G10*I10-L10*I10</f>
        <v>0</v>
      </c>
      <c r="L10" s="14">
        <f t="shared" ref="L10:L21" si="3">H10*J10</f>
        <v>0</v>
      </c>
      <c r="M10" s="14">
        <f t="shared" ref="M10:M20" si="4">M9+K10+L10</f>
        <v>0</v>
      </c>
      <c r="N10" s="14">
        <v>0</v>
      </c>
    </row>
    <row r="11" spans="1:14" x14ac:dyDescent="0.25">
      <c r="A11" s="10">
        <v>45017</v>
      </c>
      <c r="B11" s="11"/>
      <c r="C11" s="11"/>
      <c r="D11" s="11"/>
      <c r="E11" s="11"/>
      <c r="F11" s="11"/>
      <c r="G11" s="14">
        <f t="shared" si="0"/>
        <v>0</v>
      </c>
      <c r="H11" s="14">
        <f t="shared" si="1"/>
        <v>0</v>
      </c>
      <c r="I11" s="15">
        <v>0.21</v>
      </c>
      <c r="J11" s="15">
        <v>0.05</v>
      </c>
      <c r="K11" s="14">
        <f t="shared" si="2"/>
        <v>0</v>
      </c>
      <c r="L11" s="14">
        <f t="shared" si="3"/>
        <v>0</v>
      </c>
      <c r="M11" s="14">
        <f t="shared" si="4"/>
        <v>0</v>
      </c>
      <c r="N11" s="14">
        <v>0</v>
      </c>
    </row>
    <row r="12" spans="1:14" x14ac:dyDescent="0.25">
      <c r="A12" s="10">
        <v>45047</v>
      </c>
      <c r="B12" s="11"/>
      <c r="C12" s="11"/>
      <c r="D12" s="11"/>
      <c r="E12" s="11"/>
      <c r="F12" s="11"/>
      <c r="G12" s="14">
        <f t="shared" si="0"/>
        <v>0</v>
      </c>
      <c r="H12" s="14">
        <f t="shared" si="1"/>
        <v>0</v>
      </c>
      <c r="I12" s="15">
        <v>0.21</v>
      </c>
      <c r="J12" s="15">
        <v>0.05</v>
      </c>
      <c r="K12" s="14">
        <f t="shared" si="2"/>
        <v>0</v>
      </c>
      <c r="L12" s="14">
        <f t="shared" si="3"/>
        <v>0</v>
      </c>
      <c r="M12" s="14">
        <f t="shared" si="4"/>
        <v>0</v>
      </c>
      <c r="N12" s="14">
        <v>0</v>
      </c>
    </row>
    <row r="13" spans="1:14" x14ac:dyDescent="0.25">
      <c r="A13" s="10">
        <v>45078</v>
      </c>
      <c r="B13" s="11"/>
      <c r="C13" s="11"/>
      <c r="D13" s="11"/>
      <c r="E13" s="11"/>
      <c r="F13" s="11"/>
      <c r="G13" s="14">
        <f t="shared" si="0"/>
        <v>0</v>
      </c>
      <c r="H13" s="14">
        <f t="shared" si="1"/>
        <v>0</v>
      </c>
      <c r="I13" s="15">
        <v>0.21</v>
      </c>
      <c r="J13" s="15">
        <v>0.05</v>
      </c>
      <c r="K13" s="14">
        <f t="shared" si="2"/>
        <v>0</v>
      </c>
      <c r="L13" s="14">
        <f t="shared" si="3"/>
        <v>0</v>
      </c>
      <c r="M13" s="14">
        <f t="shared" si="4"/>
        <v>0</v>
      </c>
      <c r="N13" s="14">
        <v>0</v>
      </c>
    </row>
    <row r="14" spans="1:14" x14ac:dyDescent="0.25">
      <c r="A14" s="10">
        <v>45108</v>
      </c>
      <c r="B14" s="11"/>
      <c r="C14" s="11"/>
      <c r="D14" s="11"/>
      <c r="E14" s="11"/>
      <c r="F14" s="11"/>
      <c r="G14" s="14">
        <f t="shared" si="0"/>
        <v>0</v>
      </c>
      <c r="H14" s="14">
        <f t="shared" si="1"/>
        <v>0</v>
      </c>
      <c r="I14" s="15">
        <v>0.21</v>
      </c>
      <c r="J14" s="15">
        <v>0.05</v>
      </c>
      <c r="K14" s="14">
        <f t="shared" si="2"/>
        <v>0</v>
      </c>
      <c r="L14" s="14">
        <f t="shared" si="3"/>
        <v>0</v>
      </c>
      <c r="M14" s="14">
        <f t="shared" si="4"/>
        <v>0</v>
      </c>
      <c r="N14" s="14">
        <v>0</v>
      </c>
    </row>
    <row r="15" spans="1:14" x14ac:dyDescent="0.25">
      <c r="A15" s="10">
        <v>45139</v>
      </c>
      <c r="B15" s="11"/>
      <c r="C15" s="11"/>
      <c r="D15" s="11"/>
      <c r="E15" s="11"/>
      <c r="F15" s="11"/>
      <c r="G15" s="14">
        <f t="shared" si="0"/>
        <v>0</v>
      </c>
      <c r="H15" s="14">
        <f t="shared" si="1"/>
        <v>0</v>
      </c>
      <c r="I15" s="15">
        <v>0.21</v>
      </c>
      <c r="J15" s="15">
        <v>0.05</v>
      </c>
      <c r="K15" s="14">
        <f t="shared" si="2"/>
        <v>0</v>
      </c>
      <c r="L15" s="14">
        <f t="shared" si="3"/>
        <v>0</v>
      </c>
      <c r="M15" s="14">
        <f t="shared" si="4"/>
        <v>0</v>
      </c>
      <c r="N15" s="14">
        <v>0</v>
      </c>
    </row>
    <row r="16" spans="1:14" x14ac:dyDescent="0.25">
      <c r="A16" s="10">
        <v>45178</v>
      </c>
      <c r="B16" s="11"/>
      <c r="C16" s="11"/>
      <c r="D16" s="11"/>
      <c r="E16" s="11"/>
      <c r="F16" s="11"/>
      <c r="G16" s="14">
        <f t="shared" si="0"/>
        <v>0</v>
      </c>
      <c r="H16" s="14">
        <f t="shared" si="1"/>
        <v>0</v>
      </c>
      <c r="I16" s="15">
        <v>0.21</v>
      </c>
      <c r="J16" s="15">
        <v>0.05</v>
      </c>
      <c r="K16" s="14">
        <f t="shared" si="2"/>
        <v>0</v>
      </c>
      <c r="L16" s="14">
        <f t="shared" si="3"/>
        <v>0</v>
      </c>
      <c r="M16" s="14">
        <f t="shared" si="4"/>
        <v>0</v>
      </c>
      <c r="N16" s="14">
        <v>0</v>
      </c>
    </row>
    <row r="17" spans="1:14" x14ac:dyDescent="0.25">
      <c r="A17" s="10">
        <v>45200</v>
      </c>
      <c r="B17" s="11"/>
      <c r="C17" s="11"/>
      <c r="D17" s="11"/>
      <c r="E17" s="11"/>
      <c r="F17" s="11"/>
      <c r="G17" s="14">
        <f t="shared" si="0"/>
        <v>0</v>
      </c>
      <c r="H17" s="14">
        <f t="shared" si="1"/>
        <v>0</v>
      </c>
      <c r="I17" s="15">
        <v>0.21</v>
      </c>
      <c r="J17" s="15">
        <v>0.05</v>
      </c>
      <c r="K17" s="14">
        <f t="shared" si="2"/>
        <v>0</v>
      </c>
      <c r="L17" s="14">
        <f t="shared" si="3"/>
        <v>0</v>
      </c>
      <c r="M17" s="14">
        <f t="shared" si="4"/>
        <v>0</v>
      </c>
      <c r="N17" s="14">
        <v>0</v>
      </c>
    </row>
    <row r="18" spans="1:14" x14ac:dyDescent="0.25">
      <c r="A18" s="10">
        <v>45231</v>
      </c>
      <c r="B18" s="11"/>
      <c r="C18" s="11"/>
      <c r="D18" s="11"/>
      <c r="E18" s="11"/>
      <c r="F18" s="11"/>
      <c r="G18" s="14">
        <f t="shared" si="0"/>
        <v>0</v>
      </c>
      <c r="H18" s="14">
        <f t="shared" si="1"/>
        <v>0</v>
      </c>
      <c r="I18" s="15">
        <v>0.21</v>
      </c>
      <c r="J18" s="15">
        <v>0.05</v>
      </c>
      <c r="K18" s="14">
        <f t="shared" si="2"/>
        <v>0</v>
      </c>
      <c r="L18" s="14">
        <f t="shared" si="3"/>
        <v>0</v>
      </c>
      <c r="M18" s="14">
        <f t="shared" si="4"/>
        <v>0</v>
      </c>
      <c r="N18" s="14">
        <v>0</v>
      </c>
    </row>
    <row r="19" spans="1:14" x14ac:dyDescent="0.25">
      <c r="A19" s="10">
        <v>45261</v>
      </c>
      <c r="B19" s="11"/>
      <c r="C19" s="11"/>
      <c r="D19" s="11"/>
      <c r="E19" s="11"/>
      <c r="F19" s="11"/>
      <c r="G19" s="14">
        <f t="shared" si="0"/>
        <v>0</v>
      </c>
      <c r="H19" s="14">
        <f t="shared" si="1"/>
        <v>0</v>
      </c>
      <c r="I19" s="15">
        <v>0.21</v>
      </c>
      <c r="J19" s="15">
        <v>0.05</v>
      </c>
      <c r="K19" s="14">
        <f t="shared" si="2"/>
        <v>0</v>
      </c>
      <c r="L19" s="14">
        <f t="shared" si="3"/>
        <v>0</v>
      </c>
      <c r="M19" s="14">
        <f t="shared" si="4"/>
        <v>0</v>
      </c>
      <c r="N19" s="14">
        <v>0</v>
      </c>
    </row>
    <row r="20" spans="1:14" x14ac:dyDescent="0.25">
      <c r="A20" s="10">
        <v>45292</v>
      </c>
      <c r="B20" s="11"/>
      <c r="C20" s="11"/>
      <c r="D20" s="11"/>
      <c r="E20" s="11"/>
      <c r="F20" s="11"/>
      <c r="G20" s="14">
        <f t="shared" si="0"/>
        <v>0</v>
      </c>
      <c r="H20" s="14">
        <f t="shared" si="1"/>
        <v>0</v>
      </c>
      <c r="I20" s="15">
        <v>0.21</v>
      </c>
      <c r="J20" s="15">
        <v>0.05</v>
      </c>
      <c r="K20" s="14">
        <f t="shared" si="2"/>
        <v>0</v>
      </c>
      <c r="L20" s="14">
        <f t="shared" si="3"/>
        <v>0</v>
      </c>
      <c r="M20" s="14">
        <f t="shared" si="4"/>
        <v>0</v>
      </c>
      <c r="N20" s="14">
        <v>0</v>
      </c>
    </row>
    <row r="21" spans="1:14" x14ac:dyDescent="0.25">
      <c r="A21" s="10">
        <v>45323</v>
      </c>
      <c r="B21" s="11"/>
      <c r="C21" s="11"/>
      <c r="D21" s="11"/>
      <c r="E21" s="11"/>
      <c r="F21" s="11"/>
      <c r="G21" s="14">
        <f t="shared" si="0"/>
        <v>0</v>
      </c>
      <c r="H21" s="14">
        <f t="shared" si="1"/>
        <v>0</v>
      </c>
      <c r="I21" s="15">
        <v>0.21</v>
      </c>
      <c r="J21" s="15">
        <v>0.05</v>
      </c>
      <c r="K21" s="14">
        <f t="shared" si="2"/>
        <v>0</v>
      </c>
      <c r="L21" s="14">
        <f t="shared" si="3"/>
        <v>0</v>
      </c>
      <c r="M21" s="14">
        <f>M20+K21+L21</f>
        <v>0</v>
      </c>
      <c r="N21" s="14">
        <v>0</v>
      </c>
    </row>
    <row r="22" spans="1:14" x14ac:dyDescent="0.25">
      <c r="A22" s="10">
        <v>45360</v>
      </c>
      <c r="B22" s="11"/>
      <c r="C22" s="14"/>
      <c r="D22" s="27"/>
      <c r="E22" s="27"/>
      <c r="F22" s="27"/>
      <c r="G22" s="14">
        <f>E22-D22</f>
        <v>0</v>
      </c>
      <c r="H22" s="14">
        <f>F22-D22</f>
        <v>0</v>
      </c>
      <c r="I22" s="15">
        <v>0.21</v>
      </c>
      <c r="J22" s="15">
        <v>0.05</v>
      </c>
      <c r="K22" s="14">
        <f>G22*I22-L22*I22</f>
        <v>0</v>
      </c>
      <c r="L22" s="14">
        <f>H22*J22</f>
        <v>0</v>
      </c>
      <c r="M22" s="14">
        <f>M21+K22+L22</f>
        <v>0</v>
      </c>
      <c r="N22" s="14">
        <v>0</v>
      </c>
    </row>
    <row r="23" spans="1:14" x14ac:dyDescent="0.25">
      <c r="A23" s="10">
        <v>45383</v>
      </c>
      <c r="B23" s="11"/>
      <c r="C23" s="14"/>
      <c r="D23" s="27"/>
      <c r="E23" s="27"/>
      <c r="F23" s="27"/>
      <c r="G23" s="14">
        <f t="shared" ref="G23:G25" si="5">E23-D23</f>
        <v>0</v>
      </c>
      <c r="H23" s="14">
        <f t="shared" ref="H23:H25" si="6">F23-D23</f>
        <v>0</v>
      </c>
      <c r="I23" s="15">
        <v>0.21</v>
      </c>
      <c r="J23" s="15">
        <v>0.05</v>
      </c>
      <c r="K23" s="14">
        <f t="shared" ref="K23:K25" si="7">G23*I23-L23*I23</f>
        <v>0</v>
      </c>
      <c r="L23" s="14">
        <f t="shared" ref="L23:L25" si="8">H23*J23</f>
        <v>0</v>
      </c>
      <c r="M23" s="14">
        <f t="shared" ref="M23:M33" si="9">M22+K23+L23</f>
        <v>0</v>
      </c>
      <c r="N23" s="14">
        <v>0</v>
      </c>
    </row>
    <row r="24" spans="1:14" x14ac:dyDescent="0.25">
      <c r="A24" s="10">
        <v>45413</v>
      </c>
      <c r="B24" s="11"/>
      <c r="C24" s="14">
        <v>23569692</v>
      </c>
      <c r="D24" s="27">
        <v>22980</v>
      </c>
      <c r="E24" s="27">
        <f>110182.93-19810</f>
        <v>90372.93</v>
      </c>
      <c r="F24" s="27">
        <f>110182.93-19810</f>
        <v>90372.93</v>
      </c>
      <c r="G24" s="14">
        <f t="shared" si="5"/>
        <v>67392.929999999993</v>
      </c>
      <c r="H24" s="14">
        <f t="shared" si="6"/>
        <v>67392.929999999993</v>
      </c>
      <c r="I24" s="15">
        <v>0.21</v>
      </c>
      <c r="J24" s="15">
        <v>0.05</v>
      </c>
      <c r="K24" s="14">
        <f t="shared" si="7"/>
        <v>13444.889534999997</v>
      </c>
      <c r="L24" s="14">
        <f t="shared" si="8"/>
        <v>3369.6464999999998</v>
      </c>
      <c r="M24" s="14">
        <f t="shared" si="9"/>
        <v>16814.536034999997</v>
      </c>
      <c r="N24" s="14">
        <v>0</v>
      </c>
    </row>
    <row r="25" spans="1:14" x14ac:dyDescent="0.25">
      <c r="A25" s="10">
        <v>45444</v>
      </c>
      <c r="B25" s="11"/>
      <c r="C25" s="14">
        <v>23569692</v>
      </c>
      <c r="D25" s="27">
        <v>46498</v>
      </c>
      <c r="E25" s="27">
        <f>113435.99+2415</f>
        <v>115850.99</v>
      </c>
      <c r="F25" s="27">
        <f>113435.99+2415</f>
        <v>115850.99</v>
      </c>
      <c r="G25" s="14">
        <f t="shared" si="5"/>
        <v>69352.990000000005</v>
      </c>
      <c r="H25" s="14">
        <f t="shared" si="6"/>
        <v>69352.990000000005</v>
      </c>
      <c r="I25" s="15">
        <v>0.21</v>
      </c>
      <c r="J25" s="15">
        <v>0.05</v>
      </c>
      <c r="K25" s="14">
        <f t="shared" si="7"/>
        <v>13835.921505000002</v>
      </c>
      <c r="L25" s="14">
        <f t="shared" si="8"/>
        <v>3467.6495000000004</v>
      </c>
      <c r="M25" s="14">
        <f t="shared" si="9"/>
        <v>34118.107040000003</v>
      </c>
      <c r="N25" s="14">
        <v>0</v>
      </c>
    </row>
    <row r="26" spans="1:14" x14ac:dyDescent="0.25">
      <c r="A26" s="10">
        <v>45474</v>
      </c>
      <c r="B26" s="11"/>
      <c r="C26" s="14">
        <v>24120930</v>
      </c>
      <c r="D26" s="27">
        <v>47036</v>
      </c>
      <c r="E26" s="27">
        <f>113435.99+2945</f>
        <v>116380.99</v>
      </c>
      <c r="F26" s="27">
        <f>113435.99+2945</f>
        <v>116380.99</v>
      </c>
      <c r="G26" s="14">
        <f>E26-D26</f>
        <v>69344.990000000005</v>
      </c>
      <c r="H26" s="14">
        <f>F26-D26</f>
        <v>69344.990000000005</v>
      </c>
      <c r="I26" s="15">
        <v>0.21</v>
      </c>
      <c r="J26" s="15">
        <v>0.05</v>
      </c>
      <c r="K26" s="14">
        <f>G26*I26-L26*I26</f>
        <v>13834.325505000001</v>
      </c>
      <c r="L26" s="14">
        <f>H26*J26</f>
        <v>3467.2495000000004</v>
      </c>
      <c r="M26" s="14">
        <f t="shared" si="9"/>
        <v>51419.682045000001</v>
      </c>
      <c r="N26" s="14">
        <v>0</v>
      </c>
    </row>
    <row r="27" spans="1:14" x14ac:dyDescent="0.25">
      <c r="A27" s="10">
        <v>45505</v>
      </c>
      <c r="B27" s="11"/>
      <c r="C27" s="14">
        <v>24120930</v>
      </c>
      <c r="D27" s="27">
        <v>47036</v>
      </c>
      <c r="E27" s="27">
        <f>113435.99+2950</f>
        <v>116385.99</v>
      </c>
      <c r="F27" s="27">
        <f>113435.99+2950</f>
        <v>116385.99</v>
      </c>
      <c r="G27" s="14">
        <f>E27-D27</f>
        <v>69349.990000000005</v>
      </c>
      <c r="H27" s="14">
        <f>F27-D27</f>
        <v>69349.990000000005</v>
      </c>
      <c r="I27" s="15">
        <v>0.21</v>
      </c>
      <c r="J27" s="15">
        <v>0.05</v>
      </c>
      <c r="K27" s="14">
        <f>G27*I27-L27*I27</f>
        <v>13835.323005</v>
      </c>
      <c r="L27" s="14">
        <f>H27*J27</f>
        <v>3467.4995000000004</v>
      </c>
      <c r="M27" s="14">
        <f t="shared" si="9"/>
        <v>68722.504549999998</v>
      </c>
      <c r="N27" s="14">
        <v>0</v>
      </c>
    </row>
    <row r="28" spans="1:14" x14ac:dyDescent="0.25">
      <c r="A28" s="10">
        <v>45544</v>
      </c>
      <c r="B28" s="11"/>
      <c r="C28" s="14">
        <v>24120930</v>
      </c>
      <c r="D28" s="27">
        <v>47036</v>
      </c>
      <c r="E28" s="27">
        <f>113435.99+2950.71</f>
        <v>116386.70000000001</v>
      </c>
      <c r="F28" s="27">
        <f>113435.99+2950.71</f>
        <v>116386.70000000001</v>
      </c>
      <c r="G28" s="14">
        <f>E28-D28</f>
        <v>69350.700000000012</v>
      </c>
      <c r="H28" s="14">
        <f>F28-D28</f>
        <v>69350.700000000012</v>
      </c>
      <c r="I28" s="15">
        <v>0.21</v>
      </c>
      <c r="J28" s="15">
        <v>0.05</v>
      </c>
      <c r="K28" s="14">
        <f>G28*I28-L28*I28</f>
        <v>13835.464650000002</v>
      </c>
      <c r="L28" s="14">
        <f>H28*J28</f>
        <v>3467.5350000000008</v>
      </c>
      <c r="M28" s="14">
        <f t="shared" si="9"/>
        <v>86025.504199999996</v>
      </c>
      <c r="N28" s="14">
        <v>0</v>
      </c>
    </row>
    <row r="29" spans="1:14" x14ac:dyDescent="0.25">
      <c r="A29" s="10">
        <v>45566</v>
      </c>
      <c r="B29" s="11"/>
      <c r="C29" s="14">
        <v>24120930</v>
      </c>
      <c r="D29" s="27">
        <v>47036.49</v>
      </c>
      <c r="E29" s="27">
        <f>113435.99+2949.1</f>
        <v>116385.09000000001</v>
      </c>
      <c r="F29" s="27">
        <f>113435.99+2949.1</f>
        <v>116385.09000000001</v>
      </c>
      <c r="G29" s="14">
        <f t="shared" ref="G29:G31" si="10">E29-D29</f>
        <v>69348.600000000006</v>
      </c>
      <c r="H29" s="14">
        <f t="shared" ref="H29:H31" si="11">F29-D29</f>
        <v>69348.600000000006</v>
      </c>
      <c r="I29" s="15">
        <v>0.21</v>
      </c>
      <c r="J29" s="15">
        <v>0.05</v>
      </c>
      <c r="K29" s="14">
        <f t="shared" ref="K29:K31" si="12">G29*I29-L29*I29</f>
        <v>13835.045700000001</v>
      </c>
      <c r="L29" s="14">
        <f t="shared" ref="L29:L31" si="13">H29*J29</f>
        <v>3467.4300000000003</v>
      </c>
      <c r="M29" s="14">
        <f t="shared" si="9"/>
        <v>103327.97990000001</v>
      </c>
      <c r="N29" s="14">
        <v>0</v>
      </c>
    </row>
    <row r="30" spans="1:14" x14ac:dyDescent="0.25">
      <c r="A30" s="10">
        <v>45597</v>
      </c>
      <c r="B30" s="11"/>
      <c r="C30" s="14">
        <v>24120930</v>
      </c>
      <c r="D30" s="27">
        <v>47036</v>
      </c>
      <c r="E30" s="27">
        <f>113435.99+2950.71</f>
        <v>116386.70000000001</v>
      </c>
      <c r="F30" s="27">
        <f>113435.99+2950.71</f>
        <v>116386.70000000001</v>
      </c>
      <c r="G30" s="14">
        <f t="shared" si="10"/>
        <v>69350.700000000012</v>
      </c>
      <c r="H30" s="14">
        <f t="shared" si="11"/>
        <v>69350.700000000012</v>
      </c>
      <c r="I30" s="15">
        <v>0.21</v>
      </c>
      <c r="J30" s="15">
        <v>0.05</v>
      </c>
      <c r="K30" s="14">
        <f t="shared" si="12"/>
        <v>13835.464650000002</v>
      </c>
      <c r="L30" s="14">
        <f t="shared" si="13"/>
        <v>3467.5350000000008</v>
      </c>
      <c r="M30" s="14">
        <f t="shared" si="9"/>
        <v>120630.97955000002</v>
      </c>
      <c r="N30" s="14">
        <v>0</v>
      </c>
    </row>
    <row r="31" spans="1:14" x14ac:dyDescent="0.25">
      <c r="A31" s="10">
        <v>45627</v>
      </c>
      <c r="B31" s="11"/>
      <c r="C31" s="14">
        <v>24120930</v>
      </c>
      <c r="D31" s="27">
        <v>47036</v>
      </c>
      <c r="E31" s="27">
        <f>113435.99+2950.71</f>
        <v>116386.70000000001</v>
      </c>
      <c r="F31" s="27">
        <f>113435.99+2950.71</f>
        <v>116386.70000000001</v>
      </c>
      <c r="G31" s="14">
        <f t="shared" si="10"/>
        <v>69350.700000000012</v>
      </c>
      <c r="H31" s="14">
        <f t="shared" si="11"/>
        <v>69350.700000000012</v>
      </c>
      <c r="I31" s="15">
        <v>0.21</v>
      </c>
      <c r="J31" s="15">
        <v>0.05</v>
      </c>
      <c r="K31" s="14">
        <f t="shared" si="12"/>
        <v>13835.464650000002</v>
      </c>
      <c r="L31" s="14">
        <f t="shared" si="13"/>
        <v>3467.5350000000008</v>
      </c>
      <c r="M31" s="14">
        <f t="shared" si="9"/>
        <v>137933.97920000003</v>
      </c>
      <c r="N31" s="14">
        <v>0</v>
      </c>
    </row>
    <row r="32" spans="1:14" x14ac:dyDescent="0.25">
      <c r="A32" s="10">
        <v>45658</v>
      </c>
      <c r="B32" s="11"/>
      <c r="C32" s="14">
        <v>24120930</v>
      </c>
      <c r="D32" s="27">
        <v>47036</v>
      </c>
      <c r="E32" s="27">
        <f>145107.49</f>
        <v>145107.49</v>
      </c>
      <c r="F32" s="27">
        <f>145107.49</f>
        <v>145107.49</v>
      </c>
      <c r="G32" s="14">
        <f>E32-D32</f>
        <v>98071.489999999991</v>
      </c>
      <c r="H32" s="14">
        <f>F32-D32</f>
        <v>98071.489999999991</v>
      </c>
      <c r="I32" s="15">
        <v>0.21</v>
      </c>
      <c r="J32" s="15">
        <v>0.05</v>
      </c>
      <c r="K32" s="14">
        <f>G32*I32-L32*I32</f>
        <v>19565.262254999998</v>
      </c>
      <c r="L32" s="14">
        <f>H32*J32</f>
        <v>4903.5744999999997</v>
      </c>
      <c r="M32" s="14">
        <f t="shared" si="9"/>
        <v>162402.81595500003</v>
      </c>
      <c r="N32" s="14">
        <v>0</v>
      </c>
    </row>
    <row r="33" spans="1:14" x14ac:dyDescent="0.25">
      <c r="A33" s="10">
        <v>45689</v>
      </c>
      <c r="B33" s="11"/>
      <c r="C33" s="14">
        <v>24120930</v>
      </c>
      <c r="D33" s="27">
        <v>47036</v>
      </c>
      <c r="E33" s="27">
        <f>145107.49</f>
        <v>145107.49</v>
      </c>
      <c r="F33" s="27">
        <f>145107.49</f>
        <v>145107.49</v>
      </c>
      <c r="G33" s="14">
        <f>E33-D33</f>
        <v>98071.489999999991</v>
      </c>
      <c r="H33" s="14">
        <f>F33-D33</f>
        <v>98071.489999999991</v>
      </c>
      <c r="I33" s="15">
        <v>0.21</v>
      </c>
      <c r="J33" s="15">
        <v>0.05</v>
      </c>
      <c r="K33" s="14">
        <f>G33*I33-L33*I33</f>
        <v>19565.262254999998</v>
      </c>
      <c r="L33" s="14">
        <f>H33*J33</f>
        <v>4903.5744999999997</v>
      </c>
      <c r="M33" s="14">
        <f t="shared" si="9"/>
        <v>186871.65271000002</v>
      </c>
      <c r="N33" s="14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32" ma:contentTypeDescription="Create a new document." ma:contentTypeScope="" ma:versionID="2e1d1c80ec77a8c56fe4c82fc11f843c">
  <xsd:schema xmlns:xsd="http://www.w3.org/2001/XMLSchema" xmlns:xs="http://www.w3.org/2001/XMLSchema" xmlns:p="http://schemas.microsoft.com/office/2006/metadata/properties" xmlns:ns1="http://schemas.microsoft.com/sharepoint/v3" xmlns:ns2="65bfb563-8fe2-4d34-a09f-38a217d8feea" xmlns:ns3="http://schemas.microsoft.com/sharepoint/v4" targetNamespace="http://schemas.microsoft.com/office/2006/metadata/properties" ma:root="true" ma:fieldsID="81ffbca3f32a46a0b04316c827b8211d" ns1:_="" ns2:_="" ns3:_="">
    <xsd:import namespace="http://schemas.microsoft.com/sharepoint/v3"/>
    <xsd:import namespace="65bfb563-8fe2-4d34-a09f-38a217d8fe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  <xsd:element ref="ns3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LFF"/>
                    <xsd:enumeration value="RAR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Fixed NAS FAC/OSS Factor (NFOF)"/>
                    <xsd:enumeration value="Fuel Supply Contracts (FAC)"/>
                    <xsd:enumeration value="Avoided Energy Cost (LQF)"/>
                    <xsd:enumeration value="Municipal WPS Reports (FAC)"/>
                    <xsd:enumeration value="Quarterly Filings (GSC)"/>
                    <xsd:enumeration value="Annual Filing (DSM)"/>
                    <xsd:enumeration value="Annual Filing (GLT/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/GLT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/Requests for Information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– Briefs"/>
          <xsd:enumeration value="07 – Support"/>
          <xsd:enumeration value="08 – Tariffs"/>
          <xsd:enumeration value="09 – Proof of Publication/Certificate of Notice"/>
          <xsd:enumeration value="10 – eFiled/Filed Documents"/>
          <xsd:enumeration value="10.1 – Application"/>
          <xsd:enumeration value="10.2 – Application - As Filed"/>
          <xsd:enumeration value="11 – Talking Points (Internal Use Only)"/>
          <xsd:enumeration value="12 – Data Request Assignments"/>
          <xsd:enumeration value="13 – Review Checklis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Drake, Michael"/>
          <xsd:enumeration value="Fackler, Andrea"/>
          <xsd:enumeration value="Garrett, Chris"/>
          <xsd:enumeration value="Rahn, Derek"/>
          <xsd:enumeration value="Rieth, Tom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1.5 – 1st Data Request/Testimony Support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- Witness E-book"/>
          <xsd:enumeration value="10 – Application"/>
          <xsd:enumeration value="10.1 – Application - As Filed"/>
          <xsd:enumeration value="11 - Talking Points (Internal Use Only)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Billiter, Delbert"/>
          <xsd:enumeration value="Drake, Michael"/>
          <xsd:enumeration value="Fackler, Andrea"/>
          <xsd:enumeration value="Garrett, Christopher"/>
          <xsd:enumeration value="Neal, Susan"/>
          <xsd:enumeration value="Williams, Scott"/>
          <xsd:enumeration value="Multiple"/>
          <xsd:enumeration value="N/A"/>
          <xsd:enumeration value="Rahn, Derek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  <xsd:enumeration value="2020 ECR Plan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Review_x0020_Case_x0020_Expense_x0020_Period xmlns="65bfb563-8fe2-4d34-a09f-38a217d8feea">Mar-Feb (ECR)</Review_x0020_Case_x0020_Expense_x0020_Period>
    <Construction_x0020_Monitoring xmlns="65bfb563-8fe2-4d34-a09f-38a217d8feea" xsi:nil="true"/>
    <Year xmlns="65bfb563-8fe2-4d34-a09f-38a217d8feea">2025</Year>
    <Filing_x0020_Type xmlns="65bfb563-8fe2-4d34-a09f-38a217d8feea">
      <Value>Review Cases (ECR/FAC/OST)</Value>
    </Filing_x0020_Type>
    <Review_x0020_Case_x0020_Doc_x0020_Types xmlns="65bfb563-8fe2-4d34-a09f-38a217d8feea">01.2 – 1st Data Request Attachments</Review_x0020_Case_x0020_Doc_x0020_Types>
    <Status xmlns="65bfb563-8fe2-4d34-a09f-38a217d8feea"/>
    <Document_x0020_Type xmlns="65bfb563-8fe2-4d34-a09f-38a217d8feea">
      <Value>ECR</Value>
    </Document_x0020_Type>
    <Filings xmlns="65bfb563-8fe2-4d34-a09f-38a217d8feea" xsi:nil="true"/>
    <Filing_x0020_Case_x0020__x0023_ xmlns="65bfb563-8fe2-4d34-a09f-38a217d8feea" xsi:nil="true"/>
    <Filing_x0020_Witness xmlns="65bfb563-8fe2-4d34-a09f-38a217d8feea" xsi:nil="true"/>
    <Case_x0020__x0023_ xmlns="65bfb563-8fe2-4d34-a09f-38a217d8feea" xsi:nil="true"/>
    <Company xmlns="65bfb563-8fe2-4d34-a09f-38a217d8feea">
      <Value>KU</Value>
    </Company>
    <Filing_x0020_Doc_x0020_Types xmlns="65bfb563-8fe2-4d34-a09f-38a217d8feea" xsi:nil="true"/>
    <Construction_x0020_Monitoring_x0020_Description xmlns="65bfb563-8fe2-4d34-a09f-38a217d8feea" xsi:nil="true"/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604349CE-7496-4769-B7D7-9198DFBF2571}"/>
</file>

<file path=customXml/itemProps2.xml><?xml version="1.0" encoding="utf-8"?>
<ds:datastoreItem xmlns:ds="http://schemas.openxmlformats.org/officeDocument/2006/customXml" ds:itemID="{1E56FDFA-91BD-4D3A-940B-9ED1824F1A97}"/>
</file>

<file path=customXml/itemProps3.xml><?xml version="1.0" encoding="utf-8"?>
<ds:datastoreItem xmlns:ds="http://schemas.openxmlformats.org/officeDocument/2006/customXml" ds:itemID="{FE6E2D41-4A33-41C7-BDDC-3A9C079BB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Project 32</vt:lpstr>
      <vt:lpstr>Project 33</vt:lpstr>
      <vt:lpstr>Project 40</vt:lpstr>
      <vt:lpstr>Project 41</vt:lpstr>
      <vt:lpstr>Project 42</vt:lpstr>
      <vt:lpstr>Project 43</vt:lpstr>
      <vt:lpstr>Project 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Jay Fister</dc:creator>
  <cp:lastModifiedBy>Jay Fister</cp:lastModifiedBy>
  <dcterms:created xsi:type="dcterms:W3CDTF">2025-07-02T17:11:47Z</dcterms:created>
  <dcterms:modified xsi:type="dcterms:W3CDTF">2025-07-08T14:43:23Z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8e74a-db15-49f1-980d-3d74f2e3ff07_Enabled">
    <vt:lpwstr>true</vt:lpwstr>
  </property>
  <property fmtid="{D5CDD505-2E9C-101B-9397-08002B2CF9AE}" pid="3" name="MSIP_Label_e0c8e74a-db15-49f1-980d-3d74f2e3ff07_SetDate">
    <vt:lpwstr>2025-07-02T17:16:28Z</vt:lpwstr>
  </property>
  <property fmtid="{D5CDD505-2E9C-101B-9397-08002B2CF9AE}" pid="4" name="MSIP_Label_e0c8e74a-db15-49f1-980d-3d74f2e3ff07_Method">
    <vt:lpwstr>Privileged</vt:lpwstr>
  </property>
  <property fmtid="{D5CDD505-2E9C-101B-9397-08002B2CF9AE}" pid="5" name="MSIP_Label_e0c8e74a-db15-49f1-980d-3d74f2e3ff07_Name">
    <vt:lpwstr>376d9127-3fad-41bb7-827b-657efc89d923</vt:lpwstr>
  </property>
  <property fmtid="{D5CDD505-2E9C-101B-9397-08002B2CF9AE}" pid="6" name="MSIP_Label_e0c8e74a-db15-49f1-980d-3d74f2e3ff07_SiteId">
    <vt:lpwstr>25b79aa0-07c6-4d65-9c80-df92aacdc157</vt:lpwstr>
  </property>
  <property fmtid="{D5CDD505-2E9C-101B-9397-08002B2CF9AE}" pid="7" name="MSIP_Label_e0c8e74a-db15-49f1-980d-3d74f2e3ff07_ActionId">
    <vt:lpwstr>2a10c092-b319-4fca-a184-a70f186001cf</vt:lpwstr>
  </property>
  <property fmtid="{D5CDD505-2E9C-101B-9397-08002B2CF9AE}" pid="8" name="MSIP_Label_e0c8e74a-db15-49f1-980d-3d74f2e3ff07_ContentBits">
    <vt:lpwstr>2</vt:lpwstr>
  </property>
  <property fmtid="{D5CDD505-2E9C-101B-9397-08002B2CF9AE}" pid="9" name="ContentTypeId">
    <vt:lpwstr>0x010100FF510F20E04BCF41BE361D2F61EE6FFA</vt:lpwstr>
  </property>
</Properties>
</file>