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Honaker Law Office\Clients\04690 - Meade Co RECC\0002 - 2025 Rate\Drafts\Application\To File\"/>
    </mc:Choice>
  </mc:AlternateContent>
  <xr:revisionPtr revIDLastSave="0" documentId="8_{C6828862-E6D8-4801-B935-866D723DE604}" xr6:coauthVersionLast="47" xr6:coauthVersionMax="47" xr10:uidLastSave="{00000000-0000-0000-0000-000000000000}"/>
  <bookViews>
    <workbookView xWindow="-103" yWindow="-103" windowWidth="21600" windowHeight="13869" tabRatio="701" firstSheet="8" activeTab="13" xr2:uid="{00000000-000D-0000-FFFF-FFFF00000000}"/>
  </bookViews>
  <sheets>
    <sheet name="RevReq" sheetId="35" r:id="rId1"/>
    <sheet name="Adj List" sheetId="48" r:id="rId2"/>
    <sheet name="Adj BS" sheetId="50" r:id="rId3"/>
    <sheet name="Adj IS" sheetId="36" r:id="rId4"/>
    <sheet name="1.01 FAC" sheetId="6" r:id="rId5"/>
    <sheet name="1.02 ES" sheetId="17" r:id="rId6"/>
    <sheet name="1.03 MRSM" sheetId="56" r:id="rId7"/>
    <sheet name="1.04 NFPPA" sheetId="55" r:id="rId8"/>
    <sheet name="1.05 RC" sheetId="28" r:id="rId9"/>
    <sheet name="1.06 CUST" sheetId="33" r:id="rId10"/>
    <sheet name="1.07 Depr" sheetId="68" r:id="rId11"/>
    <sheet name="1.08 DonaAdsDues" sheetId="57" r:id="rId12"/>
    <sheet name="1.09 Dir" sheetId="58" r:id="rId13"/>
    <sheet name="1.10 Life Ins" sheetId="63" r:id="rId14"/>
    <sheet name="1.11 401K" sheetId="60" r:id="rId15"/>
    <sheet name="1.12 Health" sheetId="67" r:id="rId16"/>
    <sheet name="1.13 Labor" sheetId="66" r:id="rId17"/>
    <sheet name="1.14 Interest" sheetId="64" r:id="rId18"/>
  </sheets>
  <definedNames>
    <definedName name="_xlnm.Print_Area" localSheetId="4">'1.01 FAC'!$A$1:$H$34</definedName>
    <definedName name="_xlnm.Print_Area" localSheetId="5">'1.02 ES'!$A$1:$H$34</definedName>
    <definedName name="_xlnm.Print_Area" localSheetId="6">'1.03 MRSM'!$A$1:$H$34</definedName>
    <definedName name="_xlnm.Print_Area" localSheetId="7">'1.04 NFPPA'!$A$1:$H$34</definedName>
    <definedName name="_xlnm.Print_Area" localSheetId="8">'1.05 RC'!$A$1:$E$26</definedName>
    <definedName name="_xlnm.Print_Area" localSheetId="9">'1.06 CUST'!$A$1:$J$60</definedName>
    <definedName name="_xlnm.Print_Area" localSheetId="10">'1.07 Depr'!$A$1:$I$117</definedName>
    <definedName name="_xlnm.Print_Area" localSheetId="11">'1.08 DonaAdsDues'!$A$1:$P$27</definedName>
    <definedName name="_xlnm.Print_Area" localSheetId="12">'1.09 Dir'!$A$1:$J$29</definedName>
    <definedName name="_xlnm.Print_Area" localSheetId="13">'1.10 Life Ins'!$A$1:$H$95</definedName>
    <definedName name="_xlnm.Print_Area" localSheetId="14">'1.11 401K'!$A$1:$O$28</definedName>
    <definedName name="_xlnm.Print_Area" localSheetId="15">'1.12 Health'!$A$1:$M$80</definedName>
    <definedName name="_xlnm.Print_Area" localSheetId="16">'1.13 Labor'!$A$1:$X$103</definedName>
    <definedName name="_xlnm.Print_Area" localSheetId="2">'Adj BS'!$A$1:$F$68</definedName>
    <definedName name="_xlnm.Print_Area" localSheetId="3">'Adj IS'!$A$1:$U$42</definedName>
    <definedName name="_xlnm.Print_Area" localSheetId="1">'Adj List'!$A$1:$G$27</definedName>
    <definedName name="_xlnm.Print_Area" localSheetId="0">RevReq!$A$1:$F$62</definedName>
    <definedName name="_xlnm.Print_Titles" localSheetId="9">'1.06 CUST'!$1:$11</definedName>
    <definedName name="_xlnm.Print_Titles" localSheetId="10">'1.07 Depr'!$1:$9</definedName>
    <definedName name="_xlnm.Print_Titles" localSheetId="13">'1.10 Life Ins'!$1:$11</definedName>
    <definedName name="_xlnm.Print_Titles" localSheetId="15">'1.12 Health'!$1:$5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50" l="1"/>
  <c r="E71" i="50"/>
  <c r="D71" i="50"/>
  <c r="A61" i="35"/>
  <c r="A62" i="35" s="1"/>
  <c r="A45" i="68"/>
  <c r="A46" i="68" s="1"/>
  <c r="A47" i="68" s="1"/>
  <c r="A48" i="68" s="1"/>
  <c r="A49" i="68" s="1"/>
  <c r="A50" i="68" s="1"/>
  <c r="A51" i="68" s="1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65" i="68" s="1"/>
  <c r="A66" i="68" s="1"/>
  <c r="A67" i="68" s="1"/>
  <c r="A68" i="68" s="1"/>
  <c r="A69" i="68" s="1"/>
  <c r="A70" i="68" s="1"/>
  <c r="A71" i="68" s="1"/>
  <c r="A72" i="68" s="1"/>
  <c r="A73" i="68" s="1"/>
  <c r="A74" i="68" s="1"/>
  <c r="A75" i="68" s="1"/>
  <c r="A76" i="68" s="1"/>
  <c r="A77" i="68" s="1"/>
  <c r="A78" i="68" s="1"/>
  <c r="A79" i="68" s="1"/>
  <c r="A80" i="68" s="1"/>
  <c r="A81" i="68" s="1"/>
  <c r="A82" i="68" s="1"/>
  <c r="A83" i="68" s="1"/>
  <c r="A84" i="68" s="1"/>
  <c r="A85" i="68" s="1"/>
  <c r="A86" i="68" s="1"/>
  <c r="A87" i="68" s="1"/>
  <c r="A88" i="68" s="1"/>
  <c r="A89" i="68" s="1"/>
  <c r="A90" i="68" s="1"/>
  <c r="A91" i="68" s="1"/>
  <c r="A92" i="68" s="1"/>
  <c r="A93" i="68" s="1"/>
  <c r="A94" i="68" s="1"/>
  <c r="A95" i="68" s="1"/>
  <c r="A96" i="68" s="1"/>
  <c r="A97" i="68" s="1"/>
  <c r="A98" i="68" s="1"/>
  <c r="A99" i="68" s="1"/>
  <c r="A100" i="68" s="1"/>
  <c r="A101" i="68" s="1"/>
  <c r="A102" i="68" s="1"/>
  <c r="A103" i="68" s="1"/>
  <c r="A104" i="68" s="1"/>
  <c r="A105" i="68" s="1"/>
  <c r="A106" i="68" s="1"/>
  <c r="A107" i="68" s="1"/>
  <c r="A108" i="68" s="1"/>
  <c r="A109" i="68" s="1"/>
  <c r="A110" i="68" s="1"/>
  <c r="A111" i="68" s="1"/>
  <c r="A112" i="68" s="1"/>
  <c r="A113" i="68" s="1"/>
  <c r="A114" i="68" s="1"/>
  <c r="A115" i="68" s="1"/>
  <c r="A116" i="68" s="1"/>
  <c r="A117" i="68" s="1"/>
  <c r="A43" i="68"/>
  <c r="A44" i="68" s="1"/>
  <c r="A13" i="68"/>
  <c r="A14" i="68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A42" i="68" s="1"/>
  <c r="A12" i="68"/>
  <c r="F12" i="55"/>
  <c r="F12" i="56"/>
  <c r="F12" i="17"/>
  <c r="F12" i="6"/>
  <c r="D112" i="68" l="1"/>
  <c r="D117" i="68" s="1"/>
  <c r="E98" i="68"/>
  <c r="D98" i="68"/>
  <c r="G97" i="68"/>
  <c r="I97" i="68" s="1"/>
  <c r="G96" i="68"/>
  <c r="I96" i="68" s="1"/>
  <c r="G95" i="68"/>
  <c r="I95" i="68" s="1"/>
  <c r="G94" i="68"/>
  <c r="I94" i="68" s="1"/>
  <c r="G93" i="68"/>
  <c r="I93" i="68" s="1"/>
  <c r="G92" i="68"/>
  <c r="I92" i="68" s="1"/>
  <c r="G91" i="68"/>
  <c r="G86" i="68"/>
  <c r="I86" i="68" s="1"/>
  <c r="H83" i="68"/>
  <c r="E81" i="68"/>
  <c r="D81" i="68"/>
  <c r="G80" i="68"/>
  <c r="I80" i="68" s="1"/>
  <c r="G79" i="68"/>
  <c r="G81" i="68" s="1"/>
  <c r="I81" i="68" s="1"/>
  <c r="E78" i="68"/>
  <c r="D78" i="68"/>
  <c r="G77" i="68"/>
  <c r="I77" i="68" s="1"/>
  <c r="G76" i="68"/>
  <c r="I76" i="68" s="1"/>
  <c r="G75" i="68"/>
  <c r="I75" i="68" s="1"/>
  <c r="G74" i="68"/>
  <c r="I74" i="68" s="1"/>
  <c r="G73" i="68"/>
  <c r="I73" i="68" s="1"/>
  <c r="E72" i="68"/>
  <c r="D72" i="68"/>
  <c r="G71" i="68"/>
  <c r="I71" i="68" s="1"/>
  <c r="G70" i="68"/>
  <c r="I70" i="68" s="1"/>
  <c r="E68" i="68"/>
  <c r="D68" i="68"/>
  <c r="G67" i="68"/>
  <c r="I67" i="68" s="1"/>
  <c r="G66" i="68"/>
  <c r="I66" i="68" s="1"/>
  <c r="G65" i="68"/>
  <c r="I65" i="68" s="1"/>
  <c r="G64" i="68"/>
  <c r="I64" i="68" s="1"/>
  <c r="G63" i="68"/>
  <c r="I63" i="68" s="1"/>
  <c r="G62" i="68"/>
  <c r="I62" i="68" s="1"/>
  <c r="G61" i="68"/>
  <c r="I61" i="68" s="1"/>
  <c r="G60" i="68"/>
  <c r="I60" i="68" s="1"/>
  <c r="G59" i="68"/>
  <c r="I59" i="68" s="1"/>
  <c r="G58" i="68"/>
  <c r="I58" i="68" s="1"/>
  <c r="I57" i="68"/>
  <c r="G57" i="68"/>
  <c r="E56" i="68"/>
  <c r="D56" i="68"/>
  <c r="G55" i="68"/>
  <c r="I55" i="68" s="1"/>
  <c r="G54" i="68"/>
  <c r="I54" i="68" s="1"/>
  <c r="G53" i="68"/>
  <c r="I53" i="68" s="1"/>
  <c r="G52" i="68"/>
  <c r="I52" i="68" s="1"/>
  <c r="G51" i="68"/>
  <c r="I51" i="68" s="1"/>
  <c r="E50" i="68"/>
  <c r="D50" i="68"/>
  <c r="G49" i="68"/>
  <c r="I49" i="68" s="1"/>
  <c r="G48" i="68"/>
  <c r="I48" i="68" s="1"/>
  <c r="G47" i="68"/>
  <c r="I47" i="68" s="1"/>
  <c r="G46" i="68"/>
  <c r="I46" i="68" s="1"/>
  <c r="G45" i="68"/>
  <c r="I45" i="68" s="1"/>
  <c r="G44" i="68"/>
  <c r="I44" i="68" s="1"/>
  <c r="G43" i="68"/>
  <c r="I43" i="68" s="1"/>
  <c r="G42" i="68"/>
  <c r="I42" i="68" s="1"/>
  <c r="G41" i="68"/>
  <c r="I41" i="68" s="1"/>
  <c r="G40" i="68"/>
  <c r="I40" i="68" s="1"/>
  <c r="I39" i="68"/>
  <c r="G39" i="68"/>
  <c r="G38" i="68"/>
  <c r="G37" i="68"/>
  <c r="I37" i="68" s="1"/>
  <c r="E36" i="68"/>
  <c r="E83" i="68" s="1"/>
  <c r="E88" i="68" s="1"/>
  <c r="E101" i="68" s="1"/>
  <c r="D36" i="68"/>
  <c r="G35" i="68"/>
  <c r="I35" i="68" s="1"/>
  <c r="G34" i="68"/>
  <c r="I34" i="68" s="1"/>
  <c r="G33" i="68"/>
  <c r="I33" i="68" s="1"/>
  <c r="G32" i="68"/>
  <c r="I32" i="68" s="1"/>
  <c r="G31" i="68"/>
  <c r="I31" i="68" s="1"/>
  <c r="G30" i="68"/>
  <c r="I30" i="68" s="1"/>
  <c r="G29" i="68"/>
  <c r="I29" i="68" s="1"/>
  <c r="G28" i="68"/>
  <c r="H24" i="68"/>
  <c r="H88" i="68" s="1"/>
  <c r="H101" i="68" s="1"/>
  <c r="E24" i="68"/>
  <c r="D24" i="68"/>
  <c r="G23" i="68"/>
  <c r="I23" i="68" s="1"/>
  <c r="G22" i="68"/>
  <c r="I22" i="68" s="1"/>
  <c r="I21" i="68"/>
  <c r="G21" i="68"/>
  <c r="G20" i="68"/>
  <c r="I20" i="68" s="1"/>
  <c r="G19" i="68"/>
  <c r="I19" i="68" s="1"/>
  <c r="G18" i="68"/>
  <c r="I18" i="68" s="1"/>
  <c r="G17" i="68"/>
  <c r="I17" i="68" s="1"/>
  <c r="G16" i="68"/>
  <c r="I16" i="68" s="1"/>
  <c r="G15" i="68"/>
  <c r="I15" i="68" s="1"/>
  <c r="G14" i="68"/>
  <c r="I14" i="68" s="1"/>
  <c r="G50" i="68" l="1"/>
  <c r="I50" i="68" s="1"/>
  <c r="I79" i="68"/>
  <c r="G98" i="68"/>
  <c r="I98" i="68" s="1"/>
  <c r="G68" i="68"/>
  <c r="I68" i="68" s="1"/>
  <c r="I91" i="68"/>
  <c r="G36" i="68"/>
  <c r="I36" i="68" s="1"/>
  <c r="I28" i="68"/>
  <c r="D83" i="68"/>
  <c r="D88" i="68" s="1"/>
  <c r="D101" i="68" s="1"/>
  <c r="G72" i="68"/>
  <c r="I72" i="68" s="1"/>
  <c r="E108" i="68"/>
  <c r="F108" i="68" s="1"/>
  <c r="E111" i="68"/>
  <c r="F111" i="68" s="1"/>
  <c r="E107" i="68"/>
  <c r="E114" i="68"/>
  <c r="E109" i="68"/>
  <c r="F109" i="68" s="1"/>
  <c r="E110" i="68"/>
  <c r="F110" i="68" s="1"/>
  <c r="G24" i="68"/>
  <c r="G56" i="68"/>
  <c r="I56" i="68" s="1"/>
  <c r="G78" i="68"/>
  <c r="I78" i="68" s="1"/>
  <c r="I38" i="68"/>
  <c r="F107" i="68" l="1"/>
  <c r="F112" i="68" s="1"/>
  <c r="E112" i="68"/>
  <c r="E115" i="68"/>
  <c r="F114" i="68"/>
  <c r="F115" i="68" s="1"/>
  <c r="I24" i="68"/>
  <c r="G83" i="68"/>
  <c r="I83" i="68" s="1"/>
  <c r="G88" i="68" l="1"/>
  <c r="E117" i="68"/>
  <c r="F117" i="68"/>
  <c r="I99" i="68"/>
  <c r="I88" i="68" l="1"/>
  <c r="G101" i="68"/>
  <c r="I101" i="68" s="1"/>
  <c r="E13" i="48" s="1"/>
  <c r="F25" i="55" l="1"/>
  <c r="F27" i="55" s="1"/>
  <c r="F25" i="56"/>
  <c r="F27" i="56" s="1"/>
  <c r="F25" i="17"/>
  <c r="F27" i="17" s="1"/>
  <c r="F25" i="6"/>
  <c r="F27" i="6" s="1"/>
  <c r="A16" i="66" l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8" i="66" s="1"/>
  <c r="A39" i="66" s="1"/>
  <c r="A40" i="66" s="1"/>
  <c r="A41" i="66" s="1"/>
  <c r="A42" i="66" s="1"/>
  <c r="A43" i="66" s="1"/>
  <c r="A44" i="66" s="1"/>
  <c r="A45" i="66" s="1"/>
  <c r="A46" i="66" s="1"/>
  <c r="A47" i="66" s="1"/>
  <c r="A48" i="66" s="1"/>
  <c r="A49" i="66" s="1"/>
  <c r="A50" i="66" s="1"/>
  <c r="A51" i="66" s="1"/>
  <c r="A52" i="66" s="1"/>
  <c r="A53" i="66" s="1"/>
  <c r="A54" i="66" s="1"/>
  <c r="A55" i="66" s="1"/>
  <c r="A56" i="66" s="1"/>
  <c r="A57" i="66" s="1"/>
  <c r="A58" i="66" s="1"/>
  <c r="A59" i="66" s="1"/>
  <c r="A60" i="66" s="1"/>
  <c r="A61" i="66" s="1"/>
  <c r="A62" i="66" s="1"/>
  <c r="A63" i="66" s="1"/>
  <c r="A64" i="66" s="1"/>
  <c r="A65" i="66" s="1"/>
  <c r="A66" i="66" s="1"/>
  <c r="A67" i="66" s="1"/>
  <c r="A68" i="66" s="1"/>
  <c r="A69" i="66" s="1"/>
  <c r="A70" i="66" s="1"/>
  <c r="A71" i="66" s="1"/>
  <c r="A72" i="66" s="1"/>
  <c r="A73" i="66" s="1"/>
  <c r="A74" i="66" s="1"/>
  <c r="A75" i="66" s="1"/>
  <c r="A76" i="66" s="1"/>
  <c r="A77" i="66" s="1"/>
  <c r="A78" i="66" s="1"/>
  <c r="A79" i="66" s="1"/>
  <c r="A80" i="66" s="1"/>
  <c r="A81" i="66" s="1"/>
  <c r="A82" i="66" s="1"/>
  <c r="A83" i="66" s="1"/>
  <c r="A84" i="66" s="1"/>
  <c r="A85" i="66" s="1"/>
  <c r="A86" i="66" s="1"/>
  <c r="A87" i="66" s="1"/>
  <c r="A88" i="66" s="1"/>
  <c r="A89" i="66" s="1"/>
  <c r="A90" i="66" s="1"/>
  <c r="A91" i="66" s="1"/>
  <c r="A92" i="66" s="1"/>
  <c r="A93" i="66" s="1"/>
  <c r="A94" i="66" s="1"/>
  <c r="A95" i="66" s="1"/>
  <c r="A96" i="66" s="1"/>
  <c r="A97" i="66" s="1"/>
  <c r="A98" i="66" s="1"/>
  <c r="A99" i="66" s="1"/>
  <c r="A100" i="66" s="1"/>
  <c r="A101" i="66" s="1"/>
  <c r="A102" i="66" s="1"/>
  <c r="C59" i="35"/>
  <c r="C58" i="35"/>
  <c r="A55" i="35"/>
  <c r="C10" i="35"/>
  <c r="J47" i="33" l="1"/>
  <c r="J40" i="33"/>
  <c r="J36" i="33"/>
  <c r="J31" i="33"/>
  <c r="A15" i="33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14" i="33"/>
  <c r="I39" i="33"/>
  <c r="G25" i="33"/>
  <c r="H25" i="33"/>
  <c r="I25" i="33"/>
  <c r="I27" i="33" s="1"/>
  <c r="F25" i="33"/>
  <c r="I35" i="33"/>
  <c r="E10" i="48"/>
  <c r="E9" i="48"/>
  <c r="E8" i="48"/>
  <c r="E7" i="48"/>
  <c r="I30" i="33" l="1"/>
  <c r="I31" i="33" s="1"/>
  <c r="I36" i="33" s="1"/>
  <c r="D73" i="67" l="1"/>
  <c r="L72" i="67"/>
  <c r="H72" i="67"/>
  <c r="L71" i="67"/>
  <c r="H71" i="67"/>
  <c r="L70" i="67"/>
  <c r="H70" i="67"/>
  <c r="L69" i="67"/>
  <c r="H69" i="67"/>
  <c r="D65" i="67"/>
  <c r="L64" i="67"/>
  <c r="H64" i="67"/>
  <c r="L63" i="67"/>
  <c r="H63" i="67"/>
  <c r="L62" i="67"/>
  <c r="H62" i="67"/>
  <c r="L61" i="67"/>
  <c r="H61" i="67"/>
  <c r="D49" i="67"/>
  <c r="L48" i="67"/>
  <c r="H48" i="67"/>
  <c r="L47" i="67"/>
  <c r="H47" i="67"/>
  <c r="L46" i="67"/>
  <c r="H46" i="67"/>
  <c r="L45" i="67"/>
  <c r="H45" i="67"/>
  <c r="D41" i="67"/>
  <c r="L40" i="67"/>
  <c r="H40" i="67"/>
  <c r="L39" i="67"/>
  <c r="H39" i="67"/>
  <c r="L38" i="67"/>
  <c r="H38" i="67"/>
  <c r="L37" i="67"/>
  <c r="H37" i="67"/>
  <c r="D25" i="67"/>
  <c r="L24" i="67"/>
  <c r="H24" i="67"/>
  <c r="L23" i="67"/>
  <c r="H23" i="67"/>
  <c r="L22" i="67"/>
  <c r="H22" i="67"/>
  <c r="L21" i="67"/>
  <c r="H21" i="67"/>
  <c r="D17" i="67"/>
  <c r="L16" i="67"/>
  <c r="H16" i="67"/>
  <c r="L15" i="67"/>
  <c r="H15" i="67"/>
  <c r="L14" i="67"/>
  <c r="H14" i="67"/>
  <c r="L13" i="67"/>
  <c r="H13" i="67"/>
  <c r="L65" i="67" l="1"/>
  <c r="L41" i="67"/>
  <c r="L73" i="67"/>
  <c r="L17" i="67"/>
  <c r="O18" i="67" s="1"/>
  <c r="H41" i="67"/>
  <c r="L25" i="67"/>
  <c r="L27" i="67" s="1"/>
  <c r="L77" i="67" s="1"/>
  <c r="E18" i="48" s="1"/>
  <c r="H65" i="67"/>
  <c r="H17" i="67"/>
  <c r="O17" i="67" s="1"/>
  <c r="H25" i="67"/>
  <c r="O25" i="67" s="1"/>
  <c r="H49" i="67"/>
  <c r="L49" i="67"/>
  <c r="L51" i="67" s="1"/>
  <c r="H73" i="67"/>
  <c r="L75" i="67"/>
  <c r="O26" i="67"/>
  <c r="G14" i="48" l="1"/>
  <c r="G18" i="48"/>
  <c r="G20" i="48"/>
  <c r="G21" i="48"/>
  <c r="G22" i="48"/>
  <c r="G23" i="48"/>
  <c r="G24" i="48"/>
  <c r="G25" i="48"/>
  <c r="G26" i="48"/>
  <c r="P28" i="36"/>
  <c r="P6" i="36"/>
  <c r="P4" i="36"/>
  <c r="T94" i="66"/>
  <c r="S94" i="66"/>
  <c r="R94" i="66"/>
  <c r="M94" i="66"/>
  <c r="N94" i="66" s="1"/>
  <c r="L94" i="66"/>
  <c r="K94" i="66"/>
  <c r="T93" i="66"/>
  <c r="S93" i="66"/>
  <c r="R93" i="66"/>
  <c r="U93" i="66" s="1"/>
  <c r="M93" i="66"/>
  <c r="L93" i="66"/>
  <c r="N93" i="66" s="1"/>
  <c r="K93" i="66"/>
  <c r="T92" i="66"/>
  <c r="S92" i="66"/>
  <c r="R92" i="66"/>
  <c r="M92" i="66"/>
  <c r="L92" i="66"/>
  <c r="K92" i="66"/>
  <c r="N92" i="66" s="1"/>
  <c r="T91" i="66"/>
  <c r="S91" i="66"/>
  <c r="R91" i="66"/>
  <c r="M91" i="66"/>
  <c r="L91" i="66"/>
  <c r="K91" i="66"/>
  <c r="N91" i="66" s="1"/>
  <c r="T90" i="66"/>
  <c r="S90" i="66"/>
  <c r="R90" i="66"/>
  <c r="M90" i="66"/>
  <c r="L90" i="66"/>
  <c r="K90" i="66"/>
  <c r="N90" i="66" s="1"/>
  <c r="T89" i="66"/>
  <c r="S89" i="66"/>
  <c r="R89" i="66"/>
  <c r="U89" i="66" s="1"/>
  <c r="M89" i="66"/>
  <c r="L89" i="66"/>
  <c r="K89" i="66"/>
  <c r="M88" i="66"/>
  <c r="L88" i="66"/>
  <c r="K88" i="66"/>
  <c r="N88" i="66" s="1"/>
  <c r="W88" i="66" s="1"/>
  <c r="T87" i="66"/>
  <c r="S87" i="66"/>
  <c r="R87" i="66"/>
  <c r="M87" i="66"/>
  <c r="L87" i="66"/>
  <c r="K87" i="66"/>
  <c r="N87" i="66" s="1"/>
  <c r="T86" i="66"/>
  <c r="S86" i="66"/>
  <c r="R86" i="66"/>
  <c r="M86" i="66"/>
  <c r="L86" i="66"/>
  <c r="K86" i="66"/>
  <c r="T85" i="66"/>
  <c r="S85" i="66"/>
  <c r="R85" i="66"/>
  <c r="U85" i="66" s="1"/>
  <c r="W85" i="66" s="1"/>
  <c r="M85" i="66"/>
  <c r="L85" i="66"/>
  <c r="K85" i="66"/>
  <c r="N85" i="66" s="1"/>
  <c r="T84" i="66"/>
  <c r="S84" i="66"/>
  <c r="R84" i="66"/>
  <c r="U84" i="66" s="1"/>
  <c r="M84" i="66"/>
  <c r="L84" i="66"/>
  <c r="K84" i="66"/>
  <c r="N84" i="66" s="1"/>
  <c r="T83" i="66"/>
  <c r="S83" i="66"/>
  <c r="R83" i="66"/>
  <c r="M83" i="66"/>
  <c r="L83" i="66"/>
  <c r="K83" i="66"/>
  <c r="T82" i="66"/>
  <c r="S82" i="66"/>
  <c r="R82" i="66"/>
  <c r="U82" i="66" s="1"/>
  <c r="M82" i="66"/>
  <c r="N82" i="66" s="1"/>
  <c r="L82" i="66"/>
  <c r="K82" i="66"/>
  <c r="T81" i="66"/>
  <c r="S81" i="66"/>
  <c r="R81" i="66"/>
  <c r="U81" i="66" s="1"/>
  <c r="M81" i="66"/>
  <c r="L81" i="66"/>
  <c r="N81" i="66" s="1"/>
  <c r="K81" i="66"/>
  <c r="T80" i="66"/>
  <c r="S80" i="66"/>
  <c r="R80" i="66"/>
  <c r="U80" i="66" s="1"/>
  <c r="M80" i="66"/>
  <c r="L80" i="66"/>
  <c r="K80" i="66"/>
  <c r="N80" i="66" s="1"/>
  <c r="R79" i="66"/>
  <c r="U79" i="66" s="1"/>
  <c r="M79" i="66"/>
  <c r="L79" i="66"/>
  <c r="K79" i="66"/>
  <c r="N79" i="66" s="1"/>
  <c r="T78" i="66"/>
  <c r="S78" i="66"/>
  <c r="R78" i="66"/>
  <c r="U78" i="66" s="1"/>
  <c r="M78" i="66"/>
  <c r="N78" i="66" s="1"/>
  <c r="L78" i="66"/>
  <c r="K78" i="66"/>
  <c r="T77" i="66"/>
  <c r="S77" i="66"/>
  <c r="R77" i="66"/>
  <c r="M77" i="66"/>
  <c r="L77" i="66"/>
  <c r="K77" i="66"/>
  <c r="N77" i="66" s="1"/>
  <c r="M76" i="66"/>
  <c r="L76" i="66"/>
  <c r="K76" i="66"/>
  <c r="T75" i="66"/>
  <c r="S75" i="66"/>
  <c r="R75" i="66"/>
  <c r="U75" i="66" s="1"/>
  <c r="M75" i="66"/>
  <c r="N75" i="66" s="1"/>
  <c r="L75" i="66"/>
  <c r="K75" i="66"/>
  <c r="T74" i="66"/>
  <c r="S74" i="66"/>
  <c r="R74" i="66"/>
  <c r="U74" i="66" s="1"/>
  <c r="M74" i="66"/>
  <c r="L74" i="66"/>
  <c r="K74" i="66"/>
  <c r="T73" i="66"/>
  <c r="S73" i="66"/>
  <c r="R73" i="66"/>
  <c r="M73" i="66"/>
  <c r="L73" i="66"/>
  <c r="K73" i="66"/>
  <c r="N73" i="66" s="1"/>
  <c r="R72" i="66"/>
  <c r="U72" i="66" s="1"/>
  <c r="K72" i="66"/>
  <c r="N72" i="66" s="1"/>
  <c r="T71" i="66"/>
  <c r="S71" i="66"/>
  <c r="R71" i="66"/>
  <c r="U71" i="66" s="1"/>
  <c r="M71" i="66"/>
  <c r="L71" i="66"/>
  <c r="K71" i="66"/>
  <c r="N71" i="66" s="1"/>
  <c r="T70" i="66"/>
  <c r="S70" i="66"/>
  <c r="R70" i="66"/>
  <c r="M70" i="66"/>
  <c r="L70" i="66"/>
  <c r="K70" i="66"/>
  <c r="T69" i="66"/>
  <c r="S69" i="66"/>
  <c r="R69" i="66"/>
  <c r="M69" i="66"/>
  <c r="L69" i="66"/>
  <c r="K69" i="66"/>
  <c r="N69" i="66" s="1"/>
  <c r="T68" i="66"/>
  <c r="S68" i="66"/>
  <c r="R68" i="66"/>
  <c r="M68" i="66"/>
  <c r="L68" i="66"/>
  <c r="K68" i="66"/>
  <c r="T67" i="66"/>
  <c r="S67" i="66"/>
  <c r="R67" i="66"/>
  <c r="U67" i="66" s="1"/>
  <c r="W67" i="66" s="1"/>
  <c r="M67" i="66"/>
  <c r="L67" i="66"/>
  <c r="K67" i="66"/>
  <c r="N67" i="66" s="1"/>
  <c r="T66" i="66"/>
  <c r="S66" i="66"/>
  <c r="R66" i="66"/>
  <c r="M66" i="66"/>
  <c r="L66" i="66"/>
  <c r="K66" i="66"/>
  <c r="N66" i="66" s="1"/>
  <c r="T65" i="66"/>
  <c r="S65" i="66"/>
  <c r="R65" i="66"/>
  <c r="M65" i="66"/>
  <c r="L65" i="66"/>
  <c r="K65" i="66"/>
  <c r="T64" i="66"/>
  <c r="S64" i="66"/>
  <c r="R64" i="66"/>
  <c r="U64" i="66" s="1"/>
  <c r="M64" i="66"/>
  <c r="N64" i="66" s="1"/>
  <c r="L64" i="66"/>
  <c r="K64" i="66"/>
  <c r="T63" i="66"/>
  <c r="S63" i="66"/>
  <c r="R63" i="66"/>
  <c r="U63" i="66" s="1"/>
  <c r="M63" i="66"/>
  <c r="L63" i="66"/>
  <c r="N63" i="66" s="1"/>
  <c r="K63" i="66"/>
  <c r="T62" i="66"/>
  <c r="S62" i="66"/>
  <c r="R62" i="66"/>
  <c r="U62" i="66" s="1"/>
  <c r="M62" i="66"/>
  <c r="L62" i="66"/>
  <c r="K62" i="66"/>
  <c r="T61" i="66"/>
  <c r="S61" i="66"/>
  <c r="R61" i="66"/>
  <c r="M61" i="66"/>
  <c r="L61" i="66"/>
  <c r="K61" i="66"/>
  <c r="N61" i="66" s="1"/>
  <c r="R60" i="66"/>
  <c r="U60" i="66" s="1"/>
  <c r="M60" i="66"/>
  <c r="L60" i="66"/>
  <c r="K60" i="66"/>
  <c r="T59" i="66"/>
  <c r="S59" i="66"/>
  <c r="R59" i="66"/>
  <c r="M59" i="66"/>
  <c r="L59" i="66"/>
  <c r="K59" i="66"/>
  <c r="N59" i="66" s="1"/>
  <c r="T58" i="66"/>
  <c r="U58" i="66" s="1"/>
  <c r="W58" i="66" s="1"/>
  <c r="S58" i="66"/>
  <c r="R58" i="66"/>
  <c r="M58" i="66"/>
  <c r="L58" i="66"/>
  <c r="K58" i="66"/>
  <c r="N58" i="66" s="1"/>
  <c r="T57" i="66"/>
  <c r="S57" i="66"/>
  <c r="U57" i="66" s="1"/>
  <c r="R57" i="66"/>
  <c r="M57" i="66"/>
  <c r="L57" i="66"/>
  <c r="K57" i="66"/>
  <c r="N57" i="66" s="1"/>
  <c r="T56" i="66"/>
  <c r="S56" i="66"/>
  <c r="R56" i="66"/>
  <c r="M56" i="66"/>
  <c r="L56" i="66"/>
  <c r="K56" i="66"/>
  <c r="T55" i="66"/>
  <c r="S55" i="66"/>
  <c r="R55" i="66"/>
  <c r="U55" i="66" s="1"/>
  <c r="M55" i="66"/>
  <c r="L55" i="66"/>
  <c r="K55" i="66"/>
  <c r="T54" i="66"/>
  <c r="S54" i="66"/>
  <c r="R54" i="66"/>
  <c r="U54" i="66" s="1"/>
  <c r="M54" i="66"/>
  <c r="L54" i="66"/>
  <c r="K54" i="66"/>
  <c r="R53" i="66"/>
  <c r="U53" i="66" s="1"/>
  <c r="K53" i="66"/>
  <c r="N53" i="66" s="1"/>
  <c r="R52" i="66"/>
  <c r="U52" i="66" s="1"/>
  <c r="K52" i="66"/>
  <c r="N52" i="66" s="1"/>
  <c r="T51" i="66"/>
  <c r="S51" i="66"/>
  <c r="R51" i="66"/>
  <c r="M51" i="66"/>
  <c r="L51" i="66"/>
  <c r="K51" i="66"/>
  <c r="T50" i="66"/>
  <c r="S50" i="66"/>
  <c r="R50" i="66"/>
  <c r="M50" i="66"/>
  <c r="L50" i="66"/>
  <c r="K50" i="66"/>
  <c r="N50" i="66" s="1"/>
  <c r="U49" i="66"/>
  <c r="W49" i="66" s="1"/>
  <c r="T49" i="66"/>
  <c r="S49" i="66"/>
  <c r="R49" i="66"/>
  <c r="M49" i="66"/>
  <c r="L49" i="66"/>
  <c r="K49" i="66"/>
  <c r="N49" i="66" s="1"/>
  <c r="T48" i="66"/>
  <c r="S48" i="66"/>
  <c r="U48" i="66" s="1"/>
  <c r="R48" i="66"/>
  <c r="M48" i="66"/>
  <c r="L48" i="66"/>
  <c r="K48" i="66"/>
  <c r="N48" i="66" s="1"/>
  <c r="T47" i="66"/>
  <c r="S47" i="66"/>
  <c r="R47" i="66"/>
  <c r="U47" i="66" s="1"/>
  <c r="M47" i="66"/>
  <c r="L47" i="66"/>
  <c r="K47" i="66"/>
  <c r="T46" i="66"/>
  <c r="S46" i="66"/>
  <c r="R46" i="66"/>
  <c r="U46" i="66" s="1"/>
  <c r="M46" i="66"/>
  <c r="L46" i="66"/>
  <c r="K46" i="66"/>
  <c r="T45" i="66"/>
  <c r="S45" i="66"/>
  <c r="R45" i="66"/>
  <c r="U45" i="66" s="1"/>
  <c r="M45" i="66"/>
  <c r="L45" i="66"/>
  <c r="K45" i="66"/>
  <c r="N45" i="66" s="1"/>
  <c r="U44" i="66"/>
  <c r="R44" i="66"/>
  <c r="K44" i="66"/>
  <c r="N44" i="66" s="1"/>
  <c r="R43" i="66"/>
  <c r="U43" i="66" s="1"/>
  <c r="W43" i="66" s="1"/>
  <c r="K43" i="66"/>
  <c r="N43" i="66" s="1"/>
  <c r="T42" i="66"/>
  <c r="S42" i="66"/>
  <c r="R42" i="66"/>
  <c r="M42" i="66"/>
  <c r="L42" i="66"/>
  <c r="K42" i="66"/>
  <c r="N42" i="66" s="1"/>
  <c r="T41" i="66"/>
  <c r="S41" i="66"/>
  <c r="R41" i="66"/>
  <c r="U41" i="66" s="1"/>
  <c r="M41" i="66"/>
  <c r="L41" i="66"/>
  <c r="K41" i="66"/>
  <c r="T40" i="66"/>
  <c r="S40" i="66"/>
  <c r="R40" i="66"/>
  <c r="U40" i="66" s="1"/>
  <c r="M40" i="66"/>
  <c r="L40" i="66"/>
  <c r="K40" i="66"/>
  <c r="N40" i="66" s="1"/>
  <c r="T39" i="66"/>
  <c r="S39" i="66"/>
  <c r="R39" i="66"/>
  <c r="U39" i="66" s="1"/>
  <c r="M39" i="66"/>
  <c r="L39" i="66"/>
  <c r="K39" i="66"/>
  <c r="R38" i="66"/>
  <c r="U38" i="66" s="1"/>
  <c r="N38" i="66"/>
  <c r="K38" i="66"/>
  <c r="T37" i="66"/>
  <c r="S37" i="66"/>
  <c r="R37" i="66"/>
  <c r="U37" i="66" s="1"/>
  <c r="W37" i="66" s="1"/>
  <c r="K37" i="66"/>
  <c r="N37" i="66" s="1"/>
  <c r="T36" i="66"/>
  <c r="S36" i="66"/>
  <c r="R36" i="66"/>
  <c r="K36" i="66"/>
  <c r="N36" i="66" s="1"/>
  <c r="T35" i="66"/>
  <c r="S35" i="66"/>
  <c r="R35" i="66"/>
  <c r="M35" i="66"/>
  <c r="L35" i="66"/>
  <c r="K35" i="66"/>
  <c r="N35" i="66" s="1"/>
  <c r="R34" i="66"/>
  <c r="U34" i="66" s="1"/>
  <c r="K34" i="66"/>
  <c r="N34" i="66" s="1"/>
  <c r="T33" i="66"/>
  <c r="S33" i="66"/>
  <c r="R33" i="66"/>
  <c r="U33" i="66" s="1"/>
  <c r="M33" i="66"/>
  <c r="L33" i="66"/>
  <c r="N33" i="66" s="1"/>
  <c r="K33" i="66"/>
  <c r="T32" i="66"/>
  <c r="S32" i="66"/>
  <c r="R32" i="66"/>
  <c r="U32" i="66" s="1"/>
  <c r="M32" i="66"/>
  <c r="L32" i="66"/>
  <c r="K32" i="66"/>
  <c r="T31" i="66"/>
  <c r="S31" i="66"/>
  <c r="R31" i="66"/>
  <c r="M31" i="66"/>
  <c r="L31" i="66"/>
  <c r="K31" i="66"/>
  <c r="N31" i="66" s="1"/>
  <c r="R30" i="66"/>
  <c r="U30" i="66" s="1"/>
  <c r="K30" i="66"/>
  <c r="N30" i="66" s="1"/>
  <c r="R29" i="66"/>
  <c r="U29" i="66" s="1"/>
  <c r="K29" i="66"/>
  <c r="N29" i="66" s="1"/>
  <c r="T28" i="66"/>
  <c r="S28" i="66"/>
  <c r="R28" i="66"/>
  <c r="M28" i="66"/>
  <c r="L28" i="66"/>
  <c r="K28" i="66"/>
  <c r="N28" i="66" s="1"/>
  <c r="U27" i="66"/>
  <c r="R27" i="66"/>
  <c r="K27" i="66"/>
  <c r="N27" i="66" s="1"/>
  <c r="T26" i="66"/>
  <c r="S26" i="66"/>
  <c r="R26" i="66"/>
  <c r="M26" i="66"/>
  <c r="L26" i="66"/>
  <c r="K26" i="66"/>
  <c r="N26" i="66" s="1"/>
  <c r="R25" i="66"/>
  <c r="U25" i="66" s="1"/>
  <c r="K25" i="66"/>
  <c r="N25" i="66" s="1"/>
  <c r="R24" i="66"/>
  <c r="U24" i="66" s="1"/>
  <c r="K24" i="66"/>
  <c r="N24" i="66" s="1"/>
  <c r="T23" i="66"/>
  <c r="S23" i="66"/>
  <c r="R23" i="66"/>
  <c r="M23" i="66"/>
  <c r="L23" i="66"/>
  <c r="K23" i="66"/>
  <c r="T22" i="66"/>
  <c r="S22" i="66"/>
  <c r="R22" i="66"/>
  <c r="U22" i="66" s="1"/>
  <c r="M22" i="66"/>
  <c r="L22" i="66"/>
  <c r="K22" i="66"/>
  <c r="T21" i="66"/>
  <c r="S21" i="66"/>
  <c r="R21" i="66"/>
  <c r="U21" i="66" s="1"/>
  <c r="M21" i="66"/>
  <c r="N21" i="66" s="1"/>
  <c r="L21" i="66"/>
  <c r="K21" i="66"/>
  <c r="T20" i="66"/>
  <c r="S20" i="66"/>
  <c r="R20" i="66"/>
  <c r="U20" i="66" s="1"/>
  <c r="M20" i="66"/>
  <c r="L20" i="66"/>
  <c r="K20" i="66"/>
  <c r="R19" i="66"/>
  <c r="U19" i="66" s="1"/>
  <c r="K19" i="66"/>
  <c r="N19" i="66" s="1"/>
  <c r="R18" i="66"/>
  <c r="U18" i="66" s="1"/>
  <c r="K18" i="66"/>
  <c r="N18" i="66" s="1"/>
  <c r="T17" i="66"/>
  <c r="U17" i="66" s="1"/>
  <c r="W17" i="66" s="1"/>
  <c r="S17" i="66"/>
  <c r="R17" i="66"/>
  <c r="M17" i="66"/>
  <c r="L17" i="66"/>
  <c r="K17" i="66"/>
  <c r="N17" i="66" s="1"/>
  <c r="R16" i="66"/>
  <c r="U16" i="66" s="1"/>
  <c r="K16" i="66"/>
  <c r="N16" i="66" s="1"/>
  <c r="T15" i="66"/>
  <c r="S15" i="66"/>
  <c r="R15" i="66"/>
  <c r="M15" i="66"/>
  <c r="L15" i="66"/>
  <c r="K15" i="66"/>
  <c r="F10" i="66"/>
  <c r="G10" i="66" s="1"/>
  <c r="W25" i="66" l="1"/>
  <c r="U94" i="66"/>
  <c r="W38" i="66"/>
  <c r="N55" i="66"/>
  <c r="W55" i="66" s="1"/>
  <c r="N60" i="66"/>
  <c r="W60" i="66" s="1"/>
  <c r="U87" i="66"/>
  <c r="W87" i="66" s="1"/>
  <c r="W21" i="66"/>
  <c r="U42" i="66"/>
  <c r="N39" i="66"/>
  <c r="W39" i="66" s="1"/>
  <c r="N62" i="66"/>
  <c r="W81" i="66"/>
  <c r="W93" i="66"/>
  <c r="W18" i="66"/>
  <c r="U77" i="66"/>
  <c r="W77" i="66" s="1"/>
  <c r="U92" i="66"/>
  <c r="W92" i="66" s="1"/>
  <c r="N46" i="66"/>
  <c r="U56" i="66"/>
  <c r="W56" i="66" s="1"/>
  <c r="W75" i="66"/>
  <c r="W33" i="66"/>
  <c r="W63" i="66"/>
  <c r="W32" i="66"/>
  <c r="U68" i="66"/>
  <c r="W68" i="66" s="1"/>
  <c r="W80" i="66"/>
  <c r="U26" i="66"/>
  <c r="W26" i="66" s="1"/>
  <c r="N65" i="66"/>
  <c r="N70" i="66"/>
  <c r="N83" i="66"/>
  <c r="W84" i="66"/>
  <c r="W79" i="66"/>
  <c r="U69" i="66"/>
  <c r="U90" i="66"/>
  <c r="U51" i="66"/>
  <c r="U35" i="66"/>
  <c r="W35" i="66" s="1"/>
  <c r="N54" i="66"/>
  <c r="W54" i="66" s="1"/>
  <c r="W62" i="66"/>
  <c r="U59" i="66"/>
  <c r="W59" i="66" s="1"/>
  <c r="U23" i="66"/>
  <c r="U28" i="66"/>
  <c r="W28" i="66" s="1"/>
  <c r="N41" i="66"/>
  <c r="W41" i="66" s="1"/>
  <c r="U50" i="66"/>
  <c r="W50" i="66" s="1"/>
  <c r="N56" i="66"/>
  <c r="U70" i="66"/>
  <c r="W70" i="66" s="1"/>
  <c r="U73" i="66"/>
  <c r="W73" i="66" s="1"/>
  <c r="N89" i="66"/>
  <c r="W89" i="66" s="1"/>
  <c r="U36" i="66"/>
  <c r="W53" i="66"/>
  <c r="N20" i="66"/>
  <c r="W20" i="66" s="1"/>
  <c r="N74" i="66"/>
  <c r="W74" i="66" s="1"/>
  <c r="N32" i="66"/>
  <c r="N23" i="66"/>
  <c r="W23" i="66" s="1"/>
  <c r="U86" i="66"/>
  <c r="W86" i="66" s="1"/>
  <c r="W45" i="66"/>
  <c r="W71" i="66"/>
  <c r="U15" i="66"/>
  <c r="W19" i="66"/>
  <c r="N22" i="66"/>
  <c r="W22" i="66" s="1"/>
  <c r="U31" i="66"/>
  <c r="W31" i="66" s="1"/>
  <c r="N47" i="66"/>
  <c r="W47" i="66" s="1"/>
  <c r="N51" i="66"/>
  <c r="W52" i="66"/>
  <c r="U61" i="66"/>
  <c r="W61" i="66" s="1"/>
  <c r="U65" i="66"/>
  <c r="U66" i="66"/>
  <c r="W66" i="66" s="1"/>
  <c r="N68" i="66"/>
  <c r="N76" i="66"/>
  <c r="W76" i="66" s="1"/>
  <c r="U83" i="66"/>
  <c r="N86" i="66"/>
  <c r="U91" i="66"/>
  <c r="W91" i="66" s="1"/>
  <c r="N15" i="66"/>
  <c r="W34" i="66"/>
  <c r="W65" i="66"/>
  <c r="W83" i="66"/>
  <c r="W27" i="66"/>
  <c r="W29" i="66"/>
  <c r="W44" i="66"/>
  <c r="W48" i="66"/>
  <c r="W36" i="66"/>
  <c r="W64" i="66"/>
  <c r="W69" i="66"/>
  <c r="W72" i="66"/>
  <c r="W78" i="66"/>
  <c r="W82" i="66"/>
  <c r="W94" i="66"/>
  <c r="W16" i="66"/>
  <c r="W30" i="66"/>
  <c r="W42" i="66"/>
  <c r="W57" i="66"/>
  <c r="W90" i="66"/>
  <c r="W24" i="66"/>
  <c r="W40" i="66"/>
  <c r="W46" i="66"/>
  <c r="W51" i="66"/>
  <c r="W15" i="66" l="1"/>
  <c r="W95" i="66"/>
  <c r="E19" i="48" s="1"/>
  <c r="G19" i="48" s="1"/>
  <c r="E82" i="63" l="1"/>
  <c r="G82" i="63" s="1"/>
  <c r="C82" i="63"/>
  <c r="E81" i="63"/>
  <c r="F81" i="63" s="1"/>
  <c r="C81" i="63"/>
  <c r="E80" i="63"/>
  <c r="G80" i="63" s="1"/>
  <c r="C80" i="63"/>
  <c r="E79" i="63"/>
  <c r="F79" i="63" s="1"/>
  <c r="C79" i="63"/>
  <c r="E78" i="63"/>
  <c r="F78" i="63" s="1"/>
  <c r="C78" i="63"/>
  <c r="G77" i="63"/>
  <c r="E77" i="63"/>
  <c r="F77" i="63" s="1"/>
  <c r="C77" i="63"/>
  <c r="E76" i="63"/>
  <c r="G76" i="63" s="1"/>
  <c r="C76" i="63"/>
  <c r="E75" i="63"/>
  <c r="G75" i="63" s="1"/>
  <c r="C75" i="63"/>
  <c r="G74" i="63"/>
  <c r="E74" i="63"/>
  <c r="F74" i="63" s="1"/>
  <c r="C74" i="63"/>
  <c r="E73" i="63"/>
  <c r="G73" i="63" s="1"/>
  <c r="C73" i="63"/>
  <c r="E72" i="63"/>
  <c r="G72" i="63" s="1"/>
  <c r="C72" i="63"/>
  <c r="E71" i="63"/>
  <c r="G71" i="63" s="1"/>
  <c r="C71" i="63"/>
  <c r="E70" i="63"/>
  <c r="G70" i="63" s="1"/>
  <c r="C70" i="63"/>
  <c r="G69" i="63"/>
  <c r="H69" i="63" s="1"/>
  <c r="E69" i="63"/>
  <c r="F69" i="63" s="1"/>
  <c r="C69" i="63"/>
  <c r="E68" i="63"/>
  <c r="G68" i="63" s="1"/>
  <c r="C68" i="63"/>
  <c r="E67" i="63"/>
  <c r="G67" i="63" s="1"/>
  <c r="C67" i="63"/>
  <c r="G66" i="63"/>
  <c r="F66" i="63"/>
  <c r="E66" i="63"/>
  <c r="C66" i="63"/>
  <c r="G65" i="63"/>
  <c r="E65" i="63"/>
  <c r="F65" i="63" s="1"/>
  <c r="C65" i="63"/>
  <c r="E64" i="63"/>
  <c r="G64" i="63" s="1"/>
  <c r="C64" i="63"/>
  <c r="E63" i="63"/>
  <c r="G63" i="63" s="1"/>
  <c r="C63" i="63"/>
  <c r="F62" i="63"/>
  <c r="E62" i="63"/>
  <c r="G62" i="63" s="1"/>
  <c r="C62" i="63"/>
  <c r="E61" i="63"/>
  <c r="F61" i="63" s="1"/>
  <c r="C61" i="63"/>
  <c r="E60" i="63"/>
  <c r="G60" i="63" s="1"/>
  <c r="C60" i="63"/>
  <c r="E59" i="63"/>
  <c r="F59" i="63" s="1"/>
  <c r="C59" i="63"/>
  <c r="E58" i="63"/>
  <c r="F58" i="63" s="1"/>
  <c r="C58" i="63"/>
  <c r="E57" i="63"/>
  <c r="G57" i="63" s="1"/>
  <c r="C57" i="63"/>
  <c r="E56" i="63"/>
  <c r="G56" i="63" s="1"/>
  <c r="C56" i="63"/>
  <c r="E55" i="63"/>
  <c r="F55" i="63" s="1"/>
  <c r="C55" i="63"/>
  <c r="E54" i="63"/>
  <c r="G54" i="63" s="1"/>
  <c r="C54" i="63"/>
  <c r="E53" i="63"/>
  <c r="F53" i="63" s="1"/>
  <c r="C53" i="63"/>
  <c r="E52" i="63"/>
  <c r="G52" i="63" s="1"/>
  <c r="C52" i="63"/>
  <c r="E51" i="63"/>
  <c r="G51" i="63" s="1"/>
  <c r="C51" i="63"/>
  <c r="E50" i="63"/>
  <c r="G50" i="63" s="1"/>
  <c r="C50" i="63"/>
  <c r="G49" i="63"/>
  <c r="F49" i="63"/>
  <c r="E49" i="63"/>
  <c r="C49" i="63"/>
  <c r="E48" i="63"/>
  <c r="G48" i="63" s="1"/>
  <c r="C48" i="63"/>
  <c r="E47" i="63"/>
  <c r="F47" i="63" s="1"/>
  <c r="C47" i="63"/>
  <c r="E46" i="63"/>
  <c r="G46" i="63" s="1"/>
  <c r="C46" i="63"/>
  <c r="E45" i="63"/>
  <c r="F45" i="63" s="1"/>
  <c r="C45" i="63"/>
  <c r="E44" i="63"/>
  <c r="G44" i="63" s="1"/>
  <c r="C44" i="63"/>
  <c r="E43" i="63"/>
  <c r="F43" i="63" s="1"/>
  <c r="C43" i="63"/>
  <c r="E42" i="63"/>
  <c r="G42" i="63" s="1"/>
  <c r="C42" i="63"/>
  <c r="E41" i="63"/>
  <c r="G41" i="63" s="1"/>
  <c r="C41" i="63"/>
  <c r="E40" i="63"/>
  <c r="G40" i="63" s="1"/>
  <c r="C40" i="63"/>
  <c r="E39" i="63"/>
  <c r="F39" i="63" s="1"/>
  <c r="C39" i="63"/>
  <c r="E38" i="63"/>
  <c r="G38" i="63" s="1"/>
  <c r="C38" i="63"/>
  <c r="G37" i="63"/>
  <c r="H37" i="63" s="1"/>
  <c r="E37" i="63"/>
  <c r="F37" i="63" s="1"/>
  <c r="C37" i="63"/>
  <c r="E36" i="63"/>
  <c r="G36" i="63" s="1"/>
  <c r="C36" i="63"/>
  <c r="E35" i="63"/>
  <c r="G35" i="63" s="1"/>
  <c r="C35" i="63"/>
  <c r="G34" i="63"/>
  <c r="F34" i="63"/>
  <c r="E34" i="63"/>
  <c r="C34" i="63"/>
  <c r="E33" i="63"/>
  <c r="G33" i="63" s="1"/>
  <c r="C33" i="63"/>
  <c r="E32" i="63"/>
  <c r="G32" i="63" s="1"/>
  <c r="C32" i="63"/>
  <c r="E31" i="63"/>
  <c r="F31" i="63" s="1"/>
  <c r="C31" i="63"/>
  <c r="F30" i="63"/>
  <c r="E30" i="63"/>
  <c r="G30" i="63" s="1"/>
  <c r="C30" i="63"/>
  <c r="E29" i="63"/>
  <c r="F29" i="63" s="1"/>
  <c r="C29" i="63"/>
  <c r="E28" i="63"/>
  <c r="G28" i="63" s="1"/>
  <c r="C28" i="63"/>
  <c r="E27" i="63"/>
  <c r="F27" i="63" s="1"/>
  <c r="C27" i="63"/>
  <c r="E26" i="63"/>
  <c r="G26" i="63" s="1"/>
  <c r="C26" i="63"/>
  <c r="E25" i="63"/>
  <c r="G25" i="63" s="1"/>
  <c r="C25" i="63"/>
  <c r="E24" i="63"/>
  <c r="G24" i="63" s="1"/>
  <c r="C24" i="63"/>
  <c r="E23" i="63"/>
  <c r="F23" i="63" s="1"/>
  <c r="C23" i="63"/>
  <c r="F22" i="63"/>
  <c r="E22" i="63"/>
  <c r="G22" i="63" s="1"/>
  <c r="C22" i="63"/>
  <c r="E21" i="63"/>
  <c r="F21" i="63" s="1"/>
  <c r="C21" i="63"/>
  <c r="E20" i="63"/>
  <c r="G20" i="63" s="1"/>
  <c r="C20" i="63"/>
  <c r="E19" i="63"/>
  <c r="F19" i="63" s="1"/>
  <c r="C19" i="63"/>
  <c r="E18" i="63"/>
  <c r="G18" i="63" s="1"/>
  <c r="C18" i="63"/>
  <c r="G17" i="63"/>
  <c r="F17" i="63"/>
  <c r="E17" i="63"/>
  <c r="C17" i="63"/>
  <c r="E16" i="63"/>
  <c r="G16" i="63" s="1"/>
  <c r="C16" i="63"/>
  <c r="E15" i="63"/>
  <c r="F15" i="63" s="1"/>
  <c r="C15" i="63"/>
  <c r="E14" i="63"/>
  <c r="G14" i="63" s="1"/>
  <c r="C14" i="63"/>
  <c r="G13" i="63"/>
  <c r="E13" i="63"/>
  <c r="F13" i="63" s="1"/>
  <c r="C13" i="63"/>
  <c r="E12" i="63"/>
  <c r="G12" i="63" s="1"/>
  <c r="C12" i="63"/>
  <c r="H33" i="63" l="1"/>
  <c r="H73" i="63"/>
  <c r="H70" i="63"/>
  <c r="H17" i="63"/>
  <c r="H49" i="63"/>
  <c r="F26" i="63"/>
  <c r="H26" i="63" s="1"/>
  <c r="G29" i="63"/>
  <c r="H29" i="63" s="1"/>
  <c r="F41" i="63"/>
  <c r="H41" i="63" s="1"/>
  <c r="C83" i="63"/>
  <c r="F38" i="63"/>
  <c r="H38" i="63" s="1"/>
  <c r="G58" i="63"/>
  <c r="H58" i="63" s="1"/>
  <c r="F70" i="63"/>
  <c r="F73" i="63"/>
  <c r="G78" i="63"/>
  <c r="H78" i="63" s="1"/>
  <c r="G81" i="63"/>
  <c r="H81" i="63" s="1"/>
  <c r="F18" i="63"/>
  <c r="H18" i="63" s="1"/>
  <c r="G21" i="63"/>
  <c r="H30" i="63"/>
  <c r="F33" i="63"/>
  <c r="F50" i="63"/>
  <c r="H50" i="63" s="1"/>
  <c r="G53" i="63"/>
  <c r="H62" i="63"/>
  <c r="H46" i="63"/>
  <c r="H34" i="63"/>
  <c r="F46" i="63"/>
  <c r="H66" i="63"/>
  <c r="G61" i="63"/>
  <c r="H22" i="63"/>
  <c r="F25" i="63"/>
  <c r="H25" i="63" s="1"/>
  <c r="F42" i="63"/>
  <c r="H42" i="63" s="1"/>
  <c r="G45" i="63"/>
  <c r="H45" i="63" s="1"/>
  <c r="F57" i="63"/>
  <c r="H57" i="63" s="1"/>
  <c r="F82" i="63"/>
  <c r="H82" i="63" s="1"/>
  <c r="H65" i="63"/>
  <c r="H13" i="63"/>
  <c r="F54" i="63"/>
  <c r="H54" i="63" s="1"/>
  <c r="H74" i="63"/>
  <c r="H52" i="63"/>
  <c r="H61" i="63"/>
  <c r="H53" i="63"/>
  <c r="H21" i="63"/>
  <c r="H16" i="63"/>
  <c r="H88" i="63"/>
  <c r="H51" i="63"/>
  <c r="H77" i="63"/>
  <c r="F63" i="63"/>
  <c r="H63" i="63" s="1"/>
  <c r="F71" i="63"/>
  <c r="H71" i="63" s="1"/>
  <c r="F12" i="63"/>
  <c r="H12" i="63" s="1"/>
  <c r="G15" i="63"/>
  <c r="H15" i="63" s="1"/>
  <c r="F20" i="63"/>
  <c r="H20" i="63" s="1"/>
  <c r="G23" i="63"/>
  <c r="H23" i="63" s="1"/>
  <c r="F28" i="63"/>
  <c r="H28" i="63" s="1"/>
  <c r="G31" i="63"/>
  <c r="H31" i="63" s="1"/>
  <c r="F36" i="63"/>
  <c r="H36" i="63" s="1"/>
  <c r="G39" i="63"/>
  <c r="H39" i="63" s="1"/>
  <c r="F44" i="63"/>
  <c r="H44" i="63" s="1"/>
  <c r="G47" i="63"/>
  <c r="H47" i="63" s="1"/>
  <c r="F52" i="63"/>
  <c r="G55" i="63"/>
  <c r="H55" i="63" s="1"/>
  <c r="F60" i="63"/>
  <c r="H60" i="63" s="1"/>
  <c r="F68" i="63"/>
  <c r="H68" i="63" s="1"/>
  <c r="F76" i="63"/>
  <c r="H76" i="63" s="1"/>
  <c r="G79" i="63"/>
  <c r="H79" i="63" s="1"/>
  <c r="F14" i="63"/>
  <c r="H14" i="63" s="1"/>
  <c r="F35" i="63"/>
  <c r="H35" i="63" s="1"/>
  <c r="F51" i="63"/>
  <c r="F67" i="63"/>
  <c r="H67" i="63" s="1"/>
  <c r="F75" i="63"/>
  <c r="H75" i="63" s="1"/>
  <c r="F16" i="63"/>
  <c r="G19" i="63"/>
  <c r="H19" i="63" s="1"/>
  <c r="F24" i="63"/>
  <c r="H24" i="63" s="1"/>
  <c r="G27" i="63"/>
  <c r="H27" i="63" s="1"/>
  <c r="F32" i="63"/>
  <c r="H32" i="63" s="1"/>
  <c r="F40" i="63"/>
  <c r="H40" i="63" s="1"/>
  <c r="G43" i="63"/>
  <c r="H43" i="63" s="1"/>
  <c r="F48" i="63"/>
  <c r="H48" i="63" s="1"/>
  <c r="F56" i="63"/>
  <c r="H56" i="63" s="1"/>
  <c r="G59" i="63"/>
  <c r="H59" i="63" s="1"/>
  <c r="F64" i="63"/>
  <c r="H64" i="63" s="1"/>
  <c r="F72" i="63"/>
  <c r="H72" i="63" s="1"/>
  <c r="F80" i="63"/>
  <c r="H80" i="63" s="1"/>
  <c r="H83" i="63" l="1"/>
  <c r="H85" i="63" s="1"/>
  <c r="H90" i="63" s="1"/>
  <c r="H92" i="63" s="1"/>
  <c r="E16" i="48" s="1"/>
  <c r="G16" i="48" s="1"/>
  <c r="N19" i="60" l="1"/>
  <c r="M19" i="60"/>
  <c r="L19" i="60"/>
  <c r="K19" i="60"/>
  <c r="J19" i="60"/>
  <c r="I19" i="60"/>
  <c r="H19" i="60"/>
  <c r="G19" i="60"/>
  <c r="F19" i="60"/>
  <c r="E19" i="60"/>
  <c r="D19" i="60"/>
  <c r="C19" i="60"/>
  <c r="N18" i="60"/>
  <c r="M18" i="60"/>
  <c r="L18" i="60"/>
  <c r="K18" i="60"/>
  <c r="J18" i="60"/>
  <c r="I18" i="60"/>
  <c r="H18" i="60"/>
  <c r="G18" i="60"/>
  <c r="F18" i="60"/>
  <c r="E18" i="60"/>
  <c r="D18" i="60"/>
  <c r="C18" i="60"/>
  <c r="N17" i="60"/>
  <c r="M17" i="60"/>
  <c r="L17" i="60"/>
  <c r="K17" i="60"/>
  <c r="J17" i="60"/>
  <c r="I17" i="60"/>
  <c r="H17" i="60"/>
  <c r="G17" i="60"/>
  <c r="F17" i="60"/>
  <c r="E17" i="60"/>
  <c r="D17" i="60"/>
  <c r="C17" i="60"/>
  <c r="N16" i="60"/>
  <c r="M16" i="60"/>
  <c r="L16" i="60"/>
  <c r="K16" i="60"/>
  <c r="J16" i="60"/>
  <c r="I16" i="60"/>
  <c r="H16" i="60"/>
  <c r="G16" i="60"/>
  <c r="F16" i="60"/>
  <c r="E16" i="60"/>
  <c r="D16" i="60"/>
  <c r="C16" i="60"/>
  <c r="N15" i="60"/>
  <c r="M15" i="60"/>
  <c r="L15" i="60"/>
  <c r="K15" i="60"/>
  <c r="J15" i="60"/>
  <c r="I15" i="60"/>
  <c r="H15" i="60"/>
  <c r="G15" i="60"/>
  <c r="F15" i="60"/>
  <c r="E15" i="60"/>
  <c r="D15" i="60"/>
  <c r="C15" i="60"/>
  <c r="N14" i="60"/>
  <c r="M14" i="60"/>
  <c r="L14" i="60"/>
  <c r="K14" i="60"/>
  <c r="J14" i="60"/>
  <c r="I14" i="60"/>
  <c r="H14" i="60"/>
  <c r="G14" i="60"/>
  <c r="F14" i="60"/>
  <c r="E14" i="60"/>
  <c r="D14" i="60"/>
  <c r="C14" i="60"/>
  <c r="E13" i="60"/>
  <c r="D13" i="60"/>
  <c r="C13" i="60"/>
  <c r="O13" i="60" s="1"/>
  <c r="M12" i="60"/>
  <c r="L12" i="60"/>
  <c r="K12" i="60"/>
  <c r="J12" i="60"/>
  <c r="I12" i="60"/>
  <c r="H12" i="60"/>
  <c r="G12" i="60"/>
  <c r="F12" i="60"/>
  <c r="E12" i="60"/>
  <c r="D12" i="60"/>
  <c r="O12" i="60" s="1"/>
  <c r="C12" i="60"/>
  <c r="N11" i="60"/>
  <c r="N20" i="60" s="1"/>
  <c r="M11" i="60"/>
  <c r="L11" i="60"/>
  <c r="L20" i="60" s="1"/>
  <c r="K11" i="60"/>
  <c r="J11" i="60"/>
  <c r="I11" i="60"/>
  <c r="I20" i="60" s="1"/>
  <c r="H11" i="60"/>
  <c r="H20" i="60" s="1"/>
  <c r="G11" i="60"/>
  <c r="F11" i="60"/>
  <c r="F20" i="60" s="1"/>
  <c r="E11" i="60"/>
  <c r="D11" i="60"/>
  <c r="C11" i="60"/>
  <c r="M20" i="60" l="1"/>
  <c r="O15" i="60"/>
  <c r="O16" i="60"/>
  <c r="O18" i="60"/>
  <c r="O19" i="60"/>
  <c r="J20" i="60"/>
  <c r="O17" i="60"/>
  <c r="O11" i="60"/>
  <c r="O20" i="60" s="1"/>
  <c r="O23" i="60" s="1"/>
  <c r="O25" i="60" s="1"/>
  <c r="E17" i="48" s="1"/>
  <c r="G17" i="48" s="1"/>
  <c r="K20" i="60"/>
  <c r="G20" i="60"/>
  <c r="D20" i="60"/>
  <c r="E20" i="60"/>
  <c r="O14" i="60"/>
  <c r="C20" i="60"/>
  <c r="C26" i="58" l="1"/>
  <c r="C25" i="58"/>
  <c r="C24" i="58"/>
  <c r="C23" i="58"/>
  <c r="C22" i="58"/>
  <c r="C21" i="58"/>
  <c r="J16" i="58"/>
  <c r="I16" i="58"/>
  <c r="H16" i="58"/>
  <c r="G16" i="58"/>
  <c r="F16" i="58"/>
  <c r="E16" i="58"/>
  <c r="D16" i="58"/>
  <c r="C16" i="58"/>
  <c r="C27" i="58" l="1"/>
  <c r="J24" i="58" s="1"/>
  <c r="J26" i="58" s="1"/>
  <c r="E15" i="48" s="1"/>
  <c r="G15" i="48" s="1"/>
  <c r="E14" i="48"/>
  <c r="O24" i="57"/>
  <c r="N24" i="57"/>
  <c r="M24" i="57"/>
  <c r="K24" i="57"/>
  <c r="F24" i="57"/>
  <c r="C24" i="57"/>
  <c r="I23" i="57"/>
  <c r="F23" i="57"/>
  <c r="D23" i="57"/>
  <c r="P23" i="57" s="1"/>
  <c r="I22" i="57"/>
  <c r="P22" i="57" s="1"/>
  <c r="E22" i="57"/>
  <c r="D22" i="57"/>
  <c r="B22" i="57"/>
  <c r="L21" i="57"/>
  <c r="D21" i="57"/>
  <c r="P21" i="57" s="1"/>
  <c r="L20" i="57"/>
  <c r="P20" i="57" s="1"/>
  <c r="I20" i="57"/>
  <c r="D20" i="57"/>
  <c r="L19" i="57"/>
  <c r="I19" i="57"/>
  <c r="D19" i="57"/>
  <c r="P19" i="57" s="1"/>
  <c r="L18" i="57"/>
  <c r="L24" i="57" s="1"/>
  <c r="I18" i="57"/>
  <c r="E18" i="57"/>
  <c r="D18" i="57"/>
  <c r="I17" i="57"/>
  <c r="G17" i="57"/>
  <c r="E17" i="57"/>
  <c r="E24" i="57" s="1"/>
  <c r="D17" i="57"/>
  <c r="P17" i="57" s="1"/>
  <c r="B17" i="57"/>
  <c r="B24" i="57" s="1"/>
  <c r="G16" i="57"/>
  <c r="E16" i="57"/>
  <c r="D16" i="57"/>
  <c r="P16" i="57" s="1"/>
  <c r="L15" i="57"/>
  <c r="I15" i="57"/>
  <c r="P15" i="57" s="1"/>
  <c r="G15" i="57"/>
  <c r="G24" i="57" s="1"/>
  <c r="D15" i="57"/>
  <c r="L14" i="57"/>
  <c r="J14" i="57"/>
  <c r="J24" i="57" s="1"/>
  <c r="H14" i="57"/>
  <c r="H24" i="57" s="1"/>
  <c r="D14" i="57"/>
  <c r="P14" i="57" s="1"/>
  <c r="P13" i="57"/>
  <c r="D13" i="57"/>
  <c r="N12" i="57"/>
  <c r="I12" i="57"/>
  <c r="I24" i="57" s="1"/>
  <c r="D12" i="57"/>
  <c r="P12" i="57" s="1"/>
  <c r="D24" i="57" l="1"/>
  <c r="P18" i="57"/>
  <c r="P24" i="57" s="1"/>
  <c r="D24" i="35" l="1"/>
  <c r="E20" i="48"/>
  <c r="F47" i="64"/>
  <c r="F51" i="64" s="1"/>
  <c r="F53" i="64" s="1"/>
  <c r="C47" i="64"/>
  <c r="F46" i="64"/>
  <c r="F45" i="64"/>
  <c r="F44" i="64"/>
  <c r="F43" i="64"/>
  <c r="F42" i="64"/>
  <c r="F41" i="64"/>
  <c r="F40" i="64"/>
  <c r="F39" i="64"/>
  <c r="F38" i="64"/>
  <c r="F37" i="64"/>
  <c r="F36" i="64"/>
  <c r="F35" i="64"/>
  <c r="F34" i="64"/>
  <c r="F33" i="64"/>
  <c r="F32" i="64"/>
  <c r="F31" i="64"/>
  <c r="F30" i="64"/>
  <c r="F29" i="64"/>
  <c r="F28" i="64"/>
  <c r="F27" i="64"/>
  <c r="F26" i="64"/>
  <c r="F25" i="64"/>
  <c r="F24" i="64"/>
  <c r="F23" i="64"/>
  <c r="F22" i="64"/>
  <c r="F21" i="64"/>
  <c r="F20" i="64"/>
  <c r="F19" i="64"/>
  <c r="F18" i="64"/>
  <c r="F17" i="64"/>
  <c r="F16" i="64"/>
  <c r="F15" i="64"/>
  <c r="F14" i="64"/>
  <c r="F13" i="64"/>
  <c r="F12" i="64"/>
  <c r="F11" i="64"/>
  <c r="A11" i="64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A44" i="64" s="1"/>
  <c r="A45" i="64" s="1"/>
  <c r="A46" i="64" s="1"/>
  <c r="A47" i="64" s="1"/>
  <c r="A48" i="64" s="1"/>
  <c r="A49" i="64" s="1"/>
  <c r="A50" i="64" s="1"/>
  <c r="A51" i="64" s="1"/>
  <c r="A52" i="64" s="1"/>
  <c r="A53" i="64" s="1"/>
  <c r="F10" i="64"/>
  <c r="G13" i="48" l="1"/>
  <c r="E55" i="35" l="1"/>
  <c r="E50" i="35" l="1"/>
  <c r="E40" i="35"/>
  <c r="E36" i="35"/>
  <c r="E34" i="35"/>
  <c r="E33" i="35"/>
  <c r="E32" i="35"/>
  <c r="E26" i="35"/>
  <c r="E25" i="35"/>
  <c r="E24" i="35"/>
  <c r="E23" i="35"/>
  <c r="E18" i="35"/>
  <c r="E17" i="35"/>
  <c r="E16" i="35"/>
  <c r="E15" i="35"/>
  <c r="E14" i="35"/>
  <c r="E9" i="35"/>
  <c r="O6" i="36"/>
  <c r="N6" i="36"/>
  <c r="O4" i="36"/>
  <c r="N4" i="36"/>
  <c r="M4" i="36"/>
  <c r="L4" i="36"/>
  <c r="K4" i="36"/>
  <c r="J4" i="36"/>
  <c r="I4" i="36"/>
  <c r="H4" i="36"/>
  <c r="G4" i="36"/>
  <c r="F4" i="36"/>
  <c r="E4" i="36"/>
  <c r="D4" i="36"/>
  <c r="C6" i="36"/>
  <c r="C4" i="36"/>
  <c r="B5" i="63"/>
  <c r="B4" i="63"/>
  <c r="L23" i="36" l="1"/>
  <c r="B5" i="60" l="1"/>
  <c r="B4" i="60"/>
  <c r="A5" i="57"/>
  <c r="A4" i="57"/>
  <c r="M23" i="36" l="1"/>
  <c r="N23" i="36" l="1"/>
  <c r="H25" i="56"/>
  <c r="H27" i="56" s="1"/>
  <c r="H31" i="56" s="1"/>
  <c r="E17" i="36" s="1"/>
  <c r="F31" i="56"/>
  <c r="D9" i="48" s="1"/>
  <c r="C14" i="56"/>
  <c r="C15" i="56" s="1"/>
  <c r="C16" i="56" s="1"/>
  <c r="C17" i="56" s="1"/>
  <c r="C18" i="56" s="1"/>
  <c r="C19" i="56" s="1"/>
  <c r="C20" i="56" s="1"/>
  <c r="C21" i="56" s="1"/>
  <c r="C22" i="56" s="1"/>
  <c r="C23" i="56" s="1"/>
  <c r="C24" i="56" s="1"/>
  <c r="A5" i="56"/>
  <c r="A4" i="56"/>
  <c r="H25" i="55"/>
  <c r="H27" i="55" s="1"/>
  <c r="H31" i="55" s="1"/>
  <c r="F17" i="36" s="1"/>
  <c r="F31" i="55"/>
  <c r="D10" i="48" s="1"/>
  <c r="C14" i="55"/>
  <c r="C15" i="55" s="1"/>
  <c r="C16" i="55" s="1"/>
  <c r="C17" i="55" s="1"/>
  <c r="C18" i="55" s="1"/>
  <c r="C19" i="55" s="1"/>
  <c r="C20" i="55" s="1"/>
  <c r="C21" i="55" s="1"/>
  <c r="C22" i="55" s="1"/>
  <c r="C23" i="55" s="1"/>
  <c r="C24" i="55" s="1"/>
  <c r="A5" i="55"/>
  <c r="A4" i="55"/>
  <c r="G9" i="48" l="1"/>
  <c r="G10" i="48"/>
  <c r="O23" i="36"/>
  <c r="E10" i="36" l="1"/>
  <c r="F10" i="36"/>
  <c r="F61" i="50" l="1"/>
  <c r="F63" i="50"/>
  <c r="F19" i="50"/>
  <c r="F17" i="50"/>
  <c r="E21" i="50"/>
  <c r="D21" i="50"/>
  <c r="F14" i="50"/>
  <c r="E12" i="50"/>
  <c r="M6" i="36" l="1"/>
  <c r="L6" i="36"/>
  <c r="K6" i="36"/>
  <c r="J6" i="36"/>
  <c r="I6" i="36"/>
  <c r="H6" i="36"/>
  <c r="G6" i="36"/>
  <c r="F6" i="36"/>
  <c r="E6" i="36"/>
  <c r="D6" i="36"/>
  <c r="U18" i="36"/>
  <c r="U19" i="36"/>
  <c r="U20" i="36"/>
  <c r="U21" i="36"/>
  <c r="U22" i="36"/>
  <c r="F40" i="35"/>
  <c r="K23" i="36" l="1"/>
  <c r="D22" i="35" l="1"/>
  <c r="E22" i="35" s="1"/>
  <c r="F14" i="35"/>
  <c r="F15" i="35"/>
  <c r="F16" i="35"/>
  <c r="F17" i="35"/>
  <c r="F18" i="35"/>
  <c r="F23" i="35"/>
  <c r="F25" i="35"/>
  <c r="F26" i="35"/>
  <c r="F32" i="35"/>
  <c r="F33" i="35"/>
  <c r="F34" i="35"/>
  <c r="F36" i="35"/>
  <c r="F24" i="35" l="1"/>
  <c r="F46" i="35" s="1"/>
  <c r="F9" i="35" l="1"/>
  <c r="B1" i="36"/>
  <c r="A1" i="50"/>
  <c r="A5" i="33"/>
  <c r="A4" i="33"/>
  <c r="A4" i="28"/>
  <c r="A3" i="28"/>
  <c r="A5" i="17"/>
  <c r="A4" i="17"/>
  <c r="A5" i="6"/>
  <c r="A4" i="6"/>
  <c r="E46" i="35" l="1"/>
  <c r="C14" i="17" l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14" i="6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A1" i="48"/>
  <c r="C56" i="35" l="1"/>
  <c r="C51" i="35"/>
  <c r="C46" i="35"/>
  <c r="C20" i="35" l="1"/>
  <c r="F67" i="50" l="1"/>
  <c r="F66" i="50"/>
  <c r="F62" i="50"/>
  <c r="F60" i="50"/>
  <c r="F59" i="50"/>
  <c r="F58" i="50"/>
  <c r="F56" i="50"/>
  <c r="F53" i="50"/>
  <c r="F52" i="50"/>
  <c r="F51" i="50"/>
  <c r="F50" i="50"/>
  <c r="F49" i="50"/>
  <c r="F46" i="50"/>
  <c r="F45" i="50"/>
  <c r="F44" i="50"/>
  <c r="F42" i="50"/>
  <c r="F41" i="50"/>
  <c r="F36" i="50"/>
  <c r="F35" i="50"/>
  <c r="F32" i="50"/>
  <c r="F31" i="50"/>
  <c r="F30" i="50"/>
  <c r="F29" i="50"/>
  <c r="F28" i="50"/>
  <c r="F27" i="50"/>
  <c r="F26" i="50"/>
  <c r="F25" i="50"/>
  <c r="F24" i="50"/>
  <c r="F23" i="50"/>
  <c r="F20" i="50"/>
  <c r="F18" i="50"/>
  <c r="F16" i="50"/>
  <c r="F15" i="50"/>
  <c r="F11" i="50"/>
  <c r="F9" i="50"/>
  <c r="F8" i="50"/>
  <c r="E64" i="50"/>
  <c r="E54" i="50"/>
  <c r="E47" i="50"/>
  <c r="E33" i="50"/>
  <c r="E38" i="50" s="1"/>
  <c r="D64" i="50"/>
  <c r="D54" i="50"/>
  <c r="D47" i="50"/>
  <c r="D33" i="50"/>
  <c r="E68" i="50" l="1"/>
  <c r="F21" i="50"/>
  <c r="D68" i="50"/>
  <c r="F64" i="50"/>
  <c r="F54" i="50"/>
  <c r="F47" i="50"/>
  <c r="F33" i="50"/>
  <c r="D10" i="50"/>
  <c r="D12" i="50" s="1"/>
  <c r="D38" i="50" l="1"/>
  <c r="F10" i="50"/>
  <c r="F68" i="50"/>
  <c r="F71" i="50" s="1"/>
  <c r="F12" i="50" l="1"/>
  <c r="F38" i="50" s="1"/>
  <c r="A8" i="50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D6" i="50"/>
  <c r="E6" i="50" s="1"/>
  <c r="C6" i="35"/>
  <c r="D5" i="48" l="1"/>
  <c r="E5" i="48" s="1"/>
  <c r="F5" i="48" s="1"/>
  <c r="G5" i="48" s="1"/>
  <c r="U39" i="36" l="1"/>
  <c r="U37" i="36"/>
  <c r="U35" i="36"/>
  <c r="U30" i="36"/>
  <c r="U29" i="36"/>
  <c r="T40" i="36" l="1"/>
  <c r="T24" i="36"/>
  <c r="T31" i="36" s="1"/>
  <c r="T33" i="36" l="1"/>
  <c r="T42" i="36" s="1"/>
  <c r="A8" i="35" l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50" i="35" s="1"/>
  <c r="A51" i="35" s="1"/>
  <c r="A52" i="35" s="1"/>
  <c r="A53" i="35" s="1"/>
  <c r="A54" i="35" s="1"/>
  <c r="A56" i="35" l="1"/>
  <c r="A57" i="35" s="1"/>
  <c r="A58" i="35" s="1"/>
  <c r="A59" i="35" s="1"/>
  <c r="A60" i="35" s="1"/>
  <c r="U27" i="36"/>
  <c r="I26" i="36" l="1"/>
  <c r="U26" i="36" s="1"/>
  <c r="F22" i="35"/>
  <c r="U28" i="36"/>
  <c r="A12" i="28" l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E13" i="28" l="1"/>
  <c r="R40" i="36" l="1"/>
  <c r="S40" i="36"/>
  <c r="Q40" i="36"/>
  <c r="P40" i="36"/>
  <c r="N40" i="36"/>
  <c r="M40" i="36"/>
  <c r="L40" i="36"/>
  <c r="K40" i="36"/>
  <c r="J40" i="36"/>
  <c r="I40" i="36"/>
  <c r="H40" i="36"/>
  <c r="F40" i="36"/>
  <c r="E40" i="36"/>
  <c r="D40" i="36"/>
  <c r="C40" i="36"/>
  <c r="P24" i="36"/>
  <c r="P31" i="36" s="1"/>
  <c r="O24" i="36"/>
  <c r="O31" i="36" s="1"/>
  <c r="L24" i="36"/>
  <c r="L31" i="36" s="1"/>
  <c r="K24" i="36"/>
  <c r="K31" i="36" s="1"/>
  <c r="P12" i="36"/>
  <c r="O12" i="36"/>
  <c r="N12" i="36"/>
  <c r="M12" i="36"/>
  <c r="L12" i="36"/>
  <c r="K12" i="36"/>
  <c r="J12" i="36"/>
  <c r="I12" i="36"/>
  <c r="G12" i="36"/>
  <c r="E12" i="36"/>
  <c r="A8" i="36"/>
  <c r="A9" i="36" s="1"/>
  <c r="A10" i="36" s="1"/>
  <c r="A11" i="36" s="1"/>
  <c r="A12" i="36" s="1"/>
  <c r="A13" i="36" s="1"/>
  <c r="A14" i="36" s="1"/>
  <c r="L33" i="36" l="1"/>
  <c r="L42" i="36" s="1"/>
  <c r="P33" i="36"/>
  <c r="P42" i="36" s="1"/>
  <c r="A15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K33" i="36"/>
  <c r="K42" i="36" s="1"/>
  <c r="O33" i="36"/>
  <c r="A34" i="36" l="1"/>
  <c r="A35" i="36" s="1"/>
  <c r="A37" i="36" s="1"/>
  <c r="A38" i="36" s="1"/>
  <c r="A39" i="36" s="1"/>
  <c r="A40" i="36" s="1"/>
  <c r="A41" i="36" s="1"/>
  <c r="A42" i="36" s="1"/>
  <c r="C28" i="35" l="1"/>
  <c r="J44" i="33"/>
  <c r="G57" i="33"/>
  <c r="F39" i="33" s="1"/>
  <c r="G35" i="33"/>
  <c r="H35" i="33"/>
  <c r="F35" i="33"/>
  <c r="C52" i="35" l="1"/>
  <c r="C47" i="35"/>
  <c r="C30" i="35"/>
  <c r="C41" i="35" s="1"/>
  <c r="G39" i="33"/>
  <c r="C38" i="35" l="1"/>
  <c r="H39" i="33"/>
  <c r="C48" i="35" l="1"/>
  <c r="C53" i="35"/>
  <c r="C43" i="35"/>
  <c r="C42" i="35"/>
  <c r="I40" i="33"/>
  <c r="G27" i="33" l="1"/>
  <c r="H27" i="33"/>
  <c r="F27" i="33"/>
  <c r="F30" i="33" l="1"/>
  <c r="F31" i="33" s="1"/>
  <c r="F40" i="33" s="1"/>
  <c r="H30" i="33"/>
  <c r="H31" i="33" s="1"/>
  <c r="G30" i="33"/>
  <c r="G31" i="33" s="1"/>
  <c r="H40" i="33" l="1"/>
  <c r="H36" i="33"/>
  <c r="G36" i="33"/>
  <c r="G40" i="33"/>
  <c r="F36" i="33"/>
  <c r="E15" i="28"/>
  <c r="E17" i="28" s="1"/>
  <c r="E21" i="28" s="1"/>
  <c r="E23" i="28" s="1"/>
  <c r="E11" i="48" s="1"/>
  <c r="G11" i="48" s="1"/>
  <c r="G23" i="36" l="1"/>
  <c r="G24" i="36" s="1"/>
  <c r="G31" i="36" s="1"/>
  <c r="D19" i="35"/>
  <c r="E19" i="35" s="1"/>
  <c r="M24" i="36"/>
  <c r="M31" i="36" s="1"/>
  <c r="G33" i="36" l="1"/>
  <c r="G46" i="33"/>
  <c r="G48" i="33" s="1"/>
  <c r="E12" i="48" s="1"/>
  <c r="F46" i="33"/>
  <c r="F48" i="33" s="1"/>
  <c r="D12" i="48" s="1"/>
  <c r="E24" i="36"/>
  <c r="E31" i="36" s="1"/>
  <c r="F27" i="48"/>
  <c r="S24" i="36"/>
  <c r="S31" i="36" s="1"/>
  <c r="N24" i="36"/>
  <c r="N31" i="36" s="1"/>
  <c r="M33" i="36"/>
  <c r="M42" i="36" s="1"/>
  <c r="I24" i="36"/>
  <c r="G12" i="48" l="1"/>
  <c r="J46" i="33"/>
  <c r="J48" i="33" s="1"/>
  <c r="U15" i="36"/>
  <c r="F24" i="36"/>
  <c r="F31" i="36" s="1"/>
  <c r="J23" i="36"/>
  <c r="F19" i="35"/>
  <c r="E35" i="35"/>
  <c r="E51" i="35" s="1"/>
  <c r="E33" i="36"/>
  <c r="E42" i="36" s="1"/>
  <c r="I31" i="36"/>
  <c r="S12" i="36"/>
  <c r="N33" i="36"/>
  <c r="N42" i="36" s="1"/>
  <c r="O40" i="36"/>
  <c r="H11" i="36" l="1"/>
  <c r="H16" i="36"/>
  <c r="U9" i="36"/>
  <c r="F12" i="36"/>
  <c r="G40" i="36"/>
  <c r="U40" i="36" s="1"/>
  <c r="U38" i="36"/>
  <c r="F35" i="35"/>
  <c r="J24" i="36"/>
  <c r="J31" i="36" s="1"/>
  <c r="U23" i="36"/>
  <c r="I33" i="36"/>
  <c r="S33" i="36"/>
  <c r="S42" i="36" s="1"/>
  <c r="O42" i="36"/>
  <c r="H24" i="36" l="1"/>
  <c r="H31" i="36" s="1"/>
  <c r="U16" i="36"/>
  <c r="H12" i="36"/>
  <c r="U11" i="36"/>
  <c r="F33" i="36"/>
  <c r="F42" i="36" s="1"/>
  <c r="J33" i="36"/>
  <c r="J42" i="36" s="1"/>
  <c r="G42" i="36"/>
  <c r="I42" i="36"/>
  <c r="H33" i="36" l="1"/>
  <c r="H42" i="36" s="1"/>
  <c r="H25" i="17" l="1"/>
  <c r="H27" i="17" s="1"/>
  <c r="H31" i="17" s="1"/>
  <c r="F31" i="17"/>
  <c r="D8" i="48" s="1"/>
  <c r="G8" i="48" s="1"/>
  <c r="H25" i="6"/>
  <c r="H27" i="6" s="1"/>
  <c r="H31" i="6" s="1"/>
  <c r="F31" i="6"/>
  <c r="D7" i="48" l="1"/>
  <c r="G7" i="48" s="1"/>
  <c r="I10" i="48" s="1"/>
  <c r="R12" i="36"/>
  <c r="D10" i="36"/>
  <c r="D12" i="36" s="1"/>
  <c r="C17" i="36"/>
  <c r="C24" i="36" s="1"/>
  <c r="C31" i="36" s="1"/>
  <c r="R24" i="36"/>
  <c r="R31" i="36" s="1"/>
  <c r="D13" i="35"/>
  <c r="E13" i="35" s="1"/>
  <c r="Q24" i="36"/>
  <c r="Q12" i="36"/>
  <c r="C10" i="36" l="1"/>
  <c r="C12" i="36" s="1"/>
  <c r="D27" i="48"/>
  <c r="E27" i="48"/>
  <c r="R33" i="36"/>
  <c r="R42" i="36" s="1"/>
  <c r="D8" i="35"/>
  <c r="E8" i="35" s="1"/>
  <c r="C33" i="36"/>
  <c r="C42" i="36" s="1"/>
  <c r="D17" i="36"/>
  <c r="G27" i="48"/>
  <c r="Q31" i="36"/>
  <c r="Q33" i="36" s="1"/>
  <c r="U10" i="36" l="1"/>
  <c r="U12" i="36"/>
  <c r="D10" i="35"/>
  <c r="E56" i="35"/>
  <c r="F13" i="35"/>
  <c r="F20" i="35" s="1"/>
  <c r="F28" i="35" s="1"/>
  <c r="D20" i="35"/>
  <c r="D28" i="35" s="1"/>
  <c r="D24" i="36"/>
  <c r="U17" i="36"/>
  <c r="Q42" i="36"/>
  <c r="F47" i="35" l="1"/>
  <c r="D30" i="35"/>
  <c r="D31" i="36"/>
  <c r="U24" i="36"/>
  <c r="E10" i="35"/>
  <c r="D38" i="35" l="1"/>
  <c r="D33" i="36"/>
  <c r="U31" i="36"/>
  <c r="D42" i="36" l="1"/>
  <c r="U42" i="36" s="1"/>
  <c r="U33" i="36"/>
  <c r="E20" i="35"/>
  <c r="E28" i="35" l="1"/>
  <c r="E52" i="35" l="1"/>
  <c r="E47" i="35"/>
  <c r="E30" i="35"/>
  <c r="E38" i="35" l="1"/>
  <c r="E48" i="35" s="1"/>
  <c r="E41" i="35"/>
  <c r="E43" i="35" l="1"/>
  <c r="E42" i="35"/>
  <c r="E53" i="35"/>
  <c r="E58" i="35" l="1"/>
  <c r="E59" i="35" s="1"/>
  <c r="E61" i="35"/>
  <c r="H62" i="35" s="1"/>
  <c r="F8" i="35" l="1"/>
  <c r="F10" i="35" s="1"/>
  <c r="E62" i="35"/>
  <c r="F30" i="35" l="1"/>
  <c r="F38" i="35" l="1"/>
  <c r="F41" i="35"/>
  <c r="F42" i="35" l="1"/>
  <c r="F43" i="35"/>
  <c r="F48" i="35"/>
</calcChain>
</file>

<file path=xl/sharedStrings.xml><?xml version="1.0" encoding="utf-8"?>
<sst xmlns="http://schemas.openxmlformats.org/spreadsheetml/2006/main" count="852" uniqueCount="449">
  <si>
    <t>Line</t>
  </si>
  <si>
    <t>Description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</si>
  <si>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</si>
  <si>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</si>
  <si>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</si>
  <si>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</si>
  <si>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</si>
  <si>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</si>
  <si>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</si>
  <si>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</si>
  <si>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</si>
  <si>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</si>
  <si>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</si>
  <si>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</si>
  <si>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</si>
  <si>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Adjustment</t>
  </si>
  <si>
    <t>Year</t>
  </si>
  <si>
    <t>Month</t>
  </si>
  <si>
    <t>(1)</t>
  </si>
  <si>
    <t>(3)</t>
  </si>
  <si>
    <t>(2)</t>
  </si>
  <si>
    <t>#</t>
  </si>
  <si>
    <t>Subtotal</t>
  </si>
  <si>
    <t>Revenue</t>
  </si>
  <si>
    <t>Expense</t>
  </si>
  <si>
    <t>(4)</t>
  </si>
  <si>
    <t>Reference Schedule:  1.02</t>
  </si>
  <si>
    <t>Reference Schedule:  1.01</t>
  </si>
  <si>
    <t>Reference Schedule:  1.08</t>
  </si>
  <si>
    <t>Depreciation</t>
  </si>
  <si>
    <t>Donations</t>
  </si>
  <si>
    <t>Rate Case Expenses</t>
  </si>
  <si>
    <t>G&amp;T Capital Credits</t>
  </si>
  <si>
    <t xml:space="preserve">Revenue </t>
  </si>
  <si>
    <t>Total Cost of Electric Service</t>
  </si>
  <si>
    <t>Non-Operating Margins - Interest</t>
  </si>
  <si>
    <t>Non-Operating Margins - Other</t>
  </si>
  <si>
    <t>Test Year Amount</t>
  </si>
  <si>
    <t>Pro Forma Year Amount</t>
  </si>
  <si>
    <t>This adjustment removes the FAC revenues and expenses from the test period.</t>
  </si>
  <si>
    <t>This adjustment removes the Envionmental Surcharge revenues and expenses from the test period.</t>
  </si>
  <si>
    <t>Item</t>
  </si>
  <si>
    <t>Total Amount</t>
  </si>
  <si>
    <t>Amortization Period (Years)</t>
  </si>
  <si>
    <t>Total</t>
  </si>
  <si>
    <t>Annual Amortization Amount</t>
  </si>
  <si>
    <t>This adjustment estimates the rate case costs amortized over a 3 year period, consistent with standard Commission practice.</t>
  </si>
  <si>
    <t>Year-End Customers</t>
  </si>
  <si>
    <t>(5)</t>
  </si>
  <si>
    <t>(6)</t>
  </si>
  <si>
    <t>(7)</t>
  </si>
  <si>
    <t>(8)</t>
  </si>
  <si>
    <t>Average</t>
  </si>
  <si>
    <t>Total kWh</t>
  </si>
  <si>
    <t>Average kWh</t>
  </si>
  <si>
    <t>Year-End kWh Adjustment</t>
  </si>
  <si>
    <t>Current Base Rate Revenue</t>
  </si>
  <si>
    <t>Average Revenue per kWh</t>
  </si>
  <si>
    <t>Year End Revenue Adj</t>
  </si>
  <si>
    <t>Revenue Adjustment</t>
  </si>
  <si>
    <t>Expense Adjustment</t>
  </si>
  <si>
    <t>Year End Expense Adj</t>
  </si>
  <si>
    <t>Total Purchased Power Expense</t>
  </si>
  <si>
    <t>Less Environmental Surcharge</t>
  </si>
  <si>
    <t>Less Fuel Adjustment Clause</t>
  </si>
  <si>
    <t>Adjusted Purchased Power Expense</t>
  </si>
  <si>
    <t>Total Purchased Power kWh</t>
  </si>
  <si>
    <t>End of Period Increase over Avg</t>
  </si>
  <si>
    <t>For Expense Adjustment:</t>
  </si>
  <si>
    <t>Avg Adj Purchase Exp per kWh</t>
  </si>
  <si>
    <t>Net Rev</t>
  </si>
  <si>
    <t>Interest on LTD</t>
  </si>
  <si>
    <t>TIER</t>
  </si>
  <si>
    <t>Operating Revenues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</si>
  <si>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</si>
  <si>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</si>
  <si>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</si>
  <si>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</si>
  <si>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</si>
  <si>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</si>
  <si>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</si>
  <si>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</si>
  <si>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</si>
  <si>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</si>
  <si>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</si>
  <si>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- Other</t>
  </si>
  <si>
    <t>Other Deductions</t>
  </si>
  <si>
    <t>Utility Operating Margins</t>
  </si>
  <si>
    <t>Other Capital Credits</t>
  </si>
  <si>
    <t>Net Margins</t>
  </si>
  <si>
    <t>TIER excluding GTCC</t>
  </si>
  <si>
    <t>OTIER</t>
  </si>
  <si>
    <t>Rate</t>
  </si>
  <si>
    <t>Operating Revenues:</t>
  </si>
  <si>
    <t>Services</t>
  </si>
  <si>
    <t>Total Revenues</t>
  </si>
  <si>
    <t xml:space="preserve">        Base Rates</t>
  </si>
  <si>
    <t xml:space="preserve">    Total Operating Expenses</t>
  </si>
  <si>
    <t>Total Non-Operating Margins</t>
  </si>
  <si>
    <t>Interest on Long Term Debt</t>
  </si>
  <si>
    <t>Interest Expense - Other</t>
  </si>
  <si>
    <t>Base Rates</t>
  </si>
  <si>
    <t>Other Electric Revenue</t>
  </si>
  <si>
    <t>Distribution - Operations</t>
  </si>
  <si>
    <t>Distribution - Maintenance</t>
  </si>
  <si>
    <t>Consumer Accounts</t>
  </si>
  <si>
    <t>Sales</t>
  </si>
  <si>
    <t>Administrative and General</t>
  </si>
  <si>
    <t>Consulting - Catalyst Consulting LLC</t>
  </si>
  <si>
    <t>Actual Test Yr</t>
  </si>
  <si>
    <t>Pro Forma Test Yr</t>
  </si>
  <si>
    <t>Reference Schedule:  1.05</t>
  </si>
  <si>
    <t>Reference Schedule:  1.04</t>
  </si>
  <si>
    <t>Reference Schedule:  1.03</t>
  </si>
  <si>
    <t>Reference Schedule:  1.09</t>
  </si>
  <si>
    <t>Reference Schedule:  1.10</t>
  </si>
  <si>
    <t>Environmental Surcharge</t>
  </si>
  <si>
    <t xml:space="preserve">Fuel Adjustment Clause </t>
  </si>
  <si>
    <t>Transportation</t>
  </si>
  <si>
    <t>Meters</t>
  </si>
  <si>
    <t>Administrative &amp; General</t>
  </si>
  <si>
    <t>580-589</t>
  </si>
  <si>
    <t>Operations</t>
  </si>
  <si>
    <t>590-598</t>
  </si>
  <si>
    <t>Maintenance</t>
  </si>
  <si>
    <t>901-905</t>
  </si>
  <si>
    <t>920-935</t>
  </si>
  <si>
    <t>Pro Forma Adj</t>
  </si>
  <si>
    <t>A</t>
  </si>
  <si>
    <t>B</t>
  </si>
  <si>
    <t>Alloc</t>
  </si>
  <si>
    <t>Labor $</t>
  </si>
  <si>
    <t>Test Yr Ending Bal</t>
  </si>
  <si>
    <t>Normalized Expense</t>
  </si>
  <si>
    <t>Test Year Expense</t>
  </si>
  <si>
    <t>Acct #</t>
  </si>
  <si>
    <t>Fully Depr Items</t>
  </si>
  <si>
    <t>Distribution Plant</t>
  </si>
  <si>
    <t>Station equipment</t>
  </si>
  <si>
    <t>Poles, towers &amp; fixtures</t>
  </si>
  <si>
    <t>Overhead conductors &amp; devices</t>
  </si>
  <si>
    <t>Underground conductor &amp; devices</t>
  </si>
  <si>
    <t>Line transformers</t>
  </si>
  <si>
    <t>Land</t>
  </si>
  <si>
    <t>General Plant</t>
  </si>
  <si>
    <t>Transporation Charged to Clearing</t>
  </si>
  <si>
    <t>Allocation of Clearing to O&amp;M</t>
  </si>
  <si>
    <t>Depr $</t>
  </si>
  <si>
    <t>Distribution &amp; General Subtotal</t>
  </si>
  <si>
    <t>Total Operating Revenue</t>
  </si>
  <si>
    <t>Total Sales of Electric Energy</t>
  </si>
  <si>
    <t>Cash Receipts from Lenders</t>
  </si>
  <si>
    <t>Pro Forma Amount</t>
  </si>
  <si>
    <t>Variance</t>
  </si>
  <si>
    <t>Summary of Pro Forma Adjustments</t>
  </si>
  <si>
    <t>Fuel Adjustment Clause</t>
  </si>
  <si>
    <t>Non-Operating Income</t>
  </si>
  <si>
    <t>Net Margin</t>
  </si>
  <si>
    <t>This adjustment adjusts the test year expenses and revenues to reflect the number of customers at the end of the test year.</t>
  </si>
  <si>
    <t>Reference Schedule</t>
  </si>
  <si>
    <t>Summary of Adjustments to Test Year Statement of Operations</t>
  </si>
  <si>
    <t>Summary of Adjustments to Test Year Balance Sheet</t>
  </si>
  <si>
    <t>Assets and Other Debits</t>
  </si>
  <si>
    <t>Total Utility Plant in Service</t>
  </si>
  <si>
    <t>Construction Work in Progress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</si>
  <si>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</si>
  <si>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</si>
  <si>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</si>
  <si>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</si>
  <si>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</si>
  <si>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</si>
  <si>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</si>
  <si>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</si>
  <si>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</si>
  <si>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</si>
  <si>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</si>
  <si>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Other (Net)</t>
  </si>
  <si>
    <t>Accts Receivable - Sales Energy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</si>
  <si>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</si>
  <si>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</si>
  <si>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</si>
  <si>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</si>
  <si>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</si>
  <si>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</si>
  <si>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</si>
  <si>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</si>
  <si>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</si>
  <si>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</si>
  <si>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</si>
  <si>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</si>
  <si>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</si>
  <si>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</si>
  <si>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</si>
  <si>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FFB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</si>
  <si>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</si>
  <si>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</si>
  <si>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</si>
  <si>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</si>
  <si>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</si>
  <si>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</si>
  <si>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</si>
  <si>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</si>
  <si>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</si>
  <si>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</si>
  <si>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</si>
  <si>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</si>
  <si>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Pro Forma Adjs</t>
  </si>
  <si>
    <t>Statement of Operations &amp; Revenue Requirement</t>
  </si>
  <si>
    <t>Income(Loss) from Equity Investments</t>
  </si>
  <si>
    <t>29a</t>
  </si>
  <si>
    <t>Income(Loss) from Equity Invstmts</t>
  </si>
  <si>
    <t>For the 12 Months Ended December 31, 2019</t>
  </si>
  <si>
    <t>Target TIER</t>
  </si>
  <si>
    <t>Margins at Target TIER</t>
  </si>
  <si>
    <t>Revenue Requirement</t>
  </si>
  <si>
    <t>Revenue Deficiency (Excess)</t>
  </si>
  <si>
    <t>Target OTIER</t>
  </si>
  <si>
    <t>Margins at Target OTIER</t>
  </si>
  <si>
    <t>Cap on Increase</t>
  </si>
  <si>
    <t>Capped Increase Amount</t>
  </si>
  <si>
    <t xml:space="preserve">Permissible Increase </t>
  </si>
  <si>
    <t>Life Insurance Premiums</t>
  </si>
  <si>
    <t xml:space="preserve">Test Period </t>
  </si>
  <si>
    <t>Street Lighting / signal systems</t>
  </si>
  <si>
    <t>Depreciation Expense Normalization</t>
  </si>
  <si>
    <t>Actual Test Year</t>
  </si>
  <si>
    <t>Directors Expense</t>
  </si>
  <si>
    <t>Year-End Customer Normalization</t>
  </si>
  <si>
    <t>A+B</t>
  </si>
  <si>
    <t>Balance Sheet Accounts</t>
  </si>
  <si>
    <t>This adjustment normalizes depreciation expenses by replacing test year actual expenses with test year end balances, less any fully depreciated items, at approved depreciation rates.</t>
  </si>
  <si>
    <t>907-912</t>
  </si>
  <si>
    <t>Capital</t>
  </si>
  <si>
    <t>Pro Forma Adjustments</t>
  </si>
  <si>
    <t xml:space="preserve">Reference Schedule &gt;     </t>
  </si>
  <si>
    <t xml:space="preserve">Item  &gt;     </t>
  </si>
  <si>
    <t>Proposed Rates</t>
  </si>
  <si>
    <t>Increase $</t>
  </si>
  <si>
    <t>Increase %</t>
  </si>
  <si>
    <t>Investment in Subsidiary Companies</t>
  </si>
  <si>
    <t>Investment in Economic Development Projects</t>
  </si>
  <si>
    <t>Special Funds</t>
  </si>
  <si>
    <t>Current Maturities LTD</t>
  </si>
  <si>
    <t>Current Maturities LTD - Econ Dev</t>
  </si>
  <si>
    <t>Reference Schedule:  1.06</t>
  </si>
  <si>
    <t>Reference Schedule:  1.07</t>
  </si>
  <si>
    <t>Reference Schedule:  1.11</t>
  </si>
  <si>
    <t>MEADE COUNTY R.E.C.C.</t>
  </si>
  <si>
    <t>Member Rate Stability Mechanism</t>
  </si>
  <si>
    <t>Non-Smelter Non-FAC PPA</t>
  </si>
  <si>
    <t>Member Revenue Stability Mechanism</t>
  </si>
  <si>
    <t>Security Lights</t>
  </si>
  <si>
    <t>Wages &amp; Salaries</t>
  </si>
  <si>
    <t xml:space="preserve">   Total Utility Plant</t>
  </si>
  <si>
    <t>MEADE COUNTY RURAL ELECTRIC COOPERATIVE CORPORATION</t>
  </si>
  <si>
    <t>Donations, Promotional Advertising &amp; Dues</t>
  </si>
  <si>
    <t>Certain Annual Meeting Expenses</t>
  </si>
  <si>
    <t>Frankfort &amp; Washington Youth Tours</t>
  </si>
  <si>
    <t>NRECA dues</t>
  </si>
  <si>
    <t>KEC dues</t>
  </si>
  <si>
    <t>426.40</t>
  </si>
  <si>
    <t>930.20</t>
  </si>
  <si>
    <t>EXP ADJ</t>
  </si>
  <si>
    <t>C</t>
  </si>
  <si>
    <t>E</t>
  </si>
  <si>
    <t>F</t>
  </si>
  <si>
    <t>G</t>
  </si>
  <si>
    <t>This adjustment removes charitable donations, promotional advertising expenses, and dues from the revenue requirement consistent with standard Commission practices.</t>
  </si>
  <si>
    <t>Directors Expenses</t>
  </si>
  <si>
    <t>Sipes</t>
  </si>
  <si>
    <t>Barr</t>
  </si>
  <si>
    <t>Creech</t>
  </si>
  <si>
    <t>Wilson</t>
  </si>
  <si>
    <t>Sills</t>
  </si>
  <si>
    <t>Butler</t>
  </si>
  <si>
    <t>Brite</t>
  </si>
  <si>
    <t>NRECA Annual Conference</t>
  </si>
  <si>
    <t>NRECA Director Training</t>
  </si>
  <si>
    <t>KEC Committee Meetings</t>
  </si>
  <si>
    <t>KEC Annual Meeting</t>
  </si>
  <si>
    <t>BREC Annual Meeting</t>
  </si>
  <si>
    <t>AD&amp;D Insurance</t>
  </si>
  <si>
    <t>This adjustment removes certain Director expenses consistent with recent Commission orders and standard Commission practices.</t>
  </si>
  <si>
    <t>Hours Worked</t>
  </si>
  <si>
    <t>Actual Test Year Wages</t>
  </si>
  <si>
    <t>Pro Forma Wages at 2,080 Hours</t>
  </si>
  <si>
    <t>Pro Forma Adjustment</t>
  </si>
  <si>
    <t>ID</t>
  </si>
  <si>
    <t>Regular</t>
  </si>
  <si>
    <t>Overtime</t>
  </si>
  <si>
    <t>401(k) Contribution Match Expense</t>
  </si>
  <si>
    <t>Empl #</t>
  </si>
  <si>
    <t>Test Year 401k Match Expense</t>
  </si>
  <si>
    <t>Pro Forma 401k Match Expense</t>
  </si>
  <si>
    <t>Notes</t>
  </si>
  <si>
    <t>Note</t>
  </si>
  <si>
    <t>This adjustment normalizes actual test year labor to 2020 wages rates and headcount.</t>
  </si>
  <si>
    <t>Health Insurance Premiums</t>
  </si>
  <si>
    <t>Option</t>
  </si>
  <si>
    <t>Total Cost $</t>
  </si>
  <si>
    <t>Employee %</t>
  </si>
  <si>
    <t>Employee $</t>
  </si>
  <si>
    <t>Utility %</t>
  </si>
  <si>
    <t>Utility $</t>
  </si>
  <si>
    <t>Normalized Test Year</t>
  </si>
  <si>
    <t>Employee</t>
  </si>
  <si>
    <t>Employee &amp; Spouse</t>
  </si>
  <si>
    <t>Employee &amp; Child(ren)</t>
  </si>
  <si>
    <t>Employee &amp; Family</t>
  </si>
  <si>
    <t>Pro Forma Year</t>
  </si>
  <si>
    <t>Dental Insurance Premiums</t>
  </si>
  <si>
    <t>Vision Insurance Premiums</t>
  </si>
  <si>
    <t>Grand Total Adjustment for Medical, Dental and Vision Insurance</t>
  </si>
  <si>
    <t>Retirement Plan Contributions</t>
  </si>
  <si>
    <t>Health, Dental &amp; Vision Insurance Premiums</t>
  </si>
  <si>
    <t>Life Insurance</t>
  </si>
  <si>
    <t>D</t>
  </si>
  <si>
    <t>(D * 2)</t>
  </si>
  <si>
    <t>((F-E)/F)*B</t>
  </si>
  <si>
    <t>Total Premium</t>
  </si>
  <si>
    <t>Lesser of $50k or Salary</t>
  </si>
  <si>
    <t>Coverage - 2x Salary</t>
  </si>
  <si>
    <t>Amount to Exclude</t>
  </si>
  <si>
    <t>Allowed Total</t>
  </si>
  <si>
    <t>This adjustment removes Life insurance premiums for coverage above the lesser of an employee's annual salary or $50,000 from the test period.</t>
  </si>
  <si>
    <t>Rate Riders</t>
  </si>
  <si>
    <t xml:space="preserve">        Rate Riders</t>
  </si>
  <si>
    <t>Operating Margins - Prior Year</t>
  </si>
  <si>
    <t>Long Term Debt - REA (Net)</t>
  </si>
  <si>
    <t>Long Term Debt - Other - REA GUAR</t>
  </si>
  <si>
    <t>Reference Schedule: 1.13</t>
  </si>
  <si>
    <t>Employee Gifts &amp; Legislative</t>
  </si>
  <si>
    <t>Residential Rate 1</t>
  </si>
  <si>
    <t>Small Comm Rate 2</t>
  </si>
  <si>
    <t>3 Phase Rate 3</t>
  </si>
  <si>
    <t>This adjustment removes the MRSM revenues and expenses from the test period.</t>
  </si>
  <si>
    <t>This adjustment removes the Non-Smelter Non-FAC PPA revenues and expenses from the test period.</t>
  </si>
  <si>
    <t>For the 12 Months Ended December 31, 2024</t>
  </si>
  <si>
    <t>Legal - Honaker Law Offcice</t>
  </si>
  <si>
    <t>Meters RF</t>
  </si>
  <si>
    <t>MEADE COUNTY RURAL ELECTRIC COOPERATIAVE CORPORATION</t>
  </si>
  <si>
    <t>For the 12 Months Ended Dec 31,2024</t>
  </si>
  <si>
    <t>Interest Expense</t>
  </si>
  <si>
    <t>Note #</t>
  </si>
  <si>
    <t>Oustanding Principal 12/31/2024</t>
  </si>
  <si>
    <t>Lender</t>
  </si>
  <si>
    <t>Interest</t>
  </si>
  <si>
    <t>9019</t>
  </si>
  <si>
    <t>CFC</t>
  </si>
  <si>
    <t>9020</t>
  </si>
  <si>
    <t>9021</t>
  </si>
  <si>
    <t>1-1</t>
  </si>
  <si>
    <t>FFB</t>
  </si>
  <si>
    <t>2-1</t>
  </si>
  <si>
    <t>2-2</t>
  </si>
  <si>
    <t>2-3</t>
  </si>
  <si>
    <t>2-4</t>
  </si>
  <si>
    <t>3-1</t>
  </si>
  <si>
    <t>3-2</t>
  </si>
  <si>
    <t>3-3</t>
  </si>
  <si>
    <t>3-4</t>
  </si>
  <si>
    <t>4-1</t>
  </si>
  <si>
    <t>4-2</t>
  </si>
  <si>
    <t>4-3</t>
  </si>
  <si>
    <t>4-4</t>
  </si>
  <si>
    <t>RET-7-1</t>
  </si>
  <si>
    <t>RUS</t>
  </si>
  <si>
    <t>RET-7-2</t>
  </si>
  <si>
    <t>RET-7-3</t>
  </si>
  <si>
    <t>RET-9-1</t>
  </si>
  <si>
    <t>RET-9-2</t>
  </si>
  <si>
    <t>RET-9-3</t>
  </si>
  <si>
    <t>RET-9-5</t>
  </si>
  <si>
    <t>RET-9-6</t>
  </si>
  <si>
    <t>RET-9-7</t>
  </si>
  <si>
    <t>RET-10-1</t>
  </si>
  <si>
    <t>RET-10-2</t>
  </si>
  <si>
    <t>RET-10-3</t>
  </si>
  <si>
    <t>RET-10-4</t>
  </si>
  <si>
    <t>RET-10-5</t>
  </si>
  <si>
    <t>RET-10-6</t>
  </si>
  <si>
    <t>RET-10-7</t>
  </si>
  <si>
    <t>Line of Credit</t>
  </si>
  <si>
    <t>draw on 12/30/2024</t>
  </si>
  <si>
    <t>draw on 1/24/2025</t>
  </si>
  <si>
    <t>draw on 2/24/2025</t>
  </si>
  <si>
    <t>draw on 3/21/2025</t>
  </si>
  <si>
    <t>draw on 4/24/2025</t>
  </si>
  <si>
    <t>Adjustment - Account 427</t>
  </si>
  <si>
    <t>This adjustment normalizes the interest on Interest Expense from test year to recent amounts.</t>
  </si>
  <si>
    <t>Promotional Advertising</t>
  </si>
  <si>
    <t>Hardesty</t>
  </si>
  <si>
    <t>Items to be removed:</t>
  </si>
  <si>
    <t>Amount</t>
  </si>
  <si>
    <t xml:space="preserve">NRECA Annual Conference </t>
  </si>
  <si>
    <t xml:space="preserve">KEC Annual meeting </t>
  </si>
  <si>
    <t>Total to be removed:</t>
  </si>
  <si>
    <t>R&amp;S contributions ended in Dec 2024 so only receiving 401k contributions</t>
  </si>
  <si>
    <t>R&amp;S contributions ended in April 2024 so only receiving 401k contributions</t>
  </si>
  <si>
    <t>This adjustment removes the contribution for the least generous plans for employer retirement contributions for employees participating in multiple benefit packages.</t>
  </si>
  <si>
    <t>Ending 2024 Rate</t>
  </si>
  <si>
    <t>Ending 2024 Salary</t>
  </si>
  <si>
    <t>2025 Wage Rate</t>
  </si>
  <si>
    <t>Doubletime</t>
  </si>
  <si>
    <t>Regular hours not paid</t>
  </si>
  <si>
    <t>Wage</t>
  </si>
  <si>
    <t>Normalized Wages</t>
  </si>
  <si>
    <t>@ 2,080 Hours</t>
  </si>
  <si>
    <t>Employee ID</t>
  </si>
  <si>
    <t>Reg Hrs</t>
  </si>
  <si>
    <t>OT Hrs</t>
  </si>
  <si>
    <t>Current</t>
  </si>
  <si>
    <t>last day 6/14/2024</t>
  </si>
  <si>
    <t>maternity leave in 2024</t>
  </si>
  <si>
    <t>hire date 6/10/2024</t>
  </si>
  <si>
    <t>last day 8/9/2024</t>
  </si>
  <si>
    <t>hire date 8/26/2024</t>
  </si>
  <si>
    <t>hire date 9/3/2024</t>
  </si>
  <si>
    <t>Reference Schedule:  1.14</t>
  </si>
  <si>
    <t>This adjustment normalizes utility contributions to employee premiums for medical, dental and vision insurance to the amounts specified by the U.S. Bureau of Labor &amp; Statistics pursuant to the requirements of the regulation.</t>
  </si>
  <si>
    <t>Reference Schedule: 1.12</t>
  </si>
  <si>
    <t>Less NFPPA</t>
  </si>
  <si>
    <t>Less MRSM</t>
  </si>
  <si>
    <t>Wholesale Rate RDS</t>
  </si>
  <si>
    <t>Large 1000 KVA TOD  Rate 4</t>
  </si>
  <si>
    <t>Sponsorships Memberships</t>
  </si>
  <si>
    <t>Part Time</t>
  </si>
  <si>
    <t>part time; going full time June 2025</t>
  </si>
  <si>
    <t>H</t>
  </si>
  <si>
    <t>Balancing Adj</t>
  </si>
  <si>
    <t>I</t>
  </si>
  <si>
    <t>J</t>
  </si>
  <si>
    <t>K</t>
  </si>
  <si>
    <t>L</t>
  </si>
  <si>
    <t>M</t>
  </si>
  <si>
    <t>N</t>
  </si>
  <si>
    <t>O</t>
  </si>
  <si>
    <t>P</t>
  </si>
  <si>
    <t>Structures and improvements</t>
  </si>
  <si>
    <t>subtotal</t>
  </si>
  <si>
    <t>Office furniture &amp; equipment</t>
  </si>
  <si>
    <t>Stores Equipment</t>
  </si>
  <si>
    <t>Tools, shop and garage</t>
  </si>
  <si>
    <t>Laboratory Equipment</t>
  </si>
  <si>
    <t>Communications</t>
  </si>
  <si>
    <t>Miscellaneous</t>
  </si>
  <si>
    <t>Regulatory Asset</t>
  </si>
  <si>
    <t>Old Meters Not Fully Depreciated</t>
  </si>
  <si>
    <t>Actual Request w/Rounding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</si>
</sst>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* #,##0.00000_);_(* \(#,##0.00000\);_(* &quot;-&quot;??_);_(@_)"/>
    <numFmt numFmtId="168" formatCode="0.0%"/>
    <numFmt numFmtId="169" formatCode="\(#\)"/>
    <numFmt numFmtId="170" formatCode="m/d/yy;@"/>
    <numFmt numFmtId="171" formatCode="0.0000%"/>
    <numFmt numFmtId="172" formatCode="0.00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sz val="12"/>
      <name val="P-TIMES"/>
    </font>
    <font>
      <sz val="11"/>
      <name val="P-TIMES"/>
    </font>
    <font>
      <u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FF"/>
      <name val="Arial"/>
      <family val="2"/>
    </font>
    <font>
      <u/>
      <sz val="11"/>
      <color theme="1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0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4" fillId="0" borderId="0" xfId="3" applyFont="1" applyAlignment="1">
      <alignment horizontal="right"/>
    </xf>
    <xf numFmtId="0" fontId="5" fillId="0" borderId="0" xfId="3" applyFont="1"/>
    <xf numFmtId="0" fontId="4" fillId="0" borderId="0" xfId="3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5" fillId="0" borderId="0" xfId="1" applyNumberFormat="1" applyFont="1"/>
    <xf numFmtId="0" fontId="5" fillId="0" borderId="0" xfId="0" applyFont="1" applyAlignment="1">
      <alignment horizontal="left"/>
    </xf>
    <xf numFmtId="0" fontId="5" fillId="0" borderId="3" xfId="0" applyFont="1" applyBorder="1"/>
    <xf numFmtId="164" fontId="5" fillId="0" borderId="0" xfId="1" applyNumberFormat="1" applyFont="1" applyFill="1" applyBorder="1"/>
    <xf numFmtId="0" fontId="5" fillId="0" borderId="2" xfId="0" applyFont="1" applyBorder="1"/>
    <xf numFmtId="164" fontId="5" fillId="0" borderId="2" xfId="1" applyNumberFormat="1" applyFont="1" applyBorder="1"/>
    <xf numFmtId="165" fontId="5" fillId="0" borderId="0" xfId="2" applyNumberFormat="1" applyFont="1"/>
    <xf numFmtId="165" fontId="5" fillId="0" borderId="0" xfId="0" applyNumberFormat="1" applyFont="1"/>
    <xf numFmtId="165" fontId="5" fillId="0" borderId="0" xfId="2" applyNumberFormat="1" applyFont="1" applyFill="1"/>
    <xf numFmtId="43" fontId="5" fillId="0" borderId="0" xfId="2" applyFont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5" fontId="5" fillId="0" borderId="0" xfId="2" applyNumberFormat="1" applyFont="1" applyBorder="1"/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164" fontId="5" fillId="0" borderId="3" xfId="1" applyNumberFormat="1" applyFont="1" applyFill="1" applyBorder="1"/>
    <xf numFmtId="165" fontId="2" fillId="0" borderId="0" xfId="2" applyNumberFormat="1" applyFont="1" applyFill="1"/>
    <xf numFmtId="164" fontId="2" fillId="0" borderId="0" xfId="1" applyNumberFormat="1" applyFont="1" applyBorder="1" applyProtection="1"/>
    <xf numFmtId="168" fontId="2" fillId="0" borderId="0" xfId="5" applyNumberFormat="1" applyFont="1" applyBorder="1" applyProtection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9" fontId="2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164" fontId="2" fillId="0" borderId="0" xfId="1" applyNumberFormat="1" applyFont="1" applyBorder="1" applyAlignment="1" applyProtection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168" fontId="2" fillId="0" borderId="2" xfId="5" applyNumberFormat="1" applyFont="1" applyBorder="1" applyProtection="1"/>
    <xf numFmtId="0" fontId="13" fillId="0" borderId="0" xfId="0" applyFont="1" applyAlignment="1">
      <alignment horizontal="right" wrapText="1"/>
    </xf>
    <xf numFmtId="41" fontId="2" fillId="0" borderId="0" xfId="0" applyNumberFormat="1" applyFont="1"/>
    <xf numFmtId="164" fontId="2" fillId="0" borderId="7" xfId="1" applyNumberFormat="1" applyFont="1" applyBorder="1" applyAlignment="1" applyProtection="1">
      <alignment horizontal="center"/>
    </xf>
    <xf numFmtId="37" fontId="7" fillId="0" borderId="0" xfId="4" applyNumberFormat="1" applyFont="1"/>
    <xf numFmtId="165" fontId="2" fillId="0" borderId="2" xfId="2" applyNumberFormat="1" applyFont="1" applyFill="1" applyBorder="1"/>
    <xf numFmtId="0" fontId="5" fillId="0" borderId="0" xfId="0" applyFont="1" applyAlignment="1">
      <alignment vertical="center"/>
    </xf>
    <xf numFmtId="169" fontId="2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3" xfId="2" applyNumberFormat="1" applyFont="1" applyFill="1" applyBorder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0" xfId="4" applyFont="1"/>
    <xf numFmtId="0" fontId="11" fillId="0" borderId="0" xfId="4" applyFont="1"/>
    <xf numFmtId="0" fontId="7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2" fontId="7" fillId="0" borderId="0" xfId="4" applyNumberFormat="1" applyFont="1" applyAlignment="1">
      <alignment horizontal="center"/>
    </xf>
    <xf numFmtId="0" fontId="12" fillId="0" borderId="0" xfId="4" applyFont="1" applyAlignment="1">
      <alignment horizontal="centerContinuous"/>
    </xf>
    <xf numFmtId="0" fontId="7" fillId="0" borderId="1" xfId="4" applyFont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0" xfId="4" applyFont="1"/>
    <xf numFmtId="165" fontId="7" fillId="0" borderId="0" xfId="2" applyNumberFormat="1" applyFont="1" applyFill="1"/>
    <xf numFmtId="37" fontId="7" fillId="0" borderId="1" xfId="4" applyNumberFormat="1" applyFont="1" applyBorder="1"/>
    <xf numFmtId="0" fontId="7" fillId="0" borderId="5" xfId="4" applyFont="1" applyBorder="1"/>
    <xf numFmtId="37" fontId="7" fillId="0" borderId="5" xfId="4" applyNumberFormat="1" applyFont="1" applyBorder="1"/>
    <xf numFmtId="37" fontId="7" fillId="0" borderId="0" xfId="4" applyNumberFormat="1" applyFont="1" applyAlignment="1">
      <alignment horizontal="right"/>
    </xf>
    <xf numFmtId="0" fontId="7" fillId="0" borderId="6" xfId="4" applyFont="1" applyBorder="1"/>
    <xf numFmtId="37" fontId="7" fillId="0" borderId="6" xfId="4" applyNumberFormat="1" applyFont="1" applyBorder="1"/>
    <xf numFmtId="0" fontId="18" fillId="0" borderId="0" xfId="4" applyFont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5" fontId="5" fillId="0" borderId="2" xfId="2" applyNumberFormat="1" applyFont="1" applyBorder="1" applyAlignment="1">
      <alignment vertical="center"/>
    </xf>
    <xf numFmtId="168" fontId="2" fillId="0" borderId="0" xfId="5" applyNumberFormat="1" applyFont="1" applyFill="1" applyBorder="1" applyProtection="1"/>
    <xf numFmtId="168" fontId="2" fillId="0" borderId="3" xfId="5" applyNumberFormat="1" applyFont="1" applyFill="1" applyBorder="1" applyProtection="1"/>
    <xf numFmtId="0" fontId="14" fillId="0" borderId="1" xfId="0" applyFont="1" applyBorder="1" applyAlignment="1">
      <alignment horizontal="center"/>
    </xf>
    <xf numFmtId="169" fontId="14" fillId="0" borderId="1" xfId="0" quotePrefix="1" applyNumberFormat="1" applyFont="1" applyBorder="1" applyAlignment="1">
      <alignment horizontal="center"/>
    </xf>
    <xf numFmtId="0" fontId="17" fillId="0" borderId="0" xfId="0" applyFont="1"/>
    <xf numFmtId="0" fontId="4" fillId="0" borderId="0" xfId="0" applyFont="1"/>
    <xf numFmtId="165" fontId="2" fillId="0" borderId="0" xfId="2" applyNumberFormat="1" applyFont="1" applyProtection="1"/>
    <xf numFmtId="0" fontId="19" fillId="0" borderId="0" xfId="0" applyFont="1" applyAlignment="1">
      <alignment horizontal="left"/>
    </xf>
    <xf numFmtId="0" fontId="19" fillId="0" borderId="0" xfId="0" applyFont="1"/>
    <xf numFmtId="165" fontId="4" fillId="0" borderId="0" xfId="2" applyNumberFormat="1" applyFont="1" applyFill="1" applyAlignment="1"/>
    <xf numFmtId="165" fontId="4" fillId="0" borderId="0" xfId="2" applyNumberFormat="1" applyFont="1" applyFill="1" applyAlignment="1">
      <alignment horizontal="center"/>
    </xf>
    <xf numFmtId="165" fontId="2" fillId="0" borderId="3" xfId="2" applyNumberFormat="1" applyFont="1" applyBorder="1" applyProtection="1"/>
    <xf numFmtId="165" fontId="0" fillId="0" borderId="0" xfId="2" applyNumberFormat="1" applyFont="1" applyFill="1"/>
    <xf numFmtId="165" fontId="2" fillId="0" borderId="0" xfId="2" applyNumberFormat="1" applyFont="1" applyBorder="1" applyProtection="1"/>
    <xf numFmtId="165" fontId="2" fillId="0" borderId="2" xfId="2" applyNumberFormat="1" applyFont="1" applyBorder="1" applyProtection="1"/>
    <xf numFmtId="0" fontId="14" fillId="0" borderId="0" xfId="0" applyFont="1"/>
    <xf numFmtId="165" fontId="20" fillId="0" borderId="0" xfId="0" applyNumberFormat="1" applyFont="1"/>
    <xf numFmtId="165" fontId="2" fillId="0" borderId="8" xfId="2" applyNumberFormat="1" applyFont="1" applyFill="1" applyBorder="1"/>
    <xf numFmtId="43" fontId="2" fillId="0" borderId="0" xfId="2" applyFont="1" applyFill="1"/>
    <xf numFmtId="0" fontId="20" fillId="0" borderId="0" xfId="0" applyFont="1"/>
    <xf numFmtId="10" fontId="2" fillId="0" borderId="0" xfId="5" applyNumberFormat="1" applyFont="1" applyFill="1"/>
    <xf numFmtId="165" fontId="2" fillId="0" borderId="3" xfId="0" applyNumberFormat="1" applyFont="1" applyBorder="1"/>
    <xf numFmtId="0" fontId="21" fillId="0" borderId="0" xfId="0" applyFont="1"/>
    <xf numFmtId="0" fontId="2" fillId="0" borderId="1" xfId="0" applyFont="1" applyBorder="1"/>
    <xf numFmtId="10" fontId="2" fillId="0" borderId="1" xfId="0" applyNumberFormat="1" applyFont="1" applyBorder="1"/>
    <xf numFmtId="0" fontId="14" fillId="0" borderId="0" xfId="0" applyFont="1" applyAlignment="1">
      <alignment horizontal="center" wrapText="1"/>
    </xf>
    <xf numFmtId="164" fontId="2" fillId="0" borderId="3" xfId="1" applyNumberFormat="1" applyFont="1" applyBorder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center"/>
    </xf>
    <xf numFmtId="0" fontId="14" fillId="0" borderId="0" xfId="0" applyFont="1" applyAlignment="1">
      <alignment horizontal="center"/>
    </xf>
    <xf numFmtId="43" fontId="2" fillId="0" borderId="0" xfId="2" applyFont="1" applyBorder="1" applyAlignment="1" applyProtection="1">
      <alignment horizontal="left"/>
    </xf>
    <xf numFmtId="43" fontId="2" fillId="0" borderId="0" xfId="2" applyFont="1" applyBorder="1" applyAlignment="1" applyProtection="1">
      <alignment horizontal="center"/>
    </xf>
    <xf numFmtId="43" fontId="2" fillId="0" borderId="8" xfId="2" applyFont="1" applyBorder="1" applyAlignment="1" applyProtection="1">
      <alignment horizontal="left"/>
    </xf>
    <xf numFmtId="0" fontId="2" fillId="0" borderId="8" xfId="0" applyFont="1" applyBorder="1"/>
    <xf numFmtId="41" fontId="2" fillId="0" borderId="8" xfId="0" applyNumberFormat="1" applyFont="1" applyBorder="1"/>
    <xf numFmtId="10" fontId="2" fillId="0" borderId="8" xfId="0" applyNumberFormat="1" applyFont="1" applyBorder="1"/>
    <xf numFmtId="165" fontId="2" fillId="0" borderId="0" xfId="2" applyNumberFormat="1" applyFont="1" applyFill="1" applyAlignment="1">
      <alignment horizontal="right"/>
    </xf>
    <xf numFmtId="43" fontId="2" fillId="2" borderId="0" xfId="2" applyFont="1" applyFill="1"/>
    <xf numFmtId="165" fontId="2" fillId="2" borderId="0" xfId="2" applyNumberFormat="1" applyFont="1" applyFill="1"/>
    <xf numFmtId="165" fontId="2" fillId="2" borderId="3" xfId="0" applyNumberFormat="1" applyFont="1" applyFill="1" applyBorder="1"/>
    <xf numFmtId="10" fontId="2" fillId="2" borderId="1" xfId="0" applyNumberFormat="1" applyFont="1" applyFill="1" applyBorder="1"/>
    <xf numFmtId="0" fontId="7" fillId="0" borderId="1" xfId="4" applyFont="1" applyBorder="1" applyAlignment="1">
      <alignment horizontal="right" vertical="center"/>
    </xf>
    <xf numFmtId="10" fontId="2" fillId="0" borderId="0" xfId="0" applyNumberFormat="1" applyFont="1"/>
    <xf numFmtId="164" fontId="2" fillId="0" borderId="0" xfId="1" applyNumberFormat="1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22" fillId="0" borderId="0" xfId="0" applyFont="1"/>
    <xf numFmtId="0" fontId="22" fillId="0" borderId="0" xfId="0" applyFont="1" applyAlignment="1">
      <alignment horizontal="center" wrapText="1"/>
    </xf>
    <xf numFmtId="0" fontId="23" fillId="0" borderId="0" xfId="0" applyFont="1"/>
    <xf numFmtId="0" fontId="22" fillId="0" borderId="0" xfId="0" quotePrefix="1" applyFont="1" applyAlignment="1">
      <alignment horizontal="center"/>
    </xf>
    <xf numFmtId="2" fontId="22" fillId="0" borderId="0" xfId="0" quotePrefix="1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164" fontId="23" fillId="0" borderId="0" xfId="1" applyNumberFormat="1" applyFont="1" applyProtection="1">
      <protection locked="0"/>
    </xf>
    <xf numFmtId="164" fontId="23" fillId="0" borderId="0" xfId="2" applyNumberFormat="1" applyFont="1" applyProtection="1">
      <protection locked="0"/>
    </xf>
    <xf numFmtId="164" fontId="23" fillId="0" borderId="0" xfId="2" applyNumberFormat="1" applyFont="1" applyFill="1" applyBorder="1" applyAlignment="1" applyProtection="1">
      <protection locked="0"/>
    </xf>
    <xf numFmtId="164" fontId="23" fillId="0" borderId="1" xfId="2" applyNumberFormat="1" applyFont="1" applyFill="1" applyBorder="1" applyAlignment="1" applyProtection="1">
      <protection locked="0"/>
    </xf>
    <xf numFmtId="164" fontId="23" fillId="0" borderId="1" xfId="1" applyNumberFormat="1" applyFont="1" applyBorder="1" applyProtection="1">
      <protection locked="0"/>
    </xf>
    <xf numFmtId="164" fontId="23" fillId="0" borderId="1" xfId="2" applyNumberFormat="1" applyFont="1" applyBorder="1" applyProtection="1">
      <protection locked="0"/>
    </xf>
    <xf numFmtId="164" fontId="23" fillId="0" borderId="0" xfId="1" applyNumberFormat="1" applyFont="1" applyFill="1"/>
    <xf numFmtId="164" fontId="23" fillId="0" borderId="0" xfId="1" applyNumberFormat="1" applyFont="1" applyFill="1" applyBorder="1"/>
    <xf numFmtId="165" fontId="23" fillId="0" borderId="0" xfId="2" applyNumberFormat="1" applyFont="1"/>
    <xf numFmtId="164" fontId="23" fillId="0" borderId="0" xfId="0" applyNumberFormat="1" applyFont="1"/>
    <xf numFmtId="43" fontId="23" fillId="0" borderId="0" xfId="2" applyFont="1"/>
    <xf numFmtId="0" fontId="23" fillId="0" borderId="0" xfId="0" applyFont="1" applyAlignment="1">
      <alignment horizontal="center"/>
    </xf>
    <xf numFmtId="44" fontId="23" fillId="0" borderId="0" xfId="1" applyFont="1"/>
    <xf numFmtId="0" fontId="23" fillId="0" borderId="1" xfId="0" applyFont="1" applyBorder="1"/>
    <xf numFmtId="0" fontId="14" fillId="0" borderId="0" xfId="3" applyFont="1" applyAlignment="1">
      <alignment horizontal="right"/>
    </xf>
    <xf numFmtId="0" fontId="2" fillId="0" borderId="0" xfId="3" applyFont="1"/>
    <xf numFmtId="17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164" fontId="2" fillId="0" borderId="0" xfId="1" applyNumberFormat="1" applyFont="1"/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64" fontId="2" fillId="0" borderId="3" xfId="1" applyNumberFormat="1" applyFont="1" applyBorder="1"/>
    <xf numFmtId="164" fontId="23" fillId="0" borderId="0" xfId="1" applyNumberFormat="1" applyFont="1"/>
    <xf numFmtId="164" fontId="23" fillId="0" borderId="3" xfId="0" applyNumberFormat="1" applyFont="1" applyBorder="1"/>
    <xf numFmtId="0" fontId="23" fillId="0" borderId="3" xfId="0" applyFont="1" applyBorder="1"/>
    <xf numFmtId="0" fontId="5" fillId="0" borderId="0" xfId="0" applyFont="1" applyAlignment="1">
      <alignment horizontal="center" vertical="top" wrapText="1"/>
    </xf>
    <xf numFmtId="170" fontId="14" fillId="0" borderId="0" xfId="0" quotePrefix="1" applyNumberFormat="1" applyFont="1" applyAlignment="1">
      <alignment horizontal="center" wrapText="1"/>
    </xf>
    <xf numFmtId="0" fontId="4" fillId="0" borderId="1" xfId="0" quotePrefix="1" applyFont="1" applyBorder="1" applyAlignment="1">
      <alignment horizontal="center"/>
    </xf>
    <xf numFmtId="0" fontId="6" fillId="0" borderId="0" xfId="0" applyFont="1"/>
    <xf numFmtId="170" fontId="6" fillId="0" borderId="0" xfId="0" applyNumberFormat="1" applyFont="1" applyAlignment="1">
      <alignment horizontal="left"/>
    </xf>
    <xf numFmtId="170" fontId="2" fillId="0" borderId="0" xfId="0" applyNumberFormat="1" applyFont="1" applyAlignment="1">
      <alignment horizontal="center" wrapText="1"/>
    </xf>
    <xf numFmtId="165" fontId="6" fillId="0" borderId="0" xfId="2" applyNumberFormat="1" applyFont="1" applyFill="1" applyAlignment="1"/>
    <xf numFmtId="0" fontId="6" fillId="0" borderId="0" xfId="0" applyFont="1" applyAlignment="1">
      <alignment horizontal="left"/>
    </xf>
    <xf numFmtId="0" fontId="14" fillId="0" borderId="2" xfId="0" applyFont="1" applyBorder="1"/>
    <xf numFmtId="0" fontId="25" fillId="0" borderId="0" xfId="0" applyFont="1" applyAlignment="1">
      <alignment horizontal="right"/>
    </xf>
    <xf numFmtId="0" fontId="25" fillId="0" borderId="0" xfId="0" applyFont="1"/>
    <xf numFmtId="0" fontId="26" fillId="0" borderId="0" xfId="13" applyFont="1"/>
    <xf numFmtId="44" fontId="5" fillId="0" borderId="0" xfId="0" applyNumberFormat="1" applyFont="1"/>
    <xf numFmtId="10" fontId="2" fillId="0" borderId="0" xfId="0" applyNumberFormat="1" applyFont="1" applyAlignment="1">
      <alignment horizontal="right"/>
    </xf>
    <xf numFmtId="41" fontId="2" fillId="0" borderId="3" xfId="0" applyNumberFormat="1" applyFont="1" applyBorder="1"/>
    <xf numFmtId="43" fontId="20" fillId="0" borderId="0" xfId="2" applyFont="1" applyFill="1"/>
    <xf numFmtId="0" fontId="27" fillId="0" borderId="0" xfId="0" applyFont="1"/>
    <xf numFmtId="0" fontId="13" fillId="0" borderId="0" xfId="0" applyFont="1"/>
    <xf numFmtId="43" fontId="20" fillId="0" borderId="0" xfId="0" applyNumberFormat="1" applyFont="1"/>
    <xf numFmtId="0" fontId="20" fillId="0" borderId="0" xfId="0" applyFont="1" applyAlignment="1">
      <alignment horizontal="center"/>
    </xf>
    <xf numFmtId="165" fontId="2" fillId="0" borderId="0" xfId="2" applyNumberFormat="1" applyFont="1" applyFill="1" applyProtection="1"/>
    <xf numFmtId="0" fontId="14" fillId="0" borderId="0" xfId="3" applyFont="1"/>
    <xf numFmtId="0" fontId="2" fillId="0" borderId="1" xfId="0" quotePrefix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2" xfId="0" applyNumberFormat="1" applyFont="1" applyBorder="1"/>
    <xf numFmtId="164" fontId="2" fillId="0" borderId="2" xfId="1" applyNumberFormat="1" applyFont="1" applyBorder="1"/>
    <xf numFmtId="164" fontId="2" fillId="0" borderId="0" xfId="1" applyNumberFormat="1" applyFont="1" applyFill="1"/>
    <xf numFmtId="165" fontId="2" fillId="2" borderId="0" xfId="0" applyNumberFormat="1" applyFont="1" applyFill="1"/>
    <xf numFmtId="0" fontId="2" fillId="2" borderId="0" xfId="0" applyFont="1" applyFill="1"/>
    <xf numFmtId="165" fontId="2" fillId="0" borderId="3" xfId="2" applyNumberFormat="1" applyFont="1" applyBorder="1"/>
    <xf numFmtId="165" fontId="2" fillId="0" borderId="0" xfId="2" applyNumberFormat="1" applyFont="1" applyBorder="1"/>
    <xf numFmtId="165" fontId="2" fillId="0" borderId="0" xfId="0" applyNumberFormat="1" applyFont="1"/>
    <xf numFmtId="166" fontId="2" fillId="0" borderId="0" xfId="1" applyNumberFormat="1" applyFont="1" applyBorder="1"/>
    <xf numFmtId="167" fontId="2" fillId="0" borderId="0" xfId="2" applyNumberFormat="1" applyFont="1" applyBorder="1"/>
    <xf numFmtId="0" fontId="2" fillId="0" borderId="4" xfId="0" applyFont="1" applyBorder="1"/>
    <xf numFmtId="164" fontId="2" fillId="0" borderId="4" xfId="1" applyNumberFormat="1" applyFont="1" applyBorder="1"/>
    <xf numFmtId="164" fontId="14" fillId="0" borderId="1" xfId="1" applyNumberFormat="1" applyFont="1" applyBorder="1" applyAlignment="1">
      <alignment horizontal="right"/>
    </xf>
    <xf numFmtId="164" fontId="2" fillId="0" borderId="0" xfId="0" applyNumberFormat="1" applyFont="1"/>
    <xf numFmtId="0" fontId="14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0" borderId="1" xfId="0" applyFont="1" applyBorder="1"/>
    <xf numFmtId="168" fontId="2" fillId="0" borderId="7" xfId="5" applyNumberFormat="1" applyFont="1" applyFill="1" applyBorder="1" applyProtection="1"/>
    <xf numFmtId="0" fontId="28" fillId="0" borderId="0" xfId="0" applyFont="1" applyAlignment="1">
      <alignment horizontal="right"/>
    </xf>
    <xf numFmtId="44" fontId="5" fillId="0" borderId="1" xfId="1" applyFont="1" applyBorder="1" applyAlignment="1" applyProtection="1">
      <alignment horizontal="center"/>
      <protection locked="0"/>
    </xf>
    <xf numFmtId="40" fontId="5" fillId="0" borderId="1" xfId="1" applyNumberFormat="1" applyFont="1" applyFill="1" applyBorder="1" applyAlignment="1">
      <alignment horizontal="center"/>
    </xf>
    <xf numFmtId="40" fontId="5" fillId="0" borderId="1" xfId="2" applyNumberFormat="1" applyFont="1" applyBorder="1" applyAlignment="1" applyProtection="1">
      <alignment horizontal="right"/>
      <protection locked="0"/>
    </xf>
    <xf numFmtId="165" fontId="5" fillId="0" borderId="0" xfId="2" quotePrefix="1" applyNumberFormat="1" applyFont="1" applyBorder="1" applyAlignment="1">
      <alignment horizontal="center"/>
    </xf>
    <xf numFmtId="44" fontId="5" fillId="0" borderId="0" xfId="1" applyFont="1" applyBorder="1" applyProtection="1">
      <protection locked="0"/>
    </xf>
    <xf numFmtId="165" fontId="5" fillId="0" borderId="1" xfId="2" quotePrefix="1" applyNumberFormat="1" applyFont="1" applyBorder="1" applyAlignment="1">
      <alignment horizontal="center"/>
    </xf>
    <xf numFmtId="44" fontId="5" fillId="0" borderId="1" xfId="1" applyFont="1" applyBorder="1" applyProtection="1">
      <protection locked="0"/>
    </xf>
    <xf numFmtId="0" fontId="5" fillId="0" borderId="0" xfId="0" quotePrefix="1" applyFont="1" applyAlignment="1">
      <alignment horizontal="center"/>
    </xf>
    <xf numFmtId="164" fontId="5" fillId="0" borderId="0" xfId="1" applyNumberFormat="1" applyFont="1" applyFill="1"/>
    <xf numFmtId="165" fontId="5" fillId="0" borderId="0" xfId="2" applyNumberFormat="1" applyFont="1" applyAlignment="1">
      <alignment horizontal="center"/>
    </xf>
    <xf numFmtId="0" fontId="5" fillId="0" borderId="0" xfId="0" quotePrefix="1" applyFont="1"/>
    <xf numFmtId="0" fontId="5" fillId="0" borderId="2" xfId="0" applyFont="1" applyBorder="1" applyAlignment="1">
      <alignment horizontal="left"/>
    </xf>
    <xf numFmtId="44" fontId="5" fillId="0" borderId="2" xfId="0" applyNumberFormat="1" applyFont="1" applyBorder="1"/>
    <xf numFmtId="0" fontId="30" fillId="0" borderId="0" xfId="0" applyFont="1"/>
    <xf numFmtId="0" fontId="23" fillId="0" borderId="0" xfId="0" applyFont="1" applyAlignment="1">
      <alignment horizontal="left"/>
    </xf>
    <xf numFmtId="43" fontId="23" fillId="0" borderId="0" xfId="0" applyNumberFormat="1" applyFont="1"/>
    <xf numFmtId="44" fontId="23" fillId="0" borderId="3" xfId="1" applyFont="1" applyBorder="1"/>
    <xf numFmtId="0" fontId="22" fillId="0" borderId="1" xfId="0" applyFont="1" applyBorder="1"/>
    <xf numFmtId="44" fontId="23" fillId="0" borderId="0" xfId="2" applyNumberFormat="1" applyFont="1" applyBorder="1"/>
    <xf numFmtId="44" fontId="23" fillId="0" borderId="1" xfId="1" applyFont="1" applyBorder="1"/>
    <xf numFmtId="0" fontId="23" fillId="0" borderId="2" xfId="0" applyFont="1" applyBorder="1"/>
    <xf numFmtId="0" fontId="5" fillId="0" borderId="0" xfId="0" applyFont="1" applyAlignment="1">
      <alignment horizontal="left" vertical="top"/>
    </xf>
    <xf numFmtId="44" fontId="22" fillId="0" borderId="2" xfId="2" applyNumberFormat="1" applyFont="1" applyBorder="1"/>
    <xf numFmtId="0" fontId="22" fillId="0" borderId="1" xfId="0" applyFont="1" applyBorder="1" applyAlignment="1">
      <alignment horizontal="center" wrapText="1"/>
    </xf>
    <xf numFmtId="44" fontId="23" fillId="0" borderId="0" xfId="0" applyNumberFormat="1" applyFont="1"/>
    <xf numFmtId="44" fontId="23" fillId="0" borderId="0" xfId="1" applyFont="1" applyFill="1"/>
    <xf numFmtId="43" fontId="23" fillId="0" borderId="0" xfId="2" applyFont="1" applyFill="1"/>
    <xf numFmtId="44" fontId="23" fillId="0" borderId="1" xfId="1" applyFont="1" applyFill="1" applyBorder="1"/>
    <xf numFmtId="44" fontId="22" fillId="0" borderId="3" xfId="0" applyNumberFormat="1" applyFont="1" applyBorder="1"/>
    <xf numFmtId="0" fontId="23" fillId="0" borderId="0" xfId="0" applyFont="1" applyAlignment="1">
      <alignment horizontal="right"/>
    </xf>
    <xf numFmtId="164" fontId="2" fillId="0" borderId="0" xfId="1" applyNumberFormat="1" applyFont="1" applyFill="1" applyAlignment="1">
      <alignment horizontal="center" wrapText="1"/>
    </xf>
    <xf numFmtId="0" fontId="2" fillId="0" borderId="0" xfId="3" applyFont="1" applyAlignment="1">
      <alignment horizontal="center"/>
    </xf>
    <xf numFmtId="164" fontId="2" fillId="0" borderId="1" xfId="1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14" xfId="0" applyFont="1" applyBorder="1" applyAlignment="1">
      <alignment horizontal="center" wrapText="1"/>
    </xf>
    <xf numFmtId="168" fontId="2" fillId="0" borderId="0" xfId="5" applyNumberFormat="1" applyFont="1" applyFill="1"/>
    <xf numFmtId="14" fontId="2" fillId="0" borderId="0" xfId="0" applyNumberFormat="1" applyFont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 applyAlignment="1">
      <alignment horizontal="left" wrapText="1"/>
    </xf>
    <xf numFmtId="164" fontId="2" fillId="0" borderId="21" xfId="1" applyNumberFormat="1" applyFont="1" applyFill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0" borderId="28" xfId="1" applyNumberFormat="1" applyFont="1" applyFill="1" applyBorder="1" applyAlignment="1">
      <alignment horizontal="center"/>
    </xf>
    <xf numFmtId="1" fontId="2" fillId="0" borderId="0" xfId="2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44" fontId="2" fillId="0" borderId="0" xfId="1" applyFont="1" applyFill="1"/>
    <xf numFmtId="43" fontId="2" fillId="0" borderId="1" xfId="2" applyFont="1" applyFill="1" applyBorder="1"/>
    <xf numFmtId="43" fontId="14" fillId="0" borderId="3" xfId="2" applyFont="1" applyFill="1" applyBorder="1"/>
    <xf numFmtId="43" fontId="14" fillId="0" borderId="0" xfId="2" applyFont="1" applyFill="1" applyBorder="1"/>
    <xf numFmtId="41" fontId="14" fillId="0" borderId="3" xfId="2" applyNumberFormat="1" applyFont="1" applyFill="1" applyBorder="1"/>
    <xf numFmtId="38" fontId="14" fillId="0" borderId="3" xfId="2" applyNumberFormat="1" applyFont="1" applyFill="1" applyBorder="1"/>
    <xf numFmtId="164" fontId="14" fillId="0" borderId="3" xfId="1" applyNumberFormat="1" applyFont="1" applyFill="1" applyBorder="1"/>
    <xf numFmtId="164" fontId="2" fillId="0" borderId="3" xfId="1" applyNumberFormat="1" applyFont="1" applyFill="1" applyBorder="1"/>
    <xf numFmtId="41" fontId="2" fillId="0" borderId="0" xfId="2" applyNumberFormat="1" applyFont="1" applyFill="1"/>
    <xf numFmtId="43" fontId="2" fillId="0" borderId="0" xfId="0" applyNumberFormat="1" applyFont="1"/>
    <xf numFmtId="170" fontId="2" fillId="0" borderId="0" xfId="0" applyNumberFormat="1" applyFont="1"/>
    <xf numFmtId="165" fontId="2" fillId="0" borderId="0" xfId="2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 wrapText="1"/>
    </xf>
    <xf numFmtId="165" fontId="2" fillId="0" borderId="0" xfId="2" applyNumberFormat="1" applyFont="1" applyFill="1" applyAlignment="1">
      <alignment horizontal="left"/>
    </xf>
    <xf numFmtId="164" fontId="31" fillId="0" borderId="0" xfId="10" applyNumberFormat="1" applyFont="1"/>
    <xf numFmtId="43" fontId="2" fillId="0" borderId="0" xfId="2" applyFont="1" applyBorder="1"/>
    <xf numFmtId="10" fontId="2" fillId="0" borderId="0" xfId="5" applyNumberFormat="1" applyFont="1"/>
    <xf numFmtId="164" fontId="23" fillId="0" borderId="0" xfId="1" applyNumberFormat="1" applyFont="1" applyBorder="1"/>
    <xf numFmtId="165" fontId="23" fillId="0" borderId="0" xfId="2" applyNumberFormat="1" applyFont="1" applyBorder="1"/>
    <xf numFmtId="0" fontId="23" fillId="0" borderId="3" xfId="0" applyFont="1" applyBorder="1" applyAlignment="1">
      <alignment horizontal="center"/>
    </xf>
    <xf numFmtId="164" fontId="23" fillId="0" borderId="3" xfId="1" applyNumberFormat="1" applyFont="1" applyBorder="1"/>
    <xf numFmtId="0" fontId="2" fillId="0" borderId="1" xfId="0" applyFont="1" applyBorder="1" applyAlignment="1">
      <alignment horizontal="left"/>
    </xf>
    <xf numFmtId="168" fontId="2" fillId="0" borderId="0" xfId="5" applyNumberFormat="1" applyFont="1"/>
    <xf numFmtId="43" fontId="2" fillId="0" borderId="0" xfId="2" applyFont="1"/>
    <xf numFmtId="2" fontId="2" fillId="0" borderId="0" xfId="2" applyNumberFormat="1" applyFont="1" applyBorder="1" applyAlignment="1" applyProtection="1">
      <alignment horizontal="center"/>
    </xf>
    <xf numFmtId="0" fontId="2" fillId="0" borderId="3" xfId="0" applyFont="1" applyBorder="1" applyAlignment="1">
      <alignment horizontal="right"/>
    </xf>
    <xf numFmtId="41" fontId="2" fillId="2" borderId="0" xfId="0" applyNumberFormat="1" applyFont="1" applyFill="1"/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/>
    </xf>
    <xf numFmtId="41" fontId="2" fillId="0" borderId="1" xfId="0" applyNumberFormat="1" applyFont="1" applyBorder="1"/>
    <xf numFmtId="1" fontId="2" fillId="0" borderId="0" xfId="2" applyNumberFormat="1" applyFont="1" applyBorder="1" applyAlignment="1" applyProtection="1">
      <alignment horizontal="center"/>
    </xf>
    <xf numFmtId="164" fontId="2" fillId="0" borderId="8" xfId="1" applyNumberFormat="1" applyFont="1" applyBorder="1"/>
    <xf numFmtId="41" fontId="2" fillId="0" borderId="2" xfId="0" applyNumberFormat="1" applyFont="1" applyBorder="1"/>
    <xf numFmtId="41" fontId="14" fillId="0" borderId="2" xfId="0" applyNumberFormat="1" applyFont="1" applyBorder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1" fontId="5" fillId="0" borderId="0" xfId="0" applyNumberFormat="1" applyFont="1"/>
    <xf numFmtId="43" fontId="2" fillId="0" borderId="0" xfId="2" applyFont="1" applyFill="1" applyBorder="1" applyAlignment="1" applyProtection="1">
      <alignment horizontal="left"/>
    </xf>
    <xf numFmtId="10" fontId="5" fillId="0" borderId="0" xfId="5" applyNumberFormat="1" applyFont="1" applyFill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65" fontId="2" fillId="0" borderId="0" xfId="2" applyNumberFormat="1" applyFont="1"/>
    <xf numFmtId="10" fontId="2" fillId="0" borderId="0" xfId="5" applyNumberFormat="1" applyFont="1" applyFill="1" applyBorder="1" applyProtection="1"/>
    <xf numFmtId="168" fontId="2" fillId="0" borderId="0" xfId="0" applyNumberFormat="1" applyFont="1"/>
    <xf numFmtId="164" fontId="2" fillId="0" borderId="0" xfId="1" applyNumberFormat="1" applyFont="1" applyFill="1" applyBorder="1" applyProtection="1"/>
    <xf numFmtId="41" fontId="5" fillId="0" borderId="8" xfId="0" applyNumberFormat="1" applyFont="1" applyBorder="1"/>
    <xf numFmtId="41" fontId="29" fillId="0" borderId="0" xfId="0" applyNumberFormat="1" applyFont="1"/>
    <xf numFmtId="171" fontId="4" fillId="0" borderId="0" xfId="3" applyNumberFormat="1" applyFont="1" applyAlignment="1">
      <alignment horizontal="center"/>
    </xf>
    <xf numFmtId="171" fontId="5" fillId="0" borderId="0" xfId="0" applyNumberFormat="1" applyFont="1" applyAlignment="1">
      <alignment horizontal="center"/>
    </xf>
    <xf numFmtId="40" fontId="5" fillId="0" borderId="1" xfId="2" applyNumberFormat="1" applyFont="1" applyFill="1" applyBorder="1" applyAlignment="1" applyProtection="1">
      <alignment horizontal="center" wrapText="1"/>
      <protection locked="0"/>
    </xf>
    <xf numFmtId="171" fontId="5" fillId="0" borderId="1" xfId="2" applyNumberFormat="1" applyFont="1" applyFill="1" applyBorder="1" applyAlignment="1" applyProtection="1">
      <alignment horizontal="center"/>
      <protection locked="0"/>
    </xf>
    <xf numFmtId="10" fontId="5" fillId="0" borderId="0" xfId="5" applyNumberFormat="1" applyFont="1" applyFill="1" applyBorder="1"/>
    <xf numFmtId="172" fontId="5" fillId="0" borderId="0" xfId="5" applyNumberFormat="1" applyFont="1" applyFill="1" applyBorder="1"/>
    <xf numFmtId="171" fontId="5" fillId="0" borderId="0" xfId="5" applyNumberFormat="1" applyFont="1" applyFill="1" applyBorder="1"/>
    <xf numFmtId="164" fontId="5" fillId="0" borderId="1" xfId="1" applyNumberFormat="1" applyFont="1" applyFill="1" applyBorder="1"/>
    <xf numFmtId="10" fontId="5" fillId="0" borderId="1" xfId="5" applyNumberFormat="1" applyFont="1" applyFill="1" applyBorder="1"/>
    <xf numFmtId="165" fontId="5" fillId="0" borderId="0" xfId="2" applyNumberFormat="1" applyFont="1" applyFill="1" applyAlignment="1">
      <alignment horizontal="center"/>
    </xf>
    <xf numFmtId="171" fontId="5" fillId="0" borderId="0" xfId="2" applyNumberFormat="1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171" fontId="5" fillId="0" borderId="2" xfId="0" applyNumberFormat="1" applyFont="1" applyBorder="1" applyAlignment="1">
      <alignment horizontal="center"/>
    </xf>
    <xf numFmtId="171" fontId="5" fillId="0" borderId="0" xfId="0" applyNumberFormat="1" applyFont="1"/>
    <xf numFmtId="44" fontId="5" fillId="0" borderId="0" xfId="1" applyFont="1" applyFill="1" applyBorder="1"/>
    <xf numFmtId="0" fontId="23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8" fillId="0" borderId="0" xfId="4" applyFont="1" applyAlignment="1">
      <alignment horizontal="center"/>
    </xf>
    <xf numFmtId="0" fontId="14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3" applyFont="1" applyAlignment="1">
      <alignment horizontal="center"/>
    </xf>
    <xf numFmtId="0" fontId="23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0" borderId="0" xfId="0" quotePrefix="1" applyFont="1" applyAlignment="1">
      <alignment horizontal="center" wrapText="1"/>
    </xf>
    <xf numFmtId="0" fontId="14" fillId="0" borderId="0" xfId="0" applyFont="1" applyAlignment="1">
      <alignment horizontal="center"/>
    </xf>
    <xf numFmtId="165" fontId="2" fillId="0" borderId="0" xfId="2" applyNumberFormat="1" applyFont="1" applyFill="1" applyAlignment="1">
      <alignment horizontal="center"/>
    </xf>
    <xf numFmtId="9" fontId="2" fillId="0" borderId="0" xfId="5" applyFont="1" applyFill="1" applyAlignment="1">
      <alignment horizontal="center"/>
    </xf>
    <xf numFmtId="165" fontId="2" fillId="0" borderId="3" xfId="2" applyNumberFormat="1" applyFont="1" applyFill="1" applyBorder="1" applyAlignment="1">
      <alignment horizontal="center"/>
    </xf>
    <xf numFmtId="165" fontId="2" fillId="0" borderId="2" xfId="2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quotePrefix="1" applyFont="1" applyBorder="1" applyAlignment="1">
      <alignment horizontal="left" wrapText="1"/>
    </xf>
    <xf numFmtId="0" fontId="2" fillId="0" borderId="20" xfId="0" quotePrefix="1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4">
    <cellStyle name="Comma" xfId="2" builtinId="3"/>
    <cellStyle name="Comma 2" xfId="6" xr:uid="{00000000-0005-0000-0000-000001000000}"/>
    <cellStyle name="Comma 3" xfId="9" xr:uid="{00000000-0005-0000-0000-000002000000}"/>
    <cellStyle name="Currency" xfId="1" builtinId="4"/>
    <cellStyle name="Currency 2" xfId="7" xr:uid="{00000000-0005-0000-0000-000004000000}"/>
    <cellStyle name="Currency 3" xfId="10" xr:uid="{00000000-0005-0000-0000-000005000000}"/>
    <cellStyle name="Hyperlink" xfId="13" builtinId="8"/>
    <cellStyle name="Normal" xfId="0" builtinId="0"/>
    <cellStyle name="Normal 2" xfId="3" xr:uid="{00000000-0005-0000-0000-000008000000}"/>
    <cellStyle name="Normal 3" xfId="4" xr:uid="{00000000-0005-0000-0000-000009000000}"/>
    <cellStyle name="Normal 4" xfId="8" xr:uid="{00000000-0005-0000-0000-00000A000000}"/>
    <cellStyle name="Normal 5" xfId="11" xr:uid="{00000000-0005-0000-0000-00000B000000}"/>
    <cellStyle name="Percent" xfId="5" builtinId="5"/>
    <cellStyle name="Percent 2" xfId="12" xr:uid="{00000000-0005-0000-0000-00000D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CC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7"/>
  <sheetViews>
    <sheetView view="pageBreakPreview" zoomScaleNormal="100" zoomScaleSheetLayoutView="100" workbookViewId="0">
      <selection activeCell="G73" sqref="G73"/>
    </sheetView>
  </sheetViews>
  <sheetFormatPr defaultColWidth="9.15234375" defaultRowHeight="14.6"/>
  <cols>
    <col min="1" max="1" width="9.15234375" style="170"/>
    <col min="2" max="2" width="37.3046875" style="92" customWidth="1"/>
    <col min="3" max="3" width="12.3828125" style="92" customWidth="1"/>
    <col min="4" max="4" width="13.15234375" style="92" customWidth="1"/>
    <col min="5" max="6" width="13.3828125" style="92" customWidth="1"/>
    <col min="7" max="7" width="9.15234375" style="92"/>
    <col min="8" max="8" width="14.3046875" style="92" bestFit="1" customWidth="1"/>
    <col min="9" max="9" width="11.3046875" style="92" bestFit="1" customWidth="1"/>
    <col min="10" max="16384" width="9.15234375" style="92"/>
  </cols>
  <sheetData>
    <row r="1" spans="1:9">
      <c r="A1" s="88" t="s">
        <v>247</v>
      </c>
      <c r="B1" s="88"/>
      <c r="C1" s="88"/>
      <c r="D1" s="88"/>
      <c r="E1" s="88"/>
      <c r="F1" s="88"/>
      <c r="H1" s="166"/>
    </row>
    <row r="2" spans="1:9">
      <c r="A2" s="88" t="s">
        <v>207</v>
      </c>
      <c r="B2" s="88"/>
      <c r="C2" s="88"/>
      <c r="D2" s="88"/>
      <c r="E2" s="88"/>
      <c r="F2" s="88"/>
      <c r="H2" s="166"/>
    </row>
    <row r="3" spans="1:9">
      <c r="A3" s="88" t="s">
        <v>337</v>
      </c>
      <c r="B3" s="88"/>
      <c r="C3" s="88"/>
      <c r="D3" s="88"/>
      <c r="E3" s="88"/>
      <c r="F3" s="88"/>
      <c r="H3" s="166"/>
    </row>
    <row r="4" spans="1:9">
      <c r="A4" s="1"/>
      <c r="B4" s="2"/>
      <c r="C4" s="101"/>
      <c r="D4" s="101"/>
      <c r="E4" s="101"/>
      <c r="F4" s="2"/>
      <c r="H4" s="166"/>
    </row>
    <row r="5" spans="1:9" ht="41.25" customHeight="1">
      <c r="A5" s="101" t="s">
        <v>0</v>
      </c>
      <c r="B5" s="101" t="s">
        <v>1</v>
      </c>
      <c r="C5" s="98" t="s">
        <v>225</v>
      </c>
      <c r="D5" s="98" t="s">
        <v>233</v>
      </c>
      <c r="E5" s="98" t="s">
        <v>110</v>
      </c>
      <c r="F5" s="98" t="s">
        <v>236</v>
      </c>
      <c r="H5" s="166"/>
    </row>
    <row r="6" spans="1:9" s="167" customFormat="1">
      <c r="A6" s="75" t="s">
        <v>21</v>
      </c>
      <c r="B6" s="76">
        <v>1</v>
      </c>
      <c r="C6" s="76">
        <f>B6+1</f>
        <v>2</v>
      </c>
      <c r="D6" s="76" t="s">
        <v>19</v>
      </c>
      <c r="E6" s="76" t="s">
        <v>25</v>
      </c>
      <c r="F6" s="76" t="s">
        <v>48</v>
      </c>
      <c r="G6" s="92"/>
      <c r="H6" s="166"/>
      <c r="I6" s="92"/>
    </row>
    <row r="7" spans="1:9">
      <c r="A7" s="1">
        <v>1</v>
      </c>
      <c r="B7" s="168" t="s">
        <v>73</v>
      </c>
      <c r="C7" s="182"/>
      <c r="D7" s="182"/>
      <c r="E7" s="182"/>
      <c r="F7" s="182"/>
      <c r="H7" s="166"/>
    </row>
    <row r="8" spans="1:9">
      <c r="A8" s="1">
        <f>A7+1</f>
        <v>2</v>
      </c>
      <c r="B8" s="2" t="s">
        <v>150</v>
      </c>
      <c r="C8" s="28">
        <v>84804614.700000003</v>
      </c>
      <c r="D8" s="28">
        <f>'Adj List'!D7+'Adj List'!D8+'Adj List'!D9+'Adj List'!D10+'Adj List'!D12</f>
        <v>-9744685.3399999999</v>
      </c>
      <c r="E8" s="28">
        <f>C8+D8</f>
        <v>75059929.359999999</v>
      </c>
      <c r="F8" s="28">
        <f>E8+E61</f>
        <v>76812579.825801551</v>
      </c>
      <c r="H8" s="166"/>
    </row>
    <row r="9" spans="1:9">
      <c r="A9" s="1">
        <f t="shared" ref="A9:A62" si="0">A8+1</f>
        <v>3</v>
      </c>
      <c r="B9" s="2" t="s">
        <v>102</v>
      </c>
      <c r="C9" s="28">
        <v>1335369.95</v>
      </c>
      <c r="D9" s="28">
        <v>0</v>
      </c>
      <c r="E9" s="28">
        <f>C9+D9</f>
        <v>1335369.95</v>
      </c>
      <c r="F9" s="28">
        <f>E9</f>
        <v>1335369.95</v>
      </c>
    </row>
    <row r="10" spans="1:9">
      <c r="A10" s="1">
        <f t="shared" si="0"/>
        <v>4</v>
      </c>
      <c r="B10" s="37" t="s">
        <v>149</v>
      </c>
      <c r="C10" s="48">
        <f>C8+C9</f>
        <v>86139984.650000006</v>
      </c>
      <c r="D10" s="48">
        <f>SUM(D8:D9)</f>
        <v>-9744685.3399999999</v>
      </c>
      <c r="E10" s="48">
        <f>SUM(E8:E9)</f>
        <v>76395299.310000002</v>
      </c>
      <c r="F10" s="48">
        <f>SUM(F8:F9)</f>
        <v>78147949.775801554</v>
      </c>
      <c r="H10" s="169"/>
      <c r="I10" s="169"/>
    </row>
    <row r="11" spans="1:9">
      <c r="A11" s="1">
        <f t="shared" si="0"/>
        <v>5</v>
      </c>
      <c r="B11" s="2"/>
      <c r="C11" s="28"/>
      <c r="D11" s="28"/>
      <c r="E11" s="28"/>
      <c r="F11" s="28"/>
      <c r="H11" s="169"/>
    </row>
    <row r="12" spans="1:9">
      <c r="A12" s="1">
        <f t="shared" si="0"/>
        <v>6</v>
      </c>
      <c r="B12" s="168" t="s">
        <v>74</v>
      </c>
      <c r="C12" s="28"/>
      <c r="D12" s="28"/>
      <c r="E12" s="28"/>
      <c r="F12" s="28"/>
    </row>
    <row r="13" spans="1:9">
      <c r="A13" s="1">
        <f t="shared" si="0"/>
        <v>7</v>
      </c>
      <c r="B13" s="2" t="s">
        <v>75</v>
      </c>
      <c r="C13" s="28">
        <v>66430863.93</v>
      </c>
      <c r="D13" s="28">
        <f>'Adj List'!E7+'Adj List'!E8+'Adj List'!E9+'Adj List'!E10+'Adj List'!E12</f>
        <v>-9876738.5899999999</v>
      </c>
      <c r="E13" s="28">
        <f t="shared" ref="E13:E19" si="1">C13+D13</f>
        <v>56554125.340000004</v>
      </c>
      <c r="F13" s="28">
        <f>E13</f>
        <v>56554125.340000004</v>
      </c>
    </row>
    <row r="14" spans="1:9">
      <c r="A14" s="1">
        <f t="shared" si="0"/>
        <v>8</v>
      </c>
      <c r="B14" s="2" t="s">
        <v>76</v>
      </c>
      <c r="C14" s="28">
        <v>3926713.73</v>
      </c>
      <c r="D14" s="28">
        <v>0</v>
      </c>
      <c r="E14" s="28">
        <f t="shared" si="1"/>
        <v>3926713.73</v>
      </c>
      <c r="F14" s="28">
        <f t="shared" ref="F14:F19" si="2">E14</f>
        <v>3926713.73</v>
      </c>
    </row>
    <row r="15" spans="1:9">
      <c r="A15" s="1">
        <f t="shared" si="0"/>
        <v>9</v>
      </c>
      <c r="B15" s="2" t="s">
        <v>77</v>
      </c>
      <c r="C15" s="28">
        <v>4565314.9400000004</v>
      </c>
      <c r="D15" s="28">
        <v>0</v>
      </c>
      <c r="E15" s="28">
        <f t="shared" si="1"/>
        <v>4565314.9400000004</v>
      </c>
      <c r="F15" s="28">
        <f t="shared" si="2"/>
        <v>4565314.9400000004</v>
      </c>
    </row>
    <row r="16" spans="1:9">
      <c r="A16" s="1">
        <f t="shared" si="0"/>
        <v>10</v>
      </c>
      <c r="B16" s="2" t="s">
        <v>78</v>
      </c>
      <c r="C16" s="28">
        <v>1540243.47</v>
      </c>
      <c r="D16" s="28">
        <v>0</v>
      </c>
      <c r="E16" s="28">
        <f t="shared" si="1"/>
        <v>1540243.47</v>
      </c>
      <c r="F16" s="28">
        <f t="shared" si="2"/>
        <v>1540243.47</v>
      </c>
    </row>
    <row r="17" spans="1:9">
      <c r="A17" s="1">
        <f t="shared" si="0"/>
        <v>11</v>
      </c>
      <c r="B17" s="2" t="s">
        <v>79</v>
      </c>
      <c r="C17" s="28">
        <v>152057.54</v>
      </c>
      <c r="D17" s="28">
        <v>0</v>
      </c>
      <c r="E17" s="28">
        <f t="shared" si="1"/>
        <v>152057.54</v>
      </c>
      <c r="F17" s="28">
        <f t="shared" si="2"/>
        <v>152057.54</v>
      </c>
    </row>
    <row r="18" spans="1:9">
      <c r="A18" s="1">
        <f t="shared" si="0"/>
        <v>12</v>
      </c>
      <c r="B18" s="2" t="s">
        <v>80</v>
      </c>
      <c r="C18" s="28">
        <v>-6563.42</v>
      </c>
      <c r="D18" s="28">
        <v>0</v>
      </c>
      <c r="E18" s="28">
        <f t="shared" si="1"/>
        <v>-6563.42</v>
      </c>
      <c r="F18" s="28">
        <f t="shared" si="2"/>
        <v>-6563.42</v>
      </c>
    </row>
    <row r="19" spans="1:9">
      <c r="A19" s="1">
        <f t="shared" si="0"/>
        <v>13</v>
      </c>
      <c r="B19" s="2" t="s">
        <v>81</v>
      </c>
      <c r="C19" s="28">
        <v>2127932.7999999998</v>
      </c>
      <c r="D19" s="28">
        <f>'Adj List'!E11+'Adj List'!E14+'Adj List'!E15+'Adj List'!E16+'Adj List'!E17+'Adj List'!E18+'Adj List'!E19</f>
        <v>173167.8938152559</v>
      </c>
      <c r="E19" s="28">
        <f t="shared" si="1"/>
        <v>2301100.6938152555</v>
      </c>
      <c r="F19" s="28">
        <f t="shared" si="2"/>
        <v>2301100.6938152555</v>
      </c>
    </row>
    <row r="20" spans="1:9">
      <c r="A20" s="1">
        <f t="shared" si="0"/>
        <v>14</v>
      </c>
      <c r="B20" s="37" t="s">
        <v>82</v>
      </c>
      <c r="C20" s="48">
        <f>SUM(C13:C19)</f>
        <v>78736562.989999995</v>
      </c>
      <c r="D20" s="48">
        <f>SUM(D13:D19)</f>
        <v>-9703570.6961847432</v>
      </c>
      <c r="E20" s="48">
        <f>SUM(E13:E19)</f>
        <v>69032992.293815255</v>
      </c>
      <c r="F20" s="48">
        <f>SUM(F13:F19)</f>
        <v>69032992.293815255</v>
      </c>
    </row>
    <row r="21" spans="1:9">
      <c r="A21" s="1">
        <f t="shared" si="0"/>
        <v>15</v>
      </c>
      <c r="B21" s="2"/>
      <c r="C21" s="28"/>
      <c r="D21" s="28"/>
      <c r="E21" s="28"/>
      <c r="F21" s="28"/>
    </row>
    <row r="22" spans="1:9">
      <c r="A22" s="1">
        <f t="shared" si="0"/>
        <v>16</v>
      </c>
      <c r="B22" s="2" t="s">
        <v>83</v>
      </c>
      <c r="C22" s="28">
        <v>5204786.8099999996</v>
      </c>
      <c r="D22" s="28">
        <f>'Adj List'!E13</f>
        <v>-52787.66000000108</v>
      </c>
      <c r="E22" s="28">
        <f>C22+D22</f>
        <v>5151999.1499999985</v>
      </c>
      <c r="F22" s="28">
        <f>E22</f>
        <v>5151999.1499999985</v>
      </c>
    </row>
    <row r="23" spans="1:9">
      <c r="A23" s="1">
        <f t="shared" si="0"/>
        <v>17</v>
      </c>
      <c r="B23" s="2" t="s">
        <v>84</v>
      </c>
      <c r="C23" s="28">
        <v>63682.68</v>
      </c>
      <c r="D23" s="28">
        <v>0</v>
      </c>
      <c r="E23" s="28">
        <f>C23+D23</f>
        <v>63682.68</v>
      </c>
      <c r="F23" s="28">
        <f t="shared" ref="F23:F26" si="3">E23</f>
        <v>63682.68</v>
      </c>
    </row>
    <row r="24" spans="1:9">
      <c r="A24" s="1">
        <f t="shared" si="0"/>
        <v>18</v>
      </c>
      <c r="B24" s="2" t="s">
        <v>71</v>
      </c>
      <c r="C24" s="28">
        <v>1903744.63</v>
      </c>
      <c r="D24" s="28">
        <f>'Adj List'!E20</f>
        <v>163163.7494520545</v>
      </c>
      <c r="E24" s="28">
        <f>C24+D24</f>
        <v>2066908.3794520544</v>
      </c>
      <c r="F24" s="28">
        <f t="shared" si="3"/>
        <v>2066908.3794520544</v>
      </c>
    </row>
    <row r="25" spans="1:9">
      <c r="A25" s="1">
        <f t="shared" si="0"/>
        <v>19</v>
      </c>
      <c r="B25" s="2" t="s">
        <v>85</v>
      </c>
      <c r="C25" s="28">
        <v>87116.24</v>
      </c>
      <c r="D25" s="28">
        <v>0</v>
      </c>
      <c r="E25" s="28">
        <f>C25+D25</f>
        <v>87116.24</v>
      </c>
      <c r="F25" s="28">
        <f t="shared" si="3"/>
        <v>87116.24</v>
      </c>
    </row>
    <row r="26" spans="1:9">
      <c r="A26" s="1">
        <f t="shared" si="0"/>
        <v>20</v>
      </c>
      <c r="B26" s="2" t="s">
        <v>86</v>
      </c>
      <c r="C26" s="28">
        <v>2255</v>
      </c>
      <c r="D26" s="28">
        <v>0</v>
      </c>
      <c r="E26" s="28">
        <f>C26+D26</f>
        <v>2255</v>
      </c>
      <c r="F26" s="28">
        <f t="shared" si="3"/>
        <v>2255</v>
      </c>
    </row>
    <row r="27" spans="1:9">
      <c r="A27" s="1">
        <f t="shared" si="0"/>
        <v>21</v>
      </c>
      <c r="B27" s="2"/>
      <c r="C27" s="28"/>
      <c r="D27" s="28"/>
      <c r="E27" s="28"/>
      <c r="F27" s="28"/>
    </row>
    <row r="28" spans="1:9">
      <c r="A28" s="1">
        <f t="shared" si="0"/>
        <v>22</v>
      </c>
      <c r="B28" s="105" t="s">
        <v>34</v>
      </c>
      <c r="C28" s="90">
        <f>SUM(C20:C26)</f>
        <v>85998148.349999994</v>
      </c>
      <c r="D28" s="90">
        <f>SUM(D20:D26)</f>
        <v>-9593194.6067326888</v>
      </c>
      <c r="E28" s="90">
        <f>SUM(E20:E26)</f>
        <v>76404953.743267313</v>
      </c>
      <c r="F28" s="90">
        <f>SUM(F20:F26)</f>
        <v>76404953.743267313</v>
      </c>
      <c r="H28" s="89"/>
      <c r="I28" s="89"/>
    </row>
    <row r="29" spans="1:9">
      <c r="A29" s="1">
        <f t="shared" si="0"/>
        <v>23</v>
      </c>
      <c r="B29" s="2"/>
      <c r="C29" s="28"/>
      <c r="D29" s="28"/>
      <c r="E29" s="28"/>
      <c r="F29" s="28"/>
    </row>
    <row r="30" spans="1:9" ht="15" thickBot="1">
      <c r="A30" s="1">
        <f t="shared" si="0"/>
        <v>24</v>
      </c>
      <c r="B30" s="3" t="s">
        <v>87</v>
      </c>
      <c r="C30" s="44">
        <f>C10-C28</f>
        <v>141836.30000001192</v>
      </c>
      <c r="D30" s="44">
        <f>D10-D28</f>
        <v>-151490.73326731101</v>
      </c>
      <c r="E30" s="44">
        <f>E10-E28</f>
        <v>-9654.4332673102617</v>
      </c>
      <c r="F30" s="44">
        <f>F10-F28</f>
        <v>1742996.0325342417</v>
      </c>
      <c r="H30" s="89"/>
    </row>
    <row r="31" spans="1:9" ht="15" thickTop="1">
      <c r="A31" s="1">
        <f t="shared" si="0"/>
        <v>25</v>
      </c>
      <c r="B31" s="2"/>
      <c r="C31" s="28"/>
      <c r="D31" s="28"/>
      <c r="E31" s="28"/>
      <c r="F31" s="28"/>
    </row>
    <row r="32" spans="1:9">
      <c r="A32" s="1">
        <f t="shared" si="0"/>
        <v>26</v>
      </c>
      <c r="B32" s="2" t="s">
        <v>35</v>
      </c>
      <c r="C32" s="28">
        <v>241943.46</v>
      </c>
      <c r="D32" s="28">
        <v>0</v>
      </c>
      <c r="E32" s="28">
        <f>C32+D32</f>
        <v>241943.46</v>
      </c>
      <c r="F32" s="28">
        <f>E32</f>
        <v>241943.46</v>
      </c>
    </row>
    <row r="33" spans="1:8">
      <c r="A33" s="1">
        <f t="shared" si="0"/>
        <v>27</v>
      </c>
      <c r="B33" s="2" t="s">
        <v>208</v>
      </c>
      <c r="C33" s="28">
        <v>0</v>
      </c>
      <c r="D33" s="28">
        <v>0</v>
      </c>
      <c r="E33" s="28">
        <f>C33+D33</f>
        <v>0</v>
      </c>
      <c r="F33" s="28">
        <f t="shared" ref="F33:F36" si="4">E33</f>
        <v>0</v>
      </c>
    </row>
    <row r="34" spans="1:8">
      <c r="A34" s="1">
        <f t="shared" si="0"/>
        <v>28</v>
      </c>
      <c r="B34" s="2" t="s">
        <v>36</v>
      </c>
      <c r="C34" s="28">
        <v>13418.42</v>
      </c>
      <c r="D34" s="28">
        <v>0</v>
      </c>
      <c r="E34" s="28">
        <f>C34+D34</f>
        <v>13418.42</v>
      </c>
      <c r="F34" s="28">
        <f t="shared" si="4"/>
        <v>13418.42</v>
      </c>
    </row>
    <row r="35" spans="1:8">
      <c r="A35" s="1">
        <f t="shared" si="0"/>
        <v>29</v>
      </c>
      <c r="B35" s="2" t="s">
        <v>32</v>
      </c>
      <c r="C35" s="28">
        <v>0</v>
      </c>
      <c r="D35" s="28">
        <v>0</v>
      </c>
      <c r="E35" s="108">
        <f>C35+D35</f>
        <v>0</v>
      </c>
      <c r="F35" s="108">
        <f t="shared" si="4"/>
        <v>0</v>
      </c>
    </row>
    <row r="36" spans="1:8">
      <c r="A36" s="1">
        <f t="shared" si="0"/>
        <v>30</v>
      </c>
      <c r="B36" s="2" t="s">
        <v>88</v>
      </c>
      <c r="C36" s="28">
        <v>243602.5</v>
      </c>
      <c r="D36" s="28">
        <v>0</v>
      </c>
      <c r="E36" s="28">
        <f>C36+D36</f>
        <v>243602.5</v>
      </c>
      <c r="F36" s="28">
        <f t="shared" si="4"/>
        <v>243602.5</v>
      </c>
    </row>
    <row r="37" spans="1:8">
      <c r="A37" s="1">
        <f t="shared" si="0"/>
        <v>31</v>
      </c>
      <c r="B37" s="2"/>
      <c r="C37" s="28"/>
      <c r="D37" s="28"/>
      <c r="E37" s="28"/>
      <c r="F37" s="28"/>
    </row>
    <row r="38" spans="1:8" ht="15" thickBot="1">
      <c r="A38" s="1">
        <f t="shared" si="0"/>
        <v>32</v>
      </c>
      <c r="B38" s="3" t="s">
        <v>89</v>
      </c>
      <c r="C38" s="44">
        <f>C30+SUM(C32:C36)</f>
        <v>640800.68000001193</v>
      </c>
      <c r="D38" s="44">
        <f>D30+SUM(D32:D36)</f>
        <v>-151490.73326731101</v>
      </c>
      <c r="E38" s="44">
        <f>E30+SUM(E32:E36)</f>
        <v>489309.94673268974</v>
      </c>
      <c r="F38" s="44">
        <f>F30+SUM(F32:F36)</f>
        <v>2241960.4125342416</v>
      </c>
      <c r="H38" s="89"/>
    </row>
    <row r="39" spans="1:8" ht="15" thickTop="1">
      <c r="A39" s="1">
        <f t="shared" si="0"/>
        <v>33</v>
      </c>
      <c r="B39" s="2"/>
      <c r="C39" s="28"/>
      <c r="D39" s="28"/>
      <c r="E39" s="28"/>
      <c r="F39" s="28"/>
    </row>
    <row r="40" spans="1:8">
      <c r="A40" s="1">
        <f t="shared" si="0"/>
        <v>34</v>
      </c>
      <c r="B40" s="2" t="s">
        <v>151</v>
      </c>
      <c r="C40" s="28">
        <v>13876.09</v>
      </c>
      <c r="D40" s="28">
        <v>0</v>
      </c>
      <c r="E40" s="28">
        <f>C40+D40</f>
        <v>13876.09</v>
      </c>
      <c r="F40" s="28">
        <f t="shared" ref="F40" si="5">D40+E40</f>
        <v>13876.09</v>
      </c>
    </row>
    <row r="41" spans="1:8">
      <c r="A41" s="1">
        <f t="shared" si="0"/>
        <v>35</v>
      </c>
      <c r="B41" s="2" t="s">
        <v>91</v>
      </c>
      <c r="C41" s="91">
        <f>(C30+C40+C24)/C24</f>
        <v>1.0817926877093866</v>
      </c>
      <c r="D41" s="109"/>
      <c r="E41" s="91">
        <f>(E30+E40+E24)/E24</f>
        <v>1.0020424982426213</v>
      </c>
      <c r="F41" s="91">
        <f>(F30+F40+F24)/F24</f>
        <v>1.8499999999999976</v>
      </c>
    </row>
    <row r="42" spans="1:8">
      <c r="A42" s="1">
        <f t="shared" si="0"/>
        <v>36</v>
      </c>
      <c r="B42" s="2" t="s">
        <v>72</v>
      </c>
      <c r="C42" s="91">
        <f>(C38+C24)/C24</f>
        <v>1.3366001247761954</v>
      </c>
      <c r="D42" s="109"/>
      <c r="E42" s="91">
        <f>(E38+E24)/E24</f>
        <v>1.2367351894245102</v>
      </c>
      <c r="F42" s="91">
        <f>(F38+F24)/F24</f>
        <v>2.0846926911818868</v>
      </c>
    </row>
    <row r="43" spans="1:8">
      <c r="A43" s="1">
        <f t="shared" si="0"/>
        <v>37</v>
      </c>
      <c r="B43" s="2" t="s">
        <v>90</v>
      </c>
      <c r="C43" s="91">
        <f>(C24+C38-C35)/C24</f>
        <v>1.3366001247761954</v>
      </c>
      <c r="D43" s="109"/>
      <c r="E43" s="91">
        <f>(E24+E38-E35)/E24</f>
        <v>1.2367351894245102</v>
      </c>
      <c r="F43" s="91">
        <f>(F24+F38-F35)/F24</f>
        <v>2.0846926911818868</v>
      </c>
    </row>
    <row r="44" spans="1:8" ht="14.25" customHeight="1">
      <c r="A44" s="1">
        <f t="shared" si="0"/>
        <v>38</v>
      </c>
      <c r="B44" s="2"/>
      <c r="C44" s="2"/>
      <c r="D44" s="2"/>
      <c r="E44" s="2"/>
      <c r="F44" s="2"/>
    </row>
    <row r="45" spans="1:8" hidden="1">
      <c r="A45" s="1"/>
      <c r="B45" s="2" t="s">
        <v>212</v>
      </c>
      <c r="C45" s="91">
        <v>2</v>
      </c>
      <c r="D45" s="91"/>
      <c r="E45" s="91">
        <v>3</v>
      </c>
      <c r="F45" s="91">
        <v>4</v>
      </c>
    </row>
    <row r="46" spans="1:8" hidden="1">
      <c r="A46" s="1"/>
      <c r="B46" s="2" t="s">
        <v>213</v>
      </c>
      <c r="C46" s="28">
        <f>C45*C24-C24</f>
        <v>1903744.63</v>
      </c>
      <c r="D46" s="28"/>
      <c r="E46" s="28">
        <f>E45*E24-E24</f>
        <v>4133816.7589041088</v>
      </c>
      <c r="F46" s="28">
        <f>F45*F24-F24</f>
        <v>6200725.1383561632</v>
      </c>
    </row>
    <row r="47" spans="1:8" hidden="1">
      <c r="A47" s="1"/>
      <c r="B47" s="2" t="s">
        <v>214</v>
      </c>
      <c r="C47" s="28">
        <f>C28+C46</f>
        <v>87901892.979999989</v>
      </c>
      <c r="D47" s="28"/>
      <c r="E47" s="28">
        <f>E28+E46</f>
        <v>80538770.502171427</v>
      </c>
      <c r="F47" s="28">
        <f>F28+F46</f>
        <v>82605678.881623477</v>
      </c>
    </row>
    <row r="48" spans="1:8" hidden="1">
      <c r="A48" s="1"/>
      <c r="B48" s="2" t="s">
        <v>215</v>
      </c>
      <c r="C48" s="28">
        <f>C46-C38</f>
        <v>1262943.9499999881</v>
      </c>
      <c r="D48" s="28"/>
      <c r="E48" s="28">
        <f>E46-E38</f>
        <v>3644506.8121714192</v>
      </c>
      <c r="F48" s="28">
        <f>F46-F38</f>
        <v>3958764.7258219216</v>
      </c>
    </row>
    <row r="49" spans="1:9" hidden="1">
      <c r="A49" s="1"/>
      <c r="B49" s="2"/>
      <c r="C49" s="28"/>
      <c r="D49" s="28"/>
      <c r="E49" s="28"/>
      <c r="F49" s="28"/>
    </row>
    <row r="50" spans="1:9">
      <c r="A50" s="1">
        <f>A44+1</f>
        <v>39</v>
      </c>
      <c r="B50" s="2" t="s">
        <v>216</v>
      </c>
      <c r="C50" s="91">
        <v>1.85</v>
      </c>
      <c r="D50" s="109"/>
      <c r="E50" s="91">
        <f>C50</f>
        <v>1.85</v>
      </c>
      <c r="F50" s="109"/>
    </row>
    <row r="51" spans="1:9">
      <c r="A51" s="1">
        <f t="shared" si="0"/>
        <v>40</v>
      </c>
      <c r="B51" s="2" t="s">
        <v>217</v>
      </c>
      <c r="C51" s="28">
        <f>C50*C24-C24-C40+SUM(C32:C36)</f>
        <v>2103271.2255000002</v>
      </c>
      <c r="D51" s="110"/>
      <c r="E51" s="28">
        <f>E50*E24-E24-E40+SUM(E32:E36)</f>
        <v>2241960.4125342462</v>
      </c>
      <c r="F51" s="110"/>
    </row>
    <row r="52" spans="1:9">
      <c r="A52" s="1">
        <f t="shared" si="0"/>
        <v>41</v>
      </c>
      <c r="B52" s="2" t="s">
        <v>214</v>
      </c>
      <c r="C52" s="28">
        <f>C28+C51</f>
        <v>88101419.575499997</v>
      </c>
      <c r="D52" s="110"/>
      <c r="E52" s="28">
        <f>E28+E51</f>
        <v>78646914.155801564</v>
      </c>
      <c r="F52" s="110"/>
    </row>
    <row r="53" spans="1:9">
      <c r="A53" s="1">
        <f t="shared" si="0"/>
        <v>42</v>
      </c>
      <c r="B53" s="2" t="s">
        <v>215</v>
      </c>
      <c r="C53" s="28">
        <f>C51-C38</f>
        <v>1462470.5454999884</v>
      </c>
      <c r="D53" s="110"/>
      <c r="E53" s="28">
        <f>E51-E38</f>
        <v>1752650.4658015566</v>
      </c>
      <c r="F53" s="110"/>
    </row>
    <row r="54" spans="1:9">
      <c r="A54" s="1">
        <f t="shared" si="0"/>
        <v>43</v>
      </c>
      <c r="B54" s="2"/>
      <c r="C54" s="2"/>
      <c r="D54" s="28"/>
      <c r="E54" s="2"/>
      <c r="F54" s="28"/>
    </row>
    <row r="55" spans="1:9">
      <c r="A55" s="1">
        <f t="shared" si="0"/>
        <v>44</v>
      </c>
      <c r="B55" s="2" t="s">
        <v>218</v>
      </c>
      <c r="C55" s="93">
        <v>0.05</v>
      </c>
      <c r="D55" s="110"/>
      <c r="E55" s="93">
        <f>C55</f>
        <v>0.05</v>
      </c>
      <c r="F55" s="110"/>
    </row>
    <row r="56" spans="1:9">
      <c r="A56" s="1">
        <f t="shared" si="0"/>
        <v>45</v>
      </c>
      <c r="B56" s="2" t="s">
        <v>219</v>
      </c>
      <c r="C56" s="28">
        <f>C55*C8</f>
        <v>4240230.7350000003</v>
      </c>
      <c r="D56" s="110"/>
      <c r="E56" s="28">
        <f>E55*E8</f>
        <v>3752996.4680000003</v>
      </c>
      <c r="F56" s="110"/>
    </row>
    <row r="57" spans="1:9">
      <c r="A57" s="1">
        <f t="shared" si="0"/>
        <v>46</v>
      </c>
      <c r="B57" s="2"/>
      <c r="C57" s="2"/>
      <c r="D57" s="2"/>
      <c r="E57" s="2"/>
      <c r="F57" s="2"/>
    </row>
    <row r="58" spans="1:9">
      <c r="A58" s="1">
        <f t="shared" si="0"/>
        <v>47</v>
      </c>
      <c r="B58" s="37" t="s">
        <v>220</v>
      </c>
      <c r="C58" s="94">
        <f>MIN(C53,C56)</f>
        <v>1462470.5454999884</v>
      </c>
      <c r="D58" s="111"/>
      <c r="E58" s="94">
        <f>MIN(E53,E56)</f>
        <v>1752650.4658015566</v>
      </c>
      <c r="F58" s="111"/>
    </row>
    <row r="59" spans="1:9">
      <c r="A59" s="1">
        <f t="shared" si="0"/>
        <v>48</v>
      </c>
      <c r="B59" s="96" t="s">
        <v>220</v>
      </c>
      <c r="C59" s="97">
        <f>C58/C8</f>
        <v>1.7245176464435824E-2</v>
      </c>
      <c r="D59" s="112"/>
      <c r="E59" s="97">
        <f>E58/C8</f>
        <v>2.066692328007896E-2</v>
      </c>
      <c r="F59" s="112"/>
    </row>
    <row r="60" spans="1:9">
      <c r="A60" s="1">
        <f t="shared" si="0"/>
        <v>49</v>
      </c>
      <c r="B60" s="95"/>
      <c r="C60" s="2"/>
      <c r="D60" s="2"/>
      <c r="E60" s="2"/>
      <c r="F60" s="2"/>
    </row>
    <row r="61" spans="1:9">
      <c r="A61" s="1">
        <f t="shared" si="0"/>
        <v>50</v>
      </c>
      <c r="B61" s="2" t="s">
        <v>237</v>
      </c>
      <c r="C61" s="2"/>
      <c r="D61" s="2"/>
      <c r="E61" s="182">
        <f>E53</f>
        <v>1752650.4658015566</v>
      </c>
      <c r="F61" s="2"/>
      <c r="H61" s="28">
        <v>1750780.2916666642</v>
      </c>
      <c r="I61" s="2" t="s">
        <v>448</v>
      </c>
    </row>
    <row r="62" spans="1:9">
      <c r="A62" s="1">
        <f t="shared" si="0"/>
        <v>51</v>
      </c>
      <c r="B62" s="2" t="s">
        <v>238</v>
      </c>
      <c r="C62" s="164"/>
      <c r="D62" s="2"/>
      <c r="E62" s="264">
        <f>E61/C8</f>
        <v>2.066692328007896E-2</v>
      </c>
      <c r="F62" s="114"/>
      <c r="H62" s="28">
        <f>E61-H61</f>
        <v>1870.1741348924115</v>
      </c>
      <c r="I62" s="92" t="s">
        <v>153</v>
      </c>
    </row>
    <row r="64" spans="1:9">
      <c r="E64" s="89"/>
      <c r="F64" s="89"/>
    </row>
    <row r="67" ht="29.25" customHeight="1"/>
  </sheetData>
  <printOptions horizontalCentered="1"/>
  <pageMargins left="0.7" right="0.7" top="0.75" bottom="0.75" header="0.3" footer="0.3"/>
  <pageSetup scale="79" orientation="portrait" r:id="rId1"/>
  <headerFooter>
    <oddFooter>&amp;R&amp;"Times New Roman,Regular"&amp;12Exhibit JW-2
Page &amp;P of &amp;N</oddFooter>
  </headerFooter>
  <ignoredErrors>
    <ignoredError sqref="C43 F41 F10 E52:E54 D62 D61 E56:E57 F61" evalError="1"/>
    <ignoredError sqref="E20 E28 E30" formula="1"/>
    <ignoredError sqref="J6 D6:F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2">
    <pageSetUpPr fitToPage="1"/>
  </sheetPr>
  <dimension ref="A1:J60"/>
  <sheetViews>
    <sheetView view="pageBreakPreview" topLeftCell="A25" zoomScaleNormal="100" zoomScaleSheetLayoutView="100" workbookViewId="0">
      <selection activeCell="I15" sqref="I15"/>
    </sheetView>
  </sheetViews>
  <sheetFormatPr defaultColWidth="9.15234375" defaultRowHeight="12.45"/>
  <cols>
    <col min="1" max="1" width="5.84375" style="2" customWidth="1"/>
    <col min="2" max="2" width="2.3046875" style="2" customWidth="1"/>
    <col min="3" max="3" width="13.3046875" style="2" customWidth="1"/>
    <col min="4" max="4" width="10.84375" style="2" customWidth="1"/>
    <col min="5" max="5" width="2.53515625" style="2" customWidth="1"/>
    <col min="6" max="6" width="12.53515625" style="2" bestFit="1" customWidth="1"/>
    <col min="7" max="7" width="14" style="2" customWidth="1"/>
    <col min="8" max="9" width="11.3046875" style="2" bestFit="1" customWidth="1"/>
    <col min="10" max="10" width="11.69140625" style="2" customWidth="1"/>
    <col min="11" max="16384" width="9.15234375" style="2"/>
  </cols>
  <sheetData>
    <row r="1" spans="1:10">
      <c r="J1" s="139" t="s">
        <v>244</v>
      </c>
    </row>
    <row r="2" spans="1:10" ht="20.25" customHeight="1">
      <c r="J2" s="139"/>
    </row>
    <row r="3" spans="1:10">
      <c r="G3" s="139"/>
    </row>
    <row r="4" spans="1:10">
      <c r="A4" s="314" t="str">
        <f>RevReq!A1</f>
        <v>MEADE COUNTY R.E.C.C.</v>
      </c>
      <c r="B4" s="314"/>
      <c r="C4" s="314"/>
      <c r="D4" s="314"/>
      <c r="E4" s="314"/>
      <c r="F4" s="314"/>
      <c r="G4" s="314"/>
      <c r="H4" s="314"/>
      <c r="I4" s="314"/>
      <c r="J4" s="314"/>
    </row>
    <row r="5" spans="1:10">
      <c r="A5" s="314" t="str">
        <f>RevReq!A3</f>
        <v>For the 12 Months Ended December 31, 2024</v>
      </c>
      <c r="B5" s="314"/>
      <c r="C5" s="314"/>
      <c r="D5" s="314"/>
      <c r="E5" s="314"/>
      <c r="F5" s="314"/>
      <c r="G5" s="314"/>
      <c r="H5" s="314"/>
      <c r="I5" s="314"/>
      <c r="J5" s="314"/>
    </row>
    <row r="7" spans="1:10" s="140" customFormat="1" ht="15" customHeight="1">
      <c r="A7" s="315" t="s">
        <v>47</v>
      </c>
      <c r="B7" s="315"/>
      <c r="C7" s="315"/>
      <c r="D7" s="315"/>
      <c r="E7" s="315"/>
      <c r="F7" s="315"/>
      <c r="G7" s="315"/>
      <c r="H7" s="315"/>
      <c r="I7" s="315"/>
      <c r="J7" s="315"/>
    </row>
    <row r="9" spans="1:10" ht="37.299999999999997">
      <c r="A9" s="1" t="s">
        <v>0</v>
      </c>
      <c r="C9" s="1" t="s">
        <v>16</v>
      </c>
      <c r="D9" s="1" t="s">
        <v>17</v>
      </c>
      <c r="E9" s="1"/>
      <c r="F9" s="31" t="s">
        <v>332</v>
      </c>
      <c r="G9" s="31" t="s">
        <v>333</v>
      </c>
      <c r="H9" s="31" t="s">
        <v>334</v>
      </c>
      <c r="I9" s="31" t="s">
        <v>424</v>
      </c>
      <c r="J9" s="1" t="s">
        <v>44</v>
      </c>
    </row>
    <row r="10" spans="1:10">
      <c r="A10" s="32" t="s">
        <v>21</v>
      </c>
      <c r="C10" s="173" t="s">
        <v>18</v>
      </c>
      <c r="D10" s="173" t="s">
        <v>20</v>
      </c>
      <c r="E10" s="1"/>
      <c r="F10" s="173" t="s">
        <v>19</v>
      </c>
      <c r="G10" s="173" t="s">
        <v>25</v>
      </c>
      <c r="H10" s="173" t="s">
        <v>48</v>
      </c>
      <c r="I10" s="173" t="s">
        <v>49</v>
      </c>
      <c r="J10" s="173" t="s">
        <v>50</v>
      </c>
    </row>
    <row r="11" spans="1:10">
      <c r="A11" s="1"/>
    </row>
    <row r="12" spans="1:10">
      <c r="A12" s="1"/>
    </row>
    <row r="13" spans="1:10">
      <c r="A13" s="1">
        <v>1</v>
      </c>
      <c r="C13" s="1">
        <v>2024</v>
      </c>
      <c r="D13" s="1" t="s">
        <v>6</v>
      </c>
      <c r="E13" s="144"/>
      <c r="F13" s="290">
        <v>29067</v>
      </c>
      <c r="G13" s="290">
        <v>1838</v>
      </c>
      <c r="H13" s="290">
        <v>402</v>
      </c>
      <c r="I13" s="290">
        <v>3</v>
      </c>
      <c r="J13" s="178"/>
    </row>
    <row r="14" spans="1:10">
      <c r="A14" s="1">
        <f>A13+1</f>
        <v>2</v>
      </c>
      <c r="C14" s="1">
        <v>2024</v>
      </c>
      <c r="D14" s="1" t="s">
        <v>7</v>
      </c>
      <c r="E14" s="144"/>
      <c r="F14" s="290">
        <v>29075</v>
      </c>
      <c r="G14" s="290">
        <v>1831</v>
      </c>
      <c r="H14" s="290">
        <v>401</v>
      </c>
      <c r="I14" s="290">
        <v>3</v>
      </c>
      <c r="J14" s="179"/>
    </row>
    <row r="15" spans="1:10">
      <c r="A15" s="1">
        <f t="shared" ref="A15:A58" si="0">A14+1</f>
        <v>3</v>
      </c>
      <c r="C15" s="1">
        <v>2024</v>
      </c>
      <c r="D15" s="1" t="s">
        <v>8</v>
      </c>
      <c r="E15" s="144"/>
      <c r="F15" s="290">
        <v>29111</v>
      </c>
      <c r="G15" s="290">
        <v>1817</v>
      </c>
      <c r="H15" s="290">
        <v>399</v>
      </c>
      <c r="I15" s="290">
        <v>4</v>
      </c>
      <c r="J15" s="179"/>
    </row>
    <row r="16" spans="1:10">
      <c r="A16" s="1">
        <f t="shared" si="0"/>
        <v>4</v>
      </c>
      <c r="C16" s="1">
        <v>2024</v>
      </c>
      <c r="D16" s="1" t="s">
        <v>9</v>
      </c>
      <c r="E16" s="144"/>
      <c r="F16" s="290">
        <v>29125</v>
      </c>
      <c r="G16" s="290">
        <v>1809</v>
      </c>
      <c r="H16" s="290">
        <v>400</v>
      </c>
      <c r="I16" s="290">
        <v>5</v>
      </c>
      <c r="J16" s="179"/>
    </row>
    <row r="17" spans="1:10">
      <c r="A17" s="1">
        <f t="shared" si="0"/>
        <v>5</v>
      </c>
      <c r="C17" s="1">
        <v>2024</v>
      </c>
      <c r="D17" s="1" t="s">
        <v>10</v>
      </c>
      <c r="E17" s="144"/>
      <c r="F17" s="290">
        <v>29170</v>
      </c>
      <c r="G17" s="290">
        <v>1812</v>
      </c>
      <c r="H17" s="290">
        <v>399</v>
      </c>
      <c r="I17" s="290">
        <v>5</v>
      </c>
      <c r="J17" s="179"/>
    </row>
    <row r="18" spans="1:10">
      <c r="A18" s="1">
        <f t="shared" si="0"/>
        <v>6</v>
      </c>
      <c r="C18" s="1">
        <v>2024</v>
      </c>
      <c r="D18" s="1" t="s">
        <v>11</v>
      </c>
      <c r="E18" s="144"/>
      <c r="F18" s="290">
        <v>29240</v>
      </c>
      <c r="G18" s="290">
        <v>1815</v>
      </c>
      <c r="H18" s="290">
        <v>402</v>
      </c>
      <c r="I18" s="290">
        <v>5</v>
      </c>
      <c r="J18" s="179"/>
    </row>
    <row r="19" spans="1:10">
      <c r="A19" s="1">
        <f t="shared" si="0"/>
        <v>7</v>
      </c>
      <c r="C19" s="1">
        <v>2024</v>
      </c>
      <c r="D19" s="1" t="s">
        <v>12</v>
      </c>
      <c r="E19" s="144"/>
      <c r="F19" s="290">
        <v>29290</v>
      </c>
      <c r="G19" s="290">
        <v>1818</v>
      </c>
      <c r="H19" s="290">
        <v>402</v>
      </c>
      <c r="I19" s="290">
        <v>5</v>
      </c>
      <c r="J19" s="179"/>
    </row>
    <row r="20" spans="1:10">
      <c r="A20" s="1">
        <f t="shared" si="0"/>
        <v>8</v>
      </c>
      <c r="C20" s="1">
        <v>2024</v>
      </c>
      <c r="D20" s="1" t="s">
        <v>13</v>
      </c>
      <c r="E20" s="144"/>
      <c r="F20" s="290">
        <v>29309</v>
      </c>
      <c r="G20" s="290">
        <v>1818</v>
      </c>
      <c r="H20" s="290">
        <v>403</v>
      </c>
      <c r="I20" s="290">
        <v>5</v>
      </c>
      <c r="J20" s="179"/>
    </row>
    <row r="21" spans="1:10">
      <c r="A21" s="1">
        <f t="shared" si="0"/>
        <v>9</v>
      </c>
      <c r="C21" s="1">
        <v>2024</v>
      </c>
      <c r="D21" s="1" t="s">
        <v>2</v>
      </c>
      <c r="E21" s="144"/>
      <c r="F21" s="290">
        <v>29340</v>
      </c>
      <c r="G21" s="290">
        <v>1822</v>
      </c>
      <c r="H21" s="290">
        <v>403</v>
      </c>
      <c r="I21" s="290">
        <v>5</v>
      </c>
      <c r="J21" s="179"/>
    </row>
    <row r="22" spans="1:10">
      <c r="A22" s="1">
        <f t="shared" si="0"/>
        <v>10</v>
      </c>
      <c r="C22" s="1">
        <v>2024</v>
      </c>
      <c r="D22" s="1" t="s">
        <v>3</v>
      </c>
      <c r="E22" s="144"/>
      <c r="F22" s="290">
        <v>29390</v>
      </c>
      <c r="G22" s="290">
        <v>1825</v>
      </c>
      <c r="H22" s="290">
        <v>405</v>
      </c>
      <c r="I22" s="290">
        <v>5</v>
      </c>
      <c r="J22" s="179"/>
    </row>
    <row r="23" spans="1:10">
      <c r="A23" s="1">
        <f t="shared" si="0"/>
        <v>11</v>
      </c>
      <c r="C23" s="1">
        <v>2024</v>
      </c>
      <c r="D23" s="1" t="s">
        <v>4</v>
      </c>
      <c r="E23" s="144"/>
      <c r="F23" s="290">
        <v>29428</v>
      </c>
      <c r="G23" s="290">
        <v>1811</v>
      </c>
      <c r="H23" s="290">
        <v>404</v>
      </c>
      <c r="I23" s="290">
        <v>5</v>
      </c>
      <c r="J23" s="179"/>
    </row>
    <row r="24" spans="1:10">
      <c r="A24" s="1">
        <f t="shared" si="0"/>
        <v>12</v>
      </c>
      <c r="C24" s="1">
        <v>2024</v>
      </c>
      <c r="D24" s="1" t="s">
        <v>5</v>
      </c>
      <c r="E24" s="144"/>
      <c r="F24" s="290">
        <v>29430</v>
      </c>
      <c r="G24" s="290">
        <v>1807</v>
      </c>
      <c r="H24" s="290">
        <v>404</v>
      </c>
      <c r="I24" s="290">
        <v>5</v>
      </c>
      <c r="J24" s="179"/>
    </row>
    <row r="25" spans="1:10">
      <c r="A25" s="1">
        <f t="shared" si="0"/>
        <v>13</v>
      </c>
      <c r="C25" s="4" t="s">
        <v>52</v>
      </c>
      <c r="D25" s="37"/>
      <c r="E25" s="174"/>
      <c r="F25" s="180">
        <f>AVERAGE(F13:F24)</f>
        <v>29247.916666666668</v>
      </c>
      <c r="G25" s="180">
        <f t="shared" ref="G25:I25" si="1">AVERAGE(G13:G24)</f>
        <v>1818.5833333333333</v>
      </c>
      <c r="H25" s="180">
        <f t="shared" si="1"/>
        <v>402</v>
      </c>
      <c r="I25" s="180">
        <f t="shared" si="1"/>
        <v>4.583333333333333</v>
      </c>
      <c r="J25" s="179"/>
    </row>
    <row r="26" spans="1:10">
      <c r="A26" s="1">
        <f t="shared" si="0"/>
        <v>14</v>
      </c>
    </row>
    <row r="27" spans="1:10">
      <c r="A27" s="1">
        <f t="shared" si="0"/>
        <v>15</v>
      </c>
      <c r="C27" s="25" t="s">
        <v>67</v>
      </c>
      <c r="E27" s="174"/>
      <c r="F27" s="263">
        <f>F24-F25</f>
        <v>182.08333333333212</v>
      </c>
      <c r="G27" s="263">
        <f>G24-G25</f>
        <v>-11.583333333333258</v>
      </c>
      <c r="H27" s="263">
        <f>H24-H25</f>
        <v>2</v>
      </c>
      <c r="I27" s="263">
        <f>I24-I25</f>
        <v>0.41666666666666696</v>
      </c>
      <c r="J27" s="179"/>
    </row>
    <row r="28" spans="1:10">
      <c r="A28" s="1">
        <f t="shared" si="0"/>
        <v>16</v>
      </c>
      <c r="D28" s="1"/>
      <c r="E28" s="174"/>
      <c r="F28" s="174"/>
      <c r="G28" s="174"/>
    </row>
    <row r="29" spans="1:10">
      <c r="A29" s="1">
        <f t="shared" si="0"/>
        <v>17</v>
      </c>
      <c r="C29" s="2" t="s">
        <v>53</v>
      </c>
      <c r="D29" s="1"/>
      <c r="E29" s="174"/>
      <c r="F29" s="181">
        <v>333689905</v>
      </c>
      <c r="G29" s="181">
        <v>25940828</v>
      </c>
      <c r="H29" s="181">
        <v>65478568</v>
      </c>
      <c r="I29" s="181">
        <v>6968834</v>
      </c>
      <c r="J29" s="179"/>
    </row>
    <row r="30" spans="1:10">
      <c r="A30" s="1">
        <f t="shared" si="0"/>
        <v>18</v>
      </c>
      <c r="C30" s="2" t="s">
        <v>54</v>
      </c>
      <c r="D30" s="1"/>
      <c r="E30" s="174"/>
      <c r="F30" s="181">
        <f>F29/F25</f>
        <v>11409.014488211411</v>
      </c>
      <c r="G30" s="181">
        <f>G29/G25</f>
        <v>14264.305365898364</v>
      </c>
      <c r="H30" s="181">
        <f>H29/H25</f>
        <v>162882.00995024876</v>
      </c>
      <c r="I30" s="181">
        <f>I29/I25</f>
        <v>1520472.8727272728</v>
      </c>
      <c r="J30" s="179"/>
    </row>
    <row r="31" spans="1:10">
      <c r="A31" s="1">
        <f t="shared" si="0"/>
        <v>19</v>
      </c>
      <c r="C31" s="2" t="s">
        <v>55</v>
      </c>
      <c r="D31" s="1"/>
      <c r="E31" s="174"/>
      <c r="F31" s="181">
        <f>F30*F27</f>
        <v>2077391.388061814</v>
      </c>
      <c r="G31" s="181">
        <f>G30*G27</f>
        <v>-165228.20382165498</v>
      </c>
      <c r="H31" s="181">
        <f>H30*H27</f>
        <v>325764.01990049751</v>
      </c>
      <c r="I31" s="181">
        <f>I30*I27</f>
        <v>633530.36363636411</v>
      </c>
      <c r="J31" s="182">
        <f>SUM(F31:I31)</f>
        <v>2871457.5677770209</v>
      </c>
    </row>
    <row r="32" spans="1:10">
      <c r="A32" s="1">
        <f t="shared" si="0"/>
        <v>20</v>
      </c>
      <c r="D32" s="1"/>
      <c r="E32" s="174"/>
      <c r="F32" s="174"/>
      <c r="G32" s="174"/>
    </row>
    <row r="33" spans="1:10">
      <c r="A33" s="1">
        <f t="shared" si="0"/>
        <v>21</v>
      </c>
      <c r="C33" s="88" t="s">
        <v>59</v>
      </c>
      <c r="D33" s="1"/>
      <c r="E33" s="174"/>
      <c r="F33" s="174"/>
      <c r="G33" s="174"/>
    </row>
    <row r="34" spans="1:10">
      <c r="A34" s="1">
        <f t="shared" si="0"/>
        <v>22</v>
      </c>
      <c r="C34" s="2" t="s">
        <v>56</v>
      </c>
      <c r="D34" s="1"/>
      <c r="E34" s="174"/>
      <c r="F34" s="174">
        <v>39913210.425991669</v>
      </c>
      <c r="G34" s="174">
        <v>3247119.5754319998</v>
      </c>
      <c r="H34" s="144">
        <v>7459313.6299920008</v>
      </c>
      <c r="I34" s="144">
        <v>902541.90520199994</v>
      </c>
      <c r="J34" s="179"/>
    </row>
    <row r="35" spans="1:10">
      <c r="A35" s="1">
        <f t="shared" si="0"/>
        <v>23</v>
      </c>
      <c r="C35" s="2" t="s">
        <v>57</v>
      </c>
      <c r="D35" s="1"/>
      <c r="E35" s="174"/>
      <c r="F35" s="183">
        <f>F34/F29</f>
        <v>0.11961168086877447</v>
      </c>
      <c r="G35" s="183">
        <f>G34/G29</f>
        <v>0.1251740914141985</v>
      </c>
      <c r="H35" s="183">
        <f>H34/H29</f>
        <v>0.11391992613509815</v>
      </c>
      <c r="I35" s="183">
        <f>I34/I29</f>
        <v>0.12951117865657297</v>
      </c>
      <c r="J35" s="179"/>
    </row>
    <row r="36" spans="1:10">
      <c r="A36" s="1">
        <f t="shared" si="0"/>
        <v>24</v>
      </c>
      <c r="C36" s="2" t="s">
        <v>58</v>
      </c>
      <c r="D36" s="1"/>
      <c r="E36" s="174"/>
      <c r="F36" s="174">
        <f>F35*F31</f>
        <v>248480.27574839012</v>
      </c>
      <c r="G36" s="174">
        <f>G35*G31</f>
        <v>-20682.290289375662</v>
      </c>
      <c r="H36" s="174">
        <f>H35*H31</f>
        <v>37111.013084537321</v>
      </c>
      <c r="I36" s="174">
        <f>I35*I31</f>
        <v>82049.264109272786</v>
      </c>
      <c r="J36" s="182">
        <f>SUM(F36:I36)</f>
        <v>346958.26265282457</v>
      </c>
    </row>
    <row r="37" spans="1:10">
      <c r="A37" s="1">
        <f t="shared" si="0"/>
        <v>25</v>
      </c>
      <c r="D37" s="1"/>
      <c r="E37" s="174"/>
      <c r="F37" s="174"/>
      <c r="G37" s="174"/>
      <c r="H37" s="174"/>
      <c r="I37" s="174"/>
    </row>
    <row r="38" spans="1:10">
      <c r="A38" s="1">
        <f t="shared" si="0"/>
        <v>26</v>
      </c>
      <c r="C38" s="88" t="s">
        <v>60</v>
      </c>
      <c r="D38" s="1"/>
      <c r="E38" s="174"/>
      <c r="F38" s="174"/>
      <c r="G38" s="174"/>
      <c r="H38" s="174"/>
      <c r="I38" s="174"/>
    </row>
    <row r="39" spans="1:10">
      <c r="A39" s="1">
        <f t="shared" si="0"/>
        <v>27</v>
      </c>
      <c r="C39" s="2" t="s">
        <v>69</v>
      </c>
      <c r="D39" s="1"/>
      <c r="E39" s="174"/>
      <c r="F39" s="184">
        <f>G57/G58</f>
        <v>7.4841785580726863E-2</v>
      </c>
      <c r="G39" s="184">
        <f>F39</f>
        <v>7.4841785580726863E-2</v>
      </c>
      <c r="H39" s="184">
        <f>G39</f>
        <v>7.4841785580726863E-2</v>
      </c>
      <c r="I39" s="184">
        <f>H39</f>
        <v>7.4841785580726863E-2</v>
      </c>
      <c r="J39" s="179"/>
    </row>
    <row r="40" spans="1:10">
      <c r="A40" s="1">
        <f t="shared" si="0"/>
        <v>28</v>
      </c>
      <c r="C40" s="2" t="s">
        <v>61</v>
      </c>
      <c r="D40" s="1"/>
      <c r="E40" s="174"/>
      <c r="F40" s="174">
        <f>F39*F31</f>
        <v>155475.68083257083</v>
      </c>
      <c r="G40" s="174">
        <f>G39*G31</f>
        <v>-12365.973802308938</v>
      </c>
      <c r="H40" s="174">
        <f>H39*H31</f>
        <v>24380.760927308675</v>
      </c>
      <c r="I40" s="174">
        <f>I39*I31</f>
        <v>47414.54363415268</v>
      </c>
      <c r="J40" s="182">
        <f>SUM(F40:I40)</f>
        <v>214905.01159172325</v>
      </c>
    </row>
    <row r="41" spans="1:10" ht="12.9" thickBot="1">
      <c r="A41" s="1">
        <f t="shared" si="0"/>
        <v>29</v>
      </c>
      <c r="C41" s="185"/>
      <c r="D41" s="26"/>
      <c r="E41" s="186"/>
      <c r="F41" s="186"/>
      <c r="G41" s="186"/>
      <c r="H41" s="186"/>
      <c r="I41" s="186"/>
      <c r="J41" s="185"/>
    </row>
    <row r="42" spans="1:10" ht="12.9" thickTop="1">
      <c r="A42" s="1">
        <f t="shared" si="0"/>
        <v>30</v>
      </c>
      <c r="D42" s="1"/>
      <c r="E42" s="174"/>
    </row>
    <row r="43" spans="1:10">
      <c r="A43" s="1">
        <f t="shared" si="0"/>
        <v>31</v>
      </c>
      <c r="E43" s="174"/>
      <c r="F43" s="187" t="s">
        <v>33</v>
      </c>
      <c r="G43" s="187" t="s">
        <v>24</v>
      </c>
      <c r="J43" s="187" t="s">
        <v>70</v>
      </c>
    </row>
    <row r="44" spans="1:10">
      <c r="A44" s="1">
        <f t="shared" si="0"/>
        <v>32</v>
      </c>
      <c r="C44" s="2" t="s">
        <v>37</v>
      </c>
      <c r="E44" s="174"/>
      <c r="F44" s="115">
        <v>0</v>
      </c>
      <c r="G44" s="115">
        <v>0</v>
      </c>
      <c r="J44" s="188">
        <f>F44-G44</f>
        <v>0</v>
      </c>
    </row>
    <row r="45" spans="1:10">
      <c r="A45" s="1">
        <f t="shared" si="0"/>
        <v>33</v>
      </c>
      <c r="E45" s="174"/>
      <c r="F45" s="174"/>
    </row>
    <row r="46" spans="1:10">
      <c r="A46" s="1">
        <f t="shared" si="0"/>
        <v>34</v>
      </c>
      <c r="C46" s="2" t="s">
        <v>38</v>
      </c>
      <c r="E46" s="144"/>
      <c r="F46" s="144">
        <f>J36</f>
        <v>346958.26265282457</v>
      </c>
      <c r="G46" s="144">
        <f>J40</f>
        <v>214905.01159172325</v>
      </c>
      <c r="J46" s="188">
        <f>F46-G46</f>
        <v>132053.25106110133</v>
      </c>
    </row>
    <row r="47" spans="1:10">
      <c r="A47" s="1">
        <f t="shared" si="0"/>
        <v>35</v>
      </c>
      <c r="J47" s="182">
        <f>SUM(F47:I47)</f>
        <v>0</v>
      </c>
    </row>
    <row r="48" spans="1:10" ht="12.9" thickBot="1">
      <c r="A48" s="1">
        <f t="shared" si="0"/>
        <v>36</v>
      </c>
      <c r="C48" s="3" t="s">
        <v>15</v>
      </c>
      <c r="D48" s="3"/>
      <c r="E48" s="175"/>
      <c r="F48" s="176">
        <f>ROUND(F46-F44,2)</f>
        <v>346958.26</v>
      </c>
      <c r="G48" s="176">
        <f>ROUND(G46-G44,2)</f>
        <v>214905.01</v>
      </c>
      <c r="J48" s="176">
        <f>ROUND(J46-J44,2)</f>
        <v>132053.25</v>
      </c>
    </row>
    <row r="49" spans="1:10" ht="12.9" thickTop="1">
      <c r="A49" s="1">
        <f t="shared" si="0"/>
        <v>37</v>
      </c>
    </row>
    <row r="50" spans="1:10">
      <c r="A50" s="1">
        <f t="shared" si="0"/>
        <v>38</v>
      </c>
      <c r="G50" s="101" t="s">
        <v>423</v>
      </c>
    </row>
    <row r="51" spans="1:10">
      <c r="A51" s="1">
        <f t="shared" si="0"/>
        <v>39</v>
      </c>
      <c r="C51" s="154" t="s">
        <v>68</v>
      </c>
      <c r="G51" s="189" t="s">
        <v>222</v>
      </c>
    </row>
    <row r="52" spans="1:10">
      <c r="A52" s="1">
        <f t="shared" si="0"/>
        <v>40</v>
      </c>
      <c r="C52" s="2" t="s">
        <v>62</v>
      </c>
      <c r="D52" s="1"/>
      <c r="E52" s="174"/>
      <c r="G52" s="174">
        <v>44697623.149999999</v>
      </c>
    </row>
    <row r="53" spans="1:10">
      <c r="A53" s="1">
        <f t="shared" si="0"/>
        <v>41</v>
      </c>
      <c r="C53" s="2" t="s">
        <v>64</v>
      </c>
      <c r="D53" s="1"/>
      <c r="E53" s="174"/>
      <c r="G53" s="174">
        <v>-5350058.47</v>
      </c>
    </row>
    <row r="54" spans="1:10">
      <c r="A54" s="1">
        <f t="shared" si="0"/>
        <v>42</v>
      </c>
      <c r="C54" s="2" t="s">
        <v>63</v>
      </c>
      <c r="D54" s="1"/>
      <c r="E54" s="174"/>
      <c r="G54" s="174">
        <v>-3236541.4</v>
      </c>
    </row>
    <row r="55" spans="1:10">
      <c r="A55" s="1">
        <f t="shared" si="0"/>
        <v>43</v>
      </c>
      <c r="C55" s="2" t="s">
        <v>421</v>
      </c>
      <c r="D55" s="1"/>
      <c r="E55" s="174"/>
      <c r="G55" s="174">
        <v>-3173128.14</v>
      </c>
    </row>
    <row r="56" spans="1:10">
      <c r="A56" s="1">
        <f t="shared" si="0"/>
        <v>44</v>
      </c>
      <c r="C56" s="2" t="s">
        <v>422</v>
      </c>
      <c r="D56" s="1"/>
      <c r="E56" s="174"/>
      <c r="G56" s="174">
        <v>1668084.41</v>
      </c>
    </row>
    <row r="57" spans="1:10">
      <c r="A57" s="1">
        <f t="shared" si="0"/>
        <v>45</v>
      </c>
      <c r="C57" s="2" t="s">
        <v>65</v>
      </c>
      <c r="D57" s="1"/>
      <c r="E57" s="174"/>
      <c r="G57" s="174">
        <f>SUM(G52:G56)</f>
        <v>34605979.549999997</v>
      </c>
    </row>
    <row r="58" spans="1:10">
      <c r="A58" s="1">
        <f t="shared" si="0"/>
        <v>46</v>
      </c>
      <c r="C58" s="2" t="s">
        <v>66</v>
      </c>
      <c r="D58" s="1"/>
      <c r="E58" s="174"/>
      <c r="G58" s="181">
        <v>462388481</v>
      </c>
    </row>
    <row r="60" spans="1:10" ht="27" customHeight="1">
      <c r="C60" s="316" t="s">
        <v>158</v>
      </c>
      <c r="D60" s="316"/>
      <c r="E60" s="316"/>
      <c r="F60" s="316"/>
      <c r="G60" s="316"/>
      <c r="H60" s="316"/>
      <c r="I60" s="190"/>
      <c r="J60" s="34"/>
    </row>
  </sheetData>
  <mergeCells count="4">
    <mergeCell ref="A4:J4"/>
    <mergeCell ref="A5:J5"/>
    <mergeCell ref="A7:J7"/>
    <mergeCell ref="C60:H60"/>
  </mergeCells>
  <printOptions horizontalCentered="1"/>
  <pageMargins left="0.25" right="0.25" top="0.75" bottom="0.75" header="0.5" footer="0.25"/>
  <pageSetup scale="71" orientation="portrait" r:id="rId1"/>
  <headerFooter alignWithMargins="0">
    <oddFooter>&amp;R&amp;"Times New Roman,Regular"Exhibit JW-2
Page &amp;P of &amp;N</oddFooter>
  </headerFooter>
  <ignoredErrors>
    <ignoredError sqref="C10:H10 I10:J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F5A5-2763-4E49-866D-D76905263BC3}">
  <dimension ref="A1:V118"/>
  <sheetViews>
    <sheetView view="pageBreakPreview" zoomScaleNormal="100" zoomScaleSheetLayoutView="100" workbookViewId="0">
      <pane ySplit="9" topLeftCell="A111" activePane="bottomLeft" state="frozen"/>
      <selection activeCell="C85" sqref="C85"/>
      <selection pane="bottomLeft" activeCell="H36" sqref="H36"/>
    </sheetView>
  </sheetViews>
  <sheetFormatPr defaultColWidth="9.15234375" defaultRowHeight="12.45"/>
  <cols>
    <col min="1" max="1" width="5.84375" style="287" customWidth="1"/>
    <col min="2" max="2" width="11.15234375" style="2" customWidth="1"/>
    <col min="3" max="3" width="30.53515625" style="2" bestFit="1" customWidth="1"/>
    <col min="4" max="4" width="12.3046875" style="2" customWidth="1"/>
    <col min="5" max="8" width="10.3046875" style="2" bestFit="1" customWidth="1"/>
    <col min="9" max="9" width="11.53515625" style="2" customWidth="1"/>
    <col min="10" max="16384" width="9.15234375" style="2"/>
  </cols>
  <sheetData>
    <row r="1" spans="1:9">
      <c r="F1" s="139"/>
      <c r="I1" s="139" t="s">
        <v>245</v>
      </c>
    </row>
    <row r="2" spans="1:9" ht="20.25" customHeight="1">
      <c r="F2" s="139"/>
    </row>
    <row r="3" spans="1:9">
      <c r="A3" s="314" t="s">
        <v>247</v>
      </c>
      <c r="B3" s="314"/>
      <c r="C3" s="314"/>
      <c r="D3" s="314"/>
      <c r="E3" s="314"/>
      <c r="F3" s="314"/>
      <c r="G3" s="314"/>
      <c r="H3" s="314"/>
      <c r="I3" s="314"/>
    </row>
    <row r="4" spans="1:9">
      <c r="A4" s="314" t="s">
        <v>337</v>
      </c>
      <c r="B4" s="314"/>
      <c r="C4" s="314"/>
      <c r="D4" s="314"/>
      <c r="E4" s="314"/>
      <c r="F4" s="314"/>
      <c r="G4" s="314"/>
      <c r="H4" s="314"/>
      <c r="I4" s="314"/>
    </row>
    <row r="6" spans="1:9" s="140" customFormat="1" ht="15" customHeight="1">
      <c r="A6" s="315" t="s">
        <v>29</v>
      </c>
      <c r="B6" s="315"/>
      <c r="C6" s="315"/>
      <c r="D6" s="315"/>
      <c r="E6" s="315"/>
      <c r="F6" s="315"/>
      <c r="G6" s="315"/>
      <c r="H6" s="315"/>
      <c r="I6" s="315"/>
    </row>
    <row r="8" spans="1:9" s="31" customFormat="1" ht="38.25" customHeight="1">
      <c r="A8" s="288" t="s">
        <v>0</v>
      </c>
      <c r="B8" s="31" t="s">
        <v>135</v>
      </c>
      <c r="C8" s="31" t="s">
        <v>1</v>
      </c>
      <c r="D8" s="31" t="s">
        <v>132</v>
      </c>
      <c r="E8" s="31" t="s">
        <v>136</v>
      </c>
      <c r="F8" s="31" t="s">
        <v>92</v>
      </c>
      <c r="G8" s="31" t="s">
        <v>133</v>
      </c>
      <c r="H8" s="31" t="s">
        <v>134</v>
      </c>
      <c r="I8" s="31" t="s">
        <v>127</v>
      </c>
    </row>
    <row r="9" spans="1:9">
      <c r="A9" s="289" t="s">
        <v>21</v>
      </c>
      <c r="B9" s="173" t="s">
        <v>18</v>
      </c>
      <c r="C9" s="173" t="s">
        <v>20</v>
      </c>
      <c r="D9" s="173" t="s">
        <v>19</v>
      </c>
      <c r="E9" s="173" t="s">
        <v>25</v>
      </c>
      <c r="F9" s="173" t="s">
        <v>48</v>
      </c>
      <c r="G9" s="173" t="s">
        <v>49</v>
      </c>
      <c r="H9" s="173" t="s">
        <v>50</v>
      </c>
      <c r="I9" s="173" t="s">
        <v>51</v>
      </c>
    </row>
    <row r="11" spans="1:9">
      <c r="A11" s="287">
        <v>1</v>
      </c>
      <c r="B11" s="35" t="s">
        <v>137</v>
      </c>
    </row>
    <row r="12" spans="1:9">
      <c r="A12" s="287">
        <f>A11+1</f>
        <v>2</v>
      </c>
      <c r="B12" s="103"/>
      <c r="D12" s="41"/>
    </row>
    <row r="13" spans="1:9">
      <c r="A13" s="287">
        <f t="shared" ref="A13:A76" si="0">A12+1</f>
        <v>3</v>
      </c>
      <c r="B13" s="272">
        <v>360</v>
      </c>
      <c r="C13" s="2" t="s">
        <v>143</v>
      </c>
      <c r="D13" s="41">
        <v>246272.96</v>
      </c>
      <c r="E13" s="41"/>
      <c r="F13" s="291"/>
      <c r="G13" s="41"/>
      <c r="H13" s="41"/>
      <c r="I13" s="41"/>
    </row>
    <row r="14" spans="1:9">
      <c r="A14" s="287">
        <f t="shared" si="0"/>
        <v>4</v>
      </c>
      <c r="B14" s="272">
        <v>362</v>
      </c>
      <c r="C14" s="2" t="s">
        <v>138</v>
      </c>
      <c r="D14" s="41">
        <v>17526963.530000001</v>
      </c>
      <c r="E14" s="41">
        <v>0</v>
      </c>
      <c r="F14" s="291">
        <v>2.3E-2</v>
      </c>
      <c r="G14" s="41">
        <f>ROUND(((+D14-E14)*F14),2)</f>
        <v>403120.16</v>
      </c>
      <c r="H14" s="41">
        <v>396415.99</v>
      </c>
      <c r="I14" s="41">
        <f>G14-H14</f>
        <v>6704.1699999999837</v>
      </c>
    </row>
    <row r="15" spans="1:9">
      <c r="A15" s="287">
        <f t="shared" si="0"/>
        <v>5</v>
      </c>
      <c r="B15" s="272">
        <v>364</v>
      </c>
      <c r="C15" s="2" t="s">
        <v>139</v>
      </c>
      <c r="D15" s="41">
        <v>57689603.340000004</v>
      </c>
      <c r="E15" s="41">
        <v>0</v>
      </c>
      <c r="F15" s="291">
        <v>4.1500000000000002E-2</v>
      </c>
      <c r="G15" s="41">
        <f t="shared" ref="G15:G23" si="1">ROUND(((+D15-E15)*F15),2)</f>
        <v>2394118.54</v>
      </c>
      <c r="H15" s="41">
        <v>2394953.7400000002</v>
      </c>
      <c r="I15" s="41">
        <f t="shared" ref="I15:I23" si="2">G15-H15</f>
        <v>-835.20000000018626</v>
      </c>
    </row>
    <row r="16" spans="1:9">
      <c r="A16" s="287">
        <f t="shared" si="0"/>
        <v>6</v>
      </c>
      <c r="B16" s="272">
        <v>365</v>
      </c>
      <c r="C16" s="2" t="s">
        <v>140</v>
      </c>
      <c r="D16" s="41">
        <v>22532628.699999999</v>
      </c>
      <c r="E16" s="41">
        <v>0</v>
      </c>
      <c r="F16" s="291">
        <v>3.0099999999999998E-2</v>
      </c>
      <c r="G16" s="41">
        <f t="shared" si="1"/>
        <v>678232.12</v>
      </c>
      <c r="H16" s="41">
        <v>670275.59</v>
      </c>
      <c r="I16" s="41">
        <f t="shared" si="2"/>
        <v>7956.5300000000279</v>
      </c>
    </row>
    <row r="17" spans="1:9">
      <c r="A17" s="287">
        <f t="shared" si="0"/>
        <v>7</v>
      </c>
      <c r="B17" s="272">
        <v>367</v>
      </c>
      <c r="C17" s="2" t="s">
        <v>141</v>
      </c>
      <c r="D17" s="41">
        <v>5267644.6500000004</v>
      </c>
      <c r="E17" s="41">
        <v>0</v>
      </c>
      <c r="F17" s="291">
        <v>3.0800000000000001E-2</v>
      </c>
      <c r="G17" s="41">
        <f t="shared" si="1"/>
        <v>162243.46</v>
      </c>
      <c r="H17" s="41">
        <v>159112.34</v>
      </c>
      <c r="I17" s="41">
        <f t="shared" si="2"/>
        <v>3131.1199999999953</v>
      </c>
    </row>
    <row r="18" spans="1:9">
      <c r="A18" s="287">
        <f t="shared" si="0"/>
        <v>8</v>
      </c>
      <c r="B18" s="272">
        <v>368</v>
      </c>
      <c r="C18" s="2" t="s">
        <v>142</v>
      </c>
      <c r="D18" s="41">
        <v>19014140.149999999</v>
      </c>
      <c r="E18" s="41">
        <v>0</v>
      </c>
      <c r="F18" s="291">
        <v>2.1000000000000001E-2</v>
      </c>
      <c r="G18" s="41">
        <f t="shared" si="1"/>
        <v>399296.94</v>
      </c>
      <c r="H18" s="41">
        <v>404299.11</v>
      </c>
      <c r="I18" s="41">
        <f t="shared" si="2"/>
        <v>-5002.1699999999837</v>
      </c>
    </row>
    <row r="19" spans="1:9">
      <c r="A19" s="287">
        <f t="shared" si="0"/>
        <v>9</v>
      </c>
      <c r="B19" s="272">
        <v>369</v>
      </c>
      <c r="C19" s="2" t="s">
        <v>94</v>
      </c>
      <c r="D19" s="41">
        <v>5316909.29</v>
      </c>
      <c r="E19" s="41">
        <v>0</v>
      </c>
      <c r="F19" s="291">
        <v>3.4299999999999997E-2</v>
      </c>
      <c r="G19" s="41">
        <f t="shared" si="1"/>
        <v>182369.99</v>
      </c>
      <c r="H19" s="41">
        <v>181320.03</v>
      </c>
      <c r="I19" s="41">
        <f t="shared" si="2"/>
        <v>1049.9599999999919</v>
      </c>
    </row>
    <row r="20" spans="1:9">
      <c r="A20" s="287">
        <f t="shared" si="0"/>
        <v>10</v>
      </c>
      <c r="B20" s="272">
        <v>370</v>
      </c>
      <c r="C20" s="2" t="s">
        <v>119</v>
      </c>
      <c r="D20" s="41">
        <v>427887.54</v>
      </c>
      <c r="E20" s="41">
        <v>0</v>
      </c>
      <c r="F20" s="291">
        <v>6.6699999999999995E-2</v>
      </c>
      <c r="G20" s="41">
        <f t="shared" si="1"/>
        <v>28540.1</v>
      </c>
      <c r="H20" s="41">
        <v>28689.84</v>
      </c>
      <c r="I20" s="41">
        <f t="shared" si="2"/>
        <v>-149.7400000000016</v>
      </c>
    </row>
    <row r="21" spans="1:9">
      <c r="A21" s="287">
        <f t="shared" si="0"/>
        <v>11</v>
      </c>
      <c r="B21" s="272">
        <v>370.1</v>
      </c>
      <c r="C21" s="2" t="s">
        <v>339</v>
      </c>
      <c r="D21" s="41">
        <v>4824509.97</v>
      </c>
      <c r="E21" s="41"/>
      <c r="F21" s="291">
        <v>6.6699999999999995E-2</v>
      </c>
      <c r="G21" s="41">
        <f t="shared" si="1"/>
        <v>321794.81</v>
      </c>
      <c r="H21" s="41">
        <v>324207.12</v>
      </c>
      <c r="I21" s="41">
        <f t="shared" si="2"/>
        <v>-2412.3099999999977</v>
      </c>
    </row>
    <row r="22" spans="1:9">
      <c r="A22" s="287">
        <f t="shared" si="0"/>
        <v>12</v>
      </c>
      <c r="B22" s="272">
        <v>371</v>
      </c>
      <c r="C22" s="2" t="s">
        <v>251</v>
      </c>
      <c r="D22" s="41">
        <v>5041976.43</v>
      </c>
      <c r="E22" s="41">
        <v>0</v>
      </c>
      <c r="F22" s="291">
        <v>3.7600000000000001E-2</v>
      </c>
      <c r="G22" s="41">
        <f t="shared" si="1"/>
        <v>189578.31</v>
      </c>
      <c r="H22" s="41">
        <v>184124.22</v>
      </c>
      <c r="I22" s="41">
        <f t="shared" si="2"/>
        <v>5454.0899999999965</v>
      </c>
    </row>
    <row r="23" spans="1:9">
      <c r="A23" s="287">
        <f t="shared" si="0"/>
        <v>13</v>
      </c>
      <c r="B23" s="272">
        <v>373</v>
      </c>
      <c r="C23" s="2" t="s">
        <v>223</v>
      </c>
      <c r="D23" s="41">
        <v>121542.14</v>
      </c>
      <c r="E23" s="41">
        <v>121542.14</v>
      </c>
      <c r="F23" s="291">
        <v>3.0300000000000001E-2</v>
      </c>
      <c r="G23" s="41">
        <f t="shared" si="1"/>
        <v>0</v>
      </c>
      <c r="H23" s="41">
        <v>480.95</v>
      </c>
      <c r="I23" s="41">
        <f t="shared" si="2"/>
        <v>-480.95</v>
      </c>
    </row>
    <row r="24" spans="1:9">
      <c r="A24" s="287">
        <f t="shared" si="0"/>
        <v>14</v>
      </c>
      <c r="C24" s="273" t="s">
        <v>22</v>
      </c>
      <c r="D24" s="165">
        <f>SUM(D13:D23)</f>
        <v>138010078.70000002</v>
      </c>
      <c r="E24" s="165">
        <f>SUM(E14:E23)</f>
        <v>121542.14</v>
      </c>
      <c r="F24" s="165"/>
      <c r="G24" s="165">
        <f>SUM(G14:G23)</f>
        <v>4759294.4299999988</v>
      </c>
      <c r="H24" s="165">
        <f>SUM(H14:H23)</f>
        <v>4743878.93</v>
      </c>
      <c r="I24" s="165">
        <f>G24-H24</f>
        <v>15415.499999999069</v>
      </c>
    </row>
    <row r="25" spans="1:9">
      <c r="A25" s="287">
        <f t="shared" si="0"/>
        <v>15</v>
      </c>
      <c r="I25" s="41"/>
    </row>
    <row r="26" spans="1:9">
      <c r="A26" s="287">
        <f t="shared" si="0"/>
        <v>16</v>
      </c>
      <c r="B26" s="35" t="s">
        <v>144</v>
      </c>
    </row>
    <row r="27" spans="1:9">
      <c r="A27" s="287">
        <f t="shared" si="0"/>
        <v>17</v>
      </c>
      <c r="B27" s="272">
        <v>389</v>
      </c>
      <c r="C27" s="2" t="s">
        <v>143</v>
      </c>
      <c r="D27" s="41">
        <v>423113</v>
      </c>
      <c r="E27" s="41"/>
      <c r="F27" s="292"/>
      <c r="G27" s="41"/>
      <c r="H27" s="41"/>
      <c r="I27" s="174"/>
    </row>
    <row r="28" spans="1:9">
      <c r="A28" s="287">
        <f t="shared" si="0"/>
        <v>18</v>
      </c>
      <c r="B28" s="272">
        <v>390.1</v>
      </c>
      <c r="C28" s="2" t="s">
        <v>438</v>
      </c>
      <c r="D28" s="41">
        <v>1296422.24</v>
      </c>
      <c r="E28" s="41">
        <v>599056.27</v>
      </c>
      <c r="F28" s="291">
        <v>2.5000000000000001E-2</v>
      </c>
      <c r="G28" s="41">
        <f t="shared" ref="G28:G35" si="3">ROUND(((+D28-E28)*F28),2)</f>
        <v>17434.150000000001</v>
      </c>
      <c r="H28" s="274"/>
      <c r="I28" s="41">
        <f t="shared" ref="I28:I80" si="4">G28-H28</f>
        <v>17434.150000000001</v>
      </c>
    </row>
    <row r="29" spans="1:9">
      <c r="A29" s="287">
        <f t="shared" si="0"/>
        <v>19</v>
      </c>
      <c r="B29" s="272"/>
      <c r="D29" s="41">
        <v>461454.75</v>
      </c>
      <c r="E29" s="41">
        <v>280640.14</v>
      </c>
      <c r="F29" s="291">
        <v>0.03</v>
      </c>
      <c r="G29" s="41">
        <f t="shared" si="3"/>
        <v>5424.44</v>
      </c>
      <c r="H29" s="274"/>
      <c r="I29" s="41">
        <f t="shared" si="4"/>
        <v>5424.44</v>
      </c>
    </row>
    <row r="30" spans="1:9">
      <c r="A30" s="287">
        <f t="shared" si="0"/>
        <v>20</v>
      </c>
      <c r="B30" s="272"/>
      <c r="D30" s="41">
        <v>1531684.29</v>
      </c>
      <c r="E30" s="41">
        <v>1524256.35</v>
      </c>
      <c r="F30" s="291">
        <v>0.06</v>
      </c>
      <c r="G30" s="41">
        <f t="shared" si="3"/>
        <v>445.68</v>
      </c>
      <c r="H30" s="274"/>
      <c r="I30" s="41">
        <f t="shared" si="4"/>
        <v>445.68</v>
      </c>
    </row>
    <row r="31" spans="1:9">
      <c r="A31" s="287">
        <f t="shared" si="0"/>
        <v>21</v>
      </c>
      <c r="B31" s="272"/>
      <c r="D31" s="41">
        <v>119589.67</v>
      </c>
      <c r="E31" s="41">
        <v>53366.19</v>
      </c>
      <c r="F31" s="291">
        <v>6.6699999999999995E-2</v>
      </c>
      <c r="G31" s="41">
        <f t="shared" si="3"/>
        <v>4417.1099999999997</v>
      </c>
      <c r="H31" s="274"/>
      <c r="I31" s="41">
        <f t="shared" si="4"/>
        <v>4417.1099999999997</v>
      </c>
    </row>
    <row r="32" spans="1:9">
      <c r="A32" s="287">
        <f t="shared" si="0"/>
        <v>22</v>
      </c>
      <c r="B32" s="272"/>
      <c r="D32" s="41">
        <v>28632.19</v>
      </c>
      <c r="E32" s="41">
        <v>28632.19</v>
      </c>
      <c r="F32" s="291">
        <v>0.1</v>
      </c>
      <c r="G32" s="41">
        <f t="shared" si="3"/>
        <v>0</v>
      </c>
      <c r="H32" s="274"/>
      <c r="I32" s="41">
        <f t="shared" si="4"/>
        <v>0</v>
      </c>
    </row>
    <row r="33" spans="1:9">
      <c r="A33" s="287">
        <f t="shared" si="0"/>
        <v>23</v>
      </c>
      <c r="B33" s="272"/>
      <c r="D33" s="41">
        <v>82266.61</v>
      </c>
      <c r="E33" s="41">
        <v>71282.789999999994</v>
      </c>
      <c r="F33" s="291">
        <v>0.2</v>
      </c>
      <c r="G33" s="41">
        <f t="shared" si="3"/>
        <v>2196.7600000000002</v>
      </c>
      <c r="H33" s="274"/>
      <c r="I33" s="41">
        <f t="shared" si="4"/>
        <v>2196.7600000000002</v>
      </c>
    </row>
    <row r="34" spans="1:9">
      <c r="A34" s="287">
        <f t="shared" si="0"/>
        <v>24</v>
      </c>
      <c r="B34" s="272"/>
      <c r="D34" s="41">
        <v>10879.06</v>
      </c>
      <c r="E34" s="41">
        <v>10879.06</v>
      </c>
      <c r="F34" s="291">
        <v>0.33339999999999997</v>
      </c>
      <c r="G34" s="41">
        <f t="shared" si="3"/>
        <v>0</v>
      </c>
      <c r="H34" s="274"/>
      <c r="I34" s="41">
        <f t="shared" si="4"/>
        <v>0</v>
      </c>
    </row>
    <row r="35" spans="1:9">
      <c r="A35" s="287">
        <f t="shared" si="0"/>
        <v>25</v>
      </c>
      <c r="B35" s="272"/>
      <c r="D35" s="41">
        <v>1877.62</v>
      </c>
      <c r="E35" s="41">
        <v>1877.62</v>
      </c>
      <c r="F35" s="291">
        <v>0.33360000000000001</v>
      </c>
      <c r="G35" s="41">
        <f t="shared" si="3"/>
        <v>0</v>
      </c>
      <c r="H35" s="274"/>
      <c r="I35" s="41">
        <f t="shared" si="4"/>
        <v>0</v>
      </c>
    </row>
    <row r="36" spans="1:9">
      <c r="A36" s="287">
        <f t="shared" si="0"/>
        <v>26</v>
      </c>
      <c r="B36" s="272"/>
      <c r="C36" s="275" t="s">
        <v>439</v>
      </c>
      <c r="D36" s="106">
        <f>SUM(D28:D35)</f>
        <v>3532806.43</v>
      </c>
      <c r="E36" s="106">
        <f>SUM(E28:E35)</f>
        <v>2569990.6100000003</v>
      </c>
      <c r="F36" s="106"/>
      <c r="G36" s="106">
        <f>SUM(G28:G35)</f>
        <v>29918.14</v>
      </c>
      <c r="H36" s="294">
        <v>63593</v>
      </c>
      <c r="I36" s="106">
        <f>G36-H36</f>
        <v>-33674.86</v>
      </c>
    </row>
    <row r="37" spans="1:9">
      <c r="A37" s="287">
        <f t="shared" si="0"/>
        <v>27</v>
      </c>
      <c r="B37" s="272">
        <v>391.1</v>
      </c>
      <c r="C37" s="2" t="s">
        <v>440</v>
      </c>
      <c r="D37" s="41">
        <v>80331.340000000026</v>
      </c>
      <c r="E37" s="41">
        <v>80331.340000000026</v>
      </c>
      <c r="F37" s="291">
        <v>0.06</v>
      </c>
      <c r="G37" s="41">
        <f t="shared" ref="G37:G80" si="5">ROUND(((+D37-E37)*F37),2)</f>
        <v>0</v>
      </c>
      <c r="H37" s="274"/>
      <c r="I37" s="41">
        <f t="shared" si="4"/>
        <v>0</v>
      </c>
    </row>
    <row r="38" spans="1:9">
      <c r="A38" s="287">
        <f t="shared" si="0"/>
        <v>28</v>
      </c>
      <c r="B38" s="272"/>
      <c r="D38" s="41">
        <v>6427.4699999999993</v>
      </c>
      <c r="E38" s="41">
        <v>6427.47</v>
      </c>
      <c r="F38" s="291">
        <v>6.6699999999999995E-2</v>
      </c>
      <c r="G38" s="41">
        <f t="shared" si="5"/>
        <v>0</v>
      </c>
      <c r="H38" s="274"/>
      <c r="I38" s="41">
        <f t="shared" si="4"/>
        <v>0</v>
      </c>
    </row>
    <row r="39" spans="1:9">
      <c r="A39" s="287">
        <f t="shared" si="0"/>
        <v>29</v>
      </c>
      <c r="B39" s="272"/>
      <c r="D39" s="41">
        <v>2544</v>
      </c>
      <c r="E39" s="41">
        <v>2544</v>
      </c>
      <c r="F39" s="291">
        <v>0.12959999999999999</v>
      </c>
      <c r="G39" s="41">
        <f t="shared" si="5"/>
        <v>0</v>
      </c>
      <c r="H39" s="274"/>
      <c r="I39" s="41">
        <f t="shared" si="4"/>
        <v>0</v>
      </c>
    </row>
    <row r="40" spans="1:9">
      <c r="A40" s="287">
        <f t="shared" si="0"/>
        <v>30</v>
      </c>
      <c r="B40" s="272"/>
      <c r="D40" s="41">
        <v>2247.9899999999998</v>
      </c>
      <c r="E40" s="41">
        <v>1993.48</v>
      </c>
      <c r="F40" s="291">
        <v>0.14000000000000001</v>
      </c>
      <c r="G40" s="41">
        <f t="shared" si="5"/>
        <v>35.630000000000003</v>
      </c>
      <c r="H40" s="274"/>
      <c r="I40" s="41">
        <f t="shared" si="4"/>
        <v>35.630000000000003</v>
      </c>
    </row>
    <row r="41" spans="1:9">
      <c r="A41" s="287">
        <f t="shared" si="0"/>
        <v>31</v>
      </c>
      <c r="B41" s="272"/>
      <c r="D41" s="41">
        <v>298997.15000000002</v>
      </c>
      <c r="E41" s="41">
        <v>220661.47</v>
      </c>
      <c r="F41" s="291">
        <v>0.14280000000000001</v>
      </c>
      <c r="G41" s="41">
        <f t="shared" si="5"/>
        <v>11186.34</v>
      </c>
      <c r="H41" s="274"/>
      <c r="I41" s="41">
        <f t="shared" si="4"/>
        <v>11186.34</v>
      </c>
    </row>
    <row r="42" spans="1:9">
      <c r="A42" s="287">
        <f t="shared" si="0"/>
        <v>32</v>
      </c>
      <c r="B42" s="272"/>
      <c r="D42" s="41">
        <v>8930.99</v>
      </c>
      <c r="E42" s="41">
        <v>8930.99</v>
      </c>
      <c r="F42" s="291">
        <v>0.1429</v>
      </c>
      <c r="G42" s="41">
        <f t="shared" si="5"/>
        <v>0</v>
      </c>
      <c r="H42" s="274"/>
      <c r="I42" s="41">
        <f t="shared" si="4"/>
        <v>0</v>
      </c>
    </row>
    <row r="43" spans="1:9">
      <c r="A43" s="287">
        <f t="shared" si="0"/>
        <v>33</v>
      </c>
      <c r="B43" s="272"/>
      <c r="D43" s="41">
        <v>190855.28</v>
      </c>
      <c r="E43" s="41">
        <v>37893.839999999997</v>
      </c>
      <c r="F43" s="291">
        <v>0.19989999999999999</v>
      </c>
      <c r="G43" s="41">
        <f t="shared" si="5"/>
        <v>30576.99</v>
      </c>
      <c r="H43" s="274"/>
      <c r="I43" s="41">
        <f t="shared" si="4"/>
        <v>30576.99</v>
      </c>
    </row>
    <row r="44" spans="1:9">
      <c r="A44" s="287">
        <f t="shared" si="0"/>
        <v>34</v>
      </c>
      <c r="B44" s="272"/>
      <c r="D44" s="41">
        <v>640710.71</v>
      </c>
      <c r="E44" s="41">
        <v>470327.65</v>
      </c>
      <c r="F44" s="291">
        <v>0.2</v>
      </c>
      <c r="G44" s="41">
        <f t="shared" si="5"/>
        <v>34076.61</v>
      </c>
      <c r="H44" s="274"/>
      <c r="I44" s="41">
        <f t="shared" si="4"/>
        <v>34076.61</v>
      </c>
    </row>
    <row r="45" spans="1:9">
      <c r="A45" s="287">
        <f t="shared" si="0"/>
        <v>35</v>
      </c>
      <c r="B45" s="272"/>
      <c r="D45" s="41">
        <v>3871.12</v>
      </c>
      <c r="E45" s="41">
        <v>3871.12</v>
      </c>
      <c r="F45" s="291">
        <v>0.25</v>
      </c>
      <c r="G45" s="41">
        <f t="shared" si="5"/>
        <v>0</v>
      </c>
      <c r="H45" s="274"/>
      <c r="I45" s="41">
        <f t="shared" si="4"/>
        <v>0</v>
      </c>
    </row>
    <row r="46" spans="1:9">
      <c r="A46" s="287">
        <f t="shared" si="0"/>
        <v>36</v>
      </c>
      <c r="B46" s="272"/>
      <c r="D46" s="41">
        <v>16030.380000000001</v>
      </c>
      <c r="E46" s="41">
        <v>16030.380000000001</v>
      </c>
      <c r="F46" s="291">
        <v>0.3332</v>
      </c>
      <c r="G46" s="41">
        <f t="shared" si="5"/>
        <v>0</v>
      </c>
      <c r="H46" s="274"/>
      <c r="I46" s="41">
        <f t="shared" si="4"/>
        <v>0</v>
      </c>
    </row>
    <row r="47" spans="1:9">
      <c r="A47" s="287">
        <f t="shared" si="0"/>
        <v>37</v>
      </c>
      <c r="B47" s="272"/>
      <c r="D47" s="41">
        <v>383830.9</v>
      </c>
      <c r="E47" s="41">
        <v>343657.9</v>
      </c>
      <c r="F47" s="291">
        <v>0.33339999999999997</v>
      </c>
      <c r="G47" s="41">
        <f t="shared" si="5"/>
        <v>13393.68</v>
      </c>
      <c r="H47" s="274"/>
      <c r="I47" s="41">
        <f t="shared" si="4"/>
        <v>13393.68</v>
      </c>
    </row>
    <row r="48" spans="1:9">
      <c r="A48" s="287">
        <f t="shared" si="0"/>
        <v>38</v>
      </c>
      <c r="B48" s="272"/>
      <c r="D48" s="41">
        <v>85013.28</v>
      </c>
      <c r="E48" s="41">
        <v>85013.28</v>
      </c>
      <c r="F48" s="291">
        <v>0.33360000000000001</v>
      </c>
      <c r="G48" s="41">
        <f t="shared" si="5"/>
        <v>0</v>
      </c>
      <c r="H48" s="274"/>
      <c r="I48" s="41">
        <f t="shared" si="4"/>
        <v>0</v>
      </c>
    </row>
    <row r="49" spans="1:9">
      <c r="A49" s="287">
        <f t="shared" si="0"/>
        <v>39</v>
      </c>
      <c r="B49" s="272"/>
      <c r="D49" s="41">
        <v>2388.8000000000002</v>
      </c>
      <c r="E49" s="41">
        <v>2388.8000000000002</v>
      </c>
      <c r="F49" s="291">
        <v>1</v>
      </c>
      <c r="G49" s="41">
        <f t="shared" si="5"/>
        <v>0</v>
      </c>
      <c r="H49" s="274"/>
      <c r="I49" s="41">
        <f t="shared" si="4"/>
        <v>0</v>
      </c>
    </row>
    <row r="50" spans="1:9">
      <c r="A50" s="287">
        <f t="shared" si="0"/>
        <v>40</v>
      </c>
      <c r="B50" s="272"/>
      <c r="C50" s="275" t="s">
        <v>439</v>
      </c>
      <c r="D50" s="106">
        <f>SUM(D37:D49)</f>
        <v>1722179.4100000001</v>
      </c>
      <c r="E50" s="106">
        <f>SUM(E37:E49)</f>
        <v>1280071.7200000002</v>
      </c>
      <c r="F50" s="106"/>
      <c r="G50" s="106">
        <f>SUM(G37:G49)</f>
        <v>89269.25</v>
      </c>
      <c r="H50" s="294">
        <v>148328.79</v>
      </c>
      <c r="I50" s="106">
        <f>G50-H50</f>
        <v>-59059.540000000008</v>
      </c>
    </row>
    <row r="51" spans="1:9">
      <c r="A51" s="287">
        <f t="shared" si="0"/>
        <v>41</v>
      </c>
      <c r="B51" s="272">
        <v>393.1</v>
      </c>
      <c r="C51" s="2" t="s">
        <v>441</v>
      </c>
      <c r="D51" s="41">
        <v>24443.729999999996</v>
      </c>
      <c r="E51" s="41">
        <v>24443.729999999996</v>
      </c>
      <c r="F51" s="291">
        <v>0.06</v>
      </c>
      <c r="G51" s="41">
        <f t="shared" si="5"/>
        <v>0</v>
      </c>
      <c r="H51" s="274"/>
      <c r="I51" s="41">
        <f t="shared" si="4"/>
        <v>0</v>
      </c>
    </row>
    <row r="52" spans="1:9">
      <c r="A52" s="287">
        <f t="shared" si="0"/>
        <v>42</v>
      </c>
      <c r="B52" s="272"/>
      <c r="D52" s="41">
        <v>13268.3</v>
      </c>
      <c r="E52" s="41">
        <v>10310.16</v>
      </c>
      <c r="F52" s="291">
        <v>6.6600000000000006E-2</v>
      </c>
      <c r="G52" s="41">
        <f t="shared" si="5"/>
        <v>197.01</v>
      </c>
      <c r="H52" s="274"/>
      <c r="I52" s="41">
        <f t="shared" si="4"/>
        <v>197.01</v>
      </c>
    </row>
    <row r="53" spans="1:9">
      <c r="A53" s="287">
        <f t="shared" si="0"/>
        <v>43</v>
      </c>
      <c r="B53" s="272"/>
      <c r="D53" s="41">
        <v>3228.5</v>
      </c>
      <c r="E53" s="41">
        <v>3228.5</v>
      </c>
      <c r="F53" s="291">
        <v>0.14280000000000001</v>
      </c>
      <c r="G53" s="41">
        <f t="shared" si="5"/>
        <v>0</v>
      </c>
      <c r="H53" s="274"/>
      <c r="I53" s="41">
        <f t="shared" si="4"/>
        <v>0</v>
      </c>
    </row>
    <row r="54" spans="1:9">
      <c r="A54" s="287">
        <f t="shared" si="0"/>
        <v>44</v>
      </c>
      <c r="B54" s="272"/>
      <c r="D54" s="41">
        <v>3037.01</v>
      </c>
      <c r="E54" s="41">
        <v>3037.01</v>
      </c>
      <c r="F54" s="291">
        <v>0.23880000000000001</v>
      </c>
      <c r="G54" s="41">
        <f t="shared" si="5"/>
        <v>0</v>
      </c>
      <c r="H54" s="274"/>
      <c r="I54" s="41">
        <f t="shared" si="4"/>
        <v>0</v>
      </c>
    </row>
    <row r="55" spans="1:9">
      <c r="A55" s="287">
        <f t="shared" si="0"/>
        <v>45</v>
      </c>
      <c r="B55" s="272"/>
      <c r="D55" s="41">
        <v>4490.6799999999994</v>
      </c>
      <c r="E55" s="41">
        <v>4490.68</v>
      </c>
      <c r="F55" s="291">
        <v>0.25</v>
      </c>
      <c r="G55" s="41">
        <f t="shared" si="5"/>
        <v>0</v>
      </c>
      <c r="H55" s="274"/>
      <c r="I55" s="41">
        <f t="shared" si="4"/>
        <v>0</v>
      </c>
    </row>
    <row r="56" spans="1:9">
      <c r="A56" s="287">
        <f t="shared" si="0"/>
        <v>46</v>
      </c>
      <c r="B56" s="272"/>
      <c r="C56" s="275" t="s">
        <v>439</v>
      </c>
      <c r="D56" s="106">
        <f>SUM(D51:D55)</f>
        <v>48468.22</v>
      </c>
      <c r="E56" s="106">
        <f>SUM(E51:E55)</f>
        <v>45510.080000000002</v>
      </c>
      <c r="F56" s="106"/>
      <c r="G56" s="106">
        <f>SUM(G51:G55)</f>
        <v>197.01</v>
      </c>
      <c r="H56" s="294">
        <v>883.68</v>
      </c>
      <c r="I56" s="106">
        <f>G56-H56</f>
        <v>-686.67</v>
      </c>
    </row>
    <row r="57" spans="1:9">
      <c r="A57" s="287">
        <f t="shared" si="0"/>
        <v>47</v>
      </c>
      <c r="B57" s="272">
        <v>394.1</v>
      </c>
      <c r="C57" s="2" t="s">
        <v>442</v>
      </c>
      <c r="D57" s="41">
        <v>6779.76</v>
      </c>
      <c r="E57" s="41">
        <v>6779.76</v>
      </c>
      <c r="F57" s="291">
        <v>0.05</v>
      </c>
      <c r="G57" s="41">
        <f t="shared" si="5"/>
        <v>0</v>
      </c>
      <c r="H57" s="274"/>
      <c r="I57" s="41">
        <f t="shared" si="4"/>
        <v>0</v>
      </c>
    </row>
    <row r="58" spans="1:9">
      <c r="A58" s="287">
        <f t="shared" si="0"/>
        <v>48</v>
      </c>
      <c r="B58" s="272"/>
      <c r="D58" s="41">
        <v>2493.75</v>
      </c>
      <c r="E58" s="41">
        <v>2493.75</v>
      </c>
      <c r="F58" s="291">
        <v>0.06</v>
      </c>
      <c r="G58" s="41">
        <f t="shared" si="5"/>
        <v>0</v>
      </c>
      <c r="H58" s="274"/>
      <c r="I58" s="41">
        <f t="shared" si="4"/>
        <v>0</v>
      </c>
    </row>
    <row r="59" spans="1:9">
      <c r="A59" s="287">
        <f t="shared" si="0"/>
        <v>49</v>
      </c>
      <c r="B59" s="272"/>
      <c r="D59" s="41">
        <v>21290.48</v>
      </c>
      <c r="E59" s="41">
        <v>21290.48</v>
      </c>
      <c r="F59" s="291">
        <v>6.6600000000000006E-2</v>
      </c>
      <c r="G59" s="41">
        <f t="shared" si="5"/>
        <v>0</v>
      </c>
      <c r="H59" s="274"/>
      <c r="I59" s="41">
        <f t="shared" si="4"/>
        <v>0</v>
      </c>
    </row>
    <row r="60" spans="1:9">
      <c r="A60" s="287">
        <f t="shared" si="0"/>
        <v>50</v>
      </c>
      <c r="B60" s="272"/>
      <c r="D60" s="41">
        <v>4240</v>
      </c>
      <c r="E60" s="41">
        <v>4240</v>
      </c>
      <c r="F60" s="291">
        <v>0.12959999999999999</v>
      </c>
      <c r="G60" s="41">
        <f t="shared" si="5"/>
        <v>0</v>
      </c>
      <c r="H60" s="274"/>
      <c r="I60" s="41">
        <f t="shared" si="4"/>
        <v>0</v>
      </c>
    </row>
    <row r="61" spans="1:9">
      <c r="A61" s="287">
        <f t="shared" si="0"/>
        <v>51</v>
      </c>
      <c r="B61" s="272"/>
      <c r="D61" s="41">
        <v>28614.7</v>
      </c>
      <c r="E61" s="41">
        <v>20090.09</v>
      </c>
      <c r="F61" s="291">
        <v>0.14280000000000001</v>
      </c>
      <c r="G61" s="41">
        <f t="shared" si="5"/>
        <v>1217.31</v>
      </c>
      <c r="H61" s="274"/>
      <c r="I61" s="41">
        <f t="shared" si="4"/>
        <v>1217.31</v>
      </c>
    </row>
    <row r="62" spans="1:9">
      <c r="A62" s="287">
        <f t="shared" si="0"/>
        <v>52</v>
      </c>
      <c r="B62" s="272"/>
      <c r="D62" s="41">
        <v>5799.95</v>
      </c>
      <c r="E62" s="41">
        <v>5799.95</v>
      </c>
      <c r="F62" s="291">
        <v>0.19989999999999999</v>
      </c>
      <c r="G62" s="41">
        <f t="shared" si="5"/>
        <v>0</v>
      </c>
      <c r="H62" s="274"/>
      <c r="I62" s="41">
        <f t="shared" si="4"/>
        <v>0</v>
      </c>
    </row>
    <row r="63" spans="1:9">
      <c r="A63" s="287">
        <f t="shared" si="0"/>
        <v>53</v>
      </c>
      <c r="B63" s="272"/>
      <c r="D63" s="41">
        <v>37643.370000000003</v>
      </c>
      <c r="E63" s="41">
        <v>34698.86</v>
      </c>
      <c r="F63" s="291">
        <v>0.2</v>
      </c>
      <c r="G63" s="41">
        <f t="shared" si="5"/>
        <v>588.9</v>
      </c>
      <c r="H63" s="274"/>
      <c r="I63" s="41">
        <f t="shared" si="4"/>
        <v>588.9</v>
      </c>
    </row>
    <row r="64" spans="1:9">
      <c r="A64" s="287">
        <f t="shared" si="0"/>
        <v>54</v>
      </c>
      <c r="B64" s="272"/>
      <c r="D64" s="41">
        <v>164681.57</v>
      </c>
      <c r="E64" s="41">
        <v>146011.43</v>
      </c>
      <c r="F64" s="291">
        <v>0.25</v>
      </c>
      <c r="G64" s="41">
        <f t="shared" si="5"/>
        <v>4667.54</v>
      </c>
      <c r="H64" s="274"/>
      <c r="I64" s="41">
        <f t="shared" si="4"/>
        <v>4667.54</v>
      </c>
    </row>
    <row r="65" spans="1:9">
      <c r="A65" s="287">
        <f t="shared" si="0"/>
        <v>55</v>
      </c>
      <c r="B65" s="272"/>
      <c r="D65" s="41">
        <v>10429.58</v>
      </c>
      <c r="E65" s="41">
        <v>10429.58</v>
      </c>
      <c r="F65" s="291">
        <v>0.33339999999999997</v>
      </c>
      <c r="G65" s="41">
        <f t="shared" si="5"/>
        <v>0</v>
      </c>
      <c r="H65" s="274"/>
      <c r="I65" s="41">
        <f t="shared" si="4"/>
        <v>0</v>
      </c>
    </row>
    <row r="66" spans="1:9">
      <c r="A66" s="287">
        <f t="shared" si="0"/>
        <v>56</v>
      </c>
      <c r="B66" s="272"/>
      <c r="D66" s="41">
        <v>47011.479999999996</v>
      </c>
      <c r="E66" s="41">
        <v>47011.479999999996</v>
      </c>
      <c r="F66" s="291">
        <v>0.8</v>
      </c>
      <c r="G66" s="41">
        <f t="shared" si="5"/>
        <v>0</v>
      </c>
      <c r="H66" s="274"/>
      <c r="I66" s="41">
        <f t="shared" si="4"/>
        <v>0</v>
      </c>
    </row>
    <row r="67" spans="1:9">
      <c r="A67" s="287">
        <f t="shared" si="0"/>
        <v>57</v>
      </c>
      <c r="B67" s="272"/>
      <c r="D67" s="41">
        <v>1242.0899999999999</v>
      </c>
      <c r="E67" s="41">
        <v>1242.0899999999999</v>
      </c>
      <c r="F67" s="291">
        <v>1</v>
      </c>
      <c r="G67" s="41">
        <f t="shared" si="5"/>
        <v>0</v>
      </c>
      <c r="H67" s="274"/>
      <c r="I67" s="41">
        <f t="shared" si="4"/>
        <v>0</v>
      </c>
    </row>
    <row r="68" spans="1:9">
      <c r="A68" s="287">
        <f t="shared" si="0"/>
        <v>58</v>
      </c>
      <c r="B68" s="272"/>
      <c r="C68" s="275" t="s">
        <v>439</v>
      </c>
      <c r="D68" s="106">
        <f>SUM(D57:D67)</f>
        <v>330226.73000000004</v>
      </c>
      <c r="E68" s="106">
        <f>SUM(E57:E67)</f>
        <v>300087.47000000003</v>
      </c>
      <c r="F68" s="106"/>
      <c r="G68" s="106">
        <f>SUM(G57:G67)</f>
        <v>6473.75</v>
      </c>
      <c r="H68" s="294">
        <v>19478.13</v>
      </c>
      <c r="I68" s="106">
        <f>G68-H68</f>
        <v>-13004.380000000001</v>
      </c>
    </row>
    <row r="69" spans="1:9">
      <c r="A69" s="287">
        <f t="shared" si="0"/>
        <v>59</v>
      </c>
      <c r="B69" s="272"/>
      <c r="C69" s="275"/>
      <c r="D69" s="41"/>
      <c r="E69" s="41"/>
      <c r="F69" s="41"/>
      <c r="G69" s="41"/>
      <c r="H69" s="295"/>
      <c r="I69" s="41"/>
    </row>
    <row r="70" spans="1:9">
      <c r="A70" s="287">
        <f t="shared" si="0"/>
        <v>60</v>
      </c>
      <c r="B70" s="272">
        <v>395.1</v>
      </c>
      <c r="C70" s="2" t="s">
        <v>443</v>
      </c>
      <c r="D70" s="41">
        <v>23995.01</v>
      </c>
      <c r="E70" s="41">
        <v>17872.46</v>
      </c>
      <c r="F70" s="291">
        <v>0.14280000000000001</v>
      </c>
      <c r="G70" s="41">
        <f t="shared" si="5"/>
        <v>874.3</v>
      </c>
      <c r="H70" s="274"/>
      <c r="I70" s="41">
        <f t="shared" si="4"/>
        <v>874.3</v>
      </c>
    </row>
    <row r="71" spans="1:9">
      <c r="A71" s="287">
        <f t="shared" si="0"/>
        <v>61</v>
      </c>
      <c r="B71" s="272"/>
      <c r="D71" s="41">
        <v>1467.18</v>
      </c>
      <c r="E71" s="41">
        <v>1467.18</v>
      </c>
      <c r="F71" s="291">
        <v>0.2</v>
      </c>
      <c r="G71" s="41">
        <f t="shared" si="5"/>
        <v>0</v>
      </c>
      <c r="H71" s="274"/>
      <c r="I71" s="41">
        <f t="shared" si="4"/>
        <v>0</v>
      </c>
    </row>
    <row r="72" spans="1:9">
      <c r="A72" s="287">
        <f t="shared" si="0"/>
        <v>62</v>
      </c>
      <c r="B72" s="272"/>
      <c r="C72" s="275" t="s">
        <v>439</v>
      </c>
      <c r="D72" s="106">
        <f>SUM(D70:D71)</f>
        <v>25462.19</v>
      </c>
      <c r="E72" s="106">
        <f>SUM(E70:E71)</f>
        <v>19339.64</v>
      </c>
      <c r="F72" s="106"/>
      <c r="G72" s="106">
        <f>SUM(G70:G71)</f>
        <v>874.3</v>
      </c>
      <c r="H72" s="294">
        <v>922.24</v>
      </c>
      <c r="I72" s="106">
        <f>G72-H72</f>
        <v>-47.940000000000055</v>
      </c>
    </row>
    <row r="73" spans="1:9">
      <c r="A73" s="287">
        <f t="shared" si="0"/>
        <v>63</v>
      </c>
      <c r="B73" s="272">
        <v>397.1</v>
      </c>
      <c r="C73" s="2" t="s">
        <v>444</v>
      </c>
      <c r="D73" s="41">
        <v>41975.85</v>
      </c>
      <c r="E73" s="41">
        <v>40316.449999999997</v>
      </c>
      <c r="F73" s="291">
        <v>7.9899999999999999E-2</v>
      </c>
      <c r="G73" s="41">
        <f t="shared" si="5"/>
        <v>132.59</v>
      </c>
      <c r="H73" s="274"/>
      <c r="I73" s="41">
        <f t="shared" si="4"/>
        <v>132.59</v>
      </c>
    </row>
    <row r="74" spans="1:9">
      <c r="A74" s="287">
        <f t="shared" si="0"/>
        <v>64</v>
      </c>
      <c r="B74" s="272"/>
      <c r="D74" s="41">
        <v>57314.32</v>
      </c>
      <c r="E74" s="41">
        <v>47401.17</v>
      </c>
      <c r="F74" s="291">
        <v>0.1249</v>
      </c>
      <c r="G74" s="41">
        <f t="shared" si="5"/>
        <v>1238.1500000000001</v>
      </c>
      <c r="H74" s="274"/>
      <c r="I74" s="41">
        <f t="shared" si="4"/>
        <v>1238.1500000000001</v>
      </c>
    </row>
    <row r="75" spans="1:9">
      <c r="A75" s="287">
        <f t="shared" si="0"/>
        <v>65</v>
      </c>
      <c r="B75" s="272"/>
      <c r="D75" s="41">
        <v>348206.88</v>
      </c>
      <c r="E75" s="41">
        <v>37325.15</v>
      </c>
      <c r="F75" s="291">
        <v>0.2</v>
      </c>
      <c r="G75" s="41">
        <f t="shared" si="5"/>
        <v>62176.35</v>
      </c>
      <c r="H75" s="274"/>
      <c r="I75" s="41">
        <f t="shared" si="4"/>
        <v>62176.35</v>
      </c>
    </row>
    <row r="76" spans="1:9">
      <c r="A76" s="287">
        <f t="shared" si="0"/>
        <v>66</v>
      </c>
      <c r="B76" s="272"/>
      <c r="D76" s="41">
        <v>16401.349999999999</v>
      </c>
      <c r="E76" s="41">
        <v>8548.2900000000009</v>
      </c>
      <c r="F76" s="291">
        <v>0.25</v>
      </c>
      <c r="G76" s="41">
        <f t="shared" si="5"/>
        <v>1963.27</v>
      </c>
      <c r="H76" s="274"/>
      <c r="I76" s="41">
        <f t="shared" si="4"/>
        <v>1963.27</v>
      </c>
    </row>
    <row r="77" spans="1:9">
      <c r="A77" s="287">
        <f t="shared" ref="A77:A117" si="6">A76+1</f>
        <v>67</v>
      </c>
      <c r="B77" s="272"/>
      <c r="D77" s="41">
        <v>5209.3</v>
      </c>
      <c r="E77" s="41">
        <v>5209.3</v>
      </c>
      <c r="F77" s="291">
        <v>0.8004</v>
      </c>
      <c r="G77" s="41">
        <f t="shared" si="5"/>
        <v>0</v>
      </c>
      <c r="H77" s="274"/>
      <c r="I77" s="41">
        <f t="shared" si="4"/>
        <v>0</v>
      </c>
    </row>
    <row r="78" spans="1:9">
      <c r="A78" s="287">
        <f t="shared" si="6"/>
        <v>68</v>
      </c>
      <c r="B78" s="272"/>
      <c r="C78" s="275" t="s">
        <v>439</v>
      </c>
      <c r="D78" s="106">
        <f>SUM(D73:D77)</f>
        <v>469107.69999999995</v>
      </c>
      <c r="E78" s="106">
        <f>SUM(E73:E77)</f>
        <v>138800.35999999999</v>
      </c>
      <c r="F78" s="106"/>
      <c r="G78" s="106">
        <f>SUM(G73:G77)</f>
        <v>65510.359999999993</v>
      </c>
      <c r="H78" s="294">
        <v>40027.75</v>
      </c>
      <c r="I78" s="106">
        <f>G78-H78</f>
        <v>25482.609999999993</v>
      </c>
    </row>
    <row r="79" spans="1:9">
      <c r="A79" s="287">
        <f t="shared" si="6"/>
        <v>69</v>
      </c>
      <c r="B79" s="272">
        <v>398.1</v>
      </c>
      <c r="C79" s="2" t="s">
        <v>445</v>
      </c>
      <c r="D79" s="41">
        <v>19741.13</v>
      </c>
      <c r="E79" s="41">
        <v>19741.13</v>
      </c>
      <c r="F79" s="291">
        <v>0.14280000000000001</v>
      </c>
      <c r="G79" s="41">
        <f t="shared" si="5"/>
        <v>0</v>
      </c>
      <c r="H79" s="274"/>
      <c r="I79" s="41">
        <f t="shared" si="4"/>
        <v>0</v>
      </c>
    </row>
    <row r="80" spans="1:9">
      <c r="A80" s="287">
        <f t="shared" si="6"/>
        <v>70</v>
      </c>
      <c r="B80" s="271"/>
      <c r="D80" s="41">
        <v>82389.05</v>
      </c>
      <c r="E80" s="41">
        <v>76797.41</v>
      </c>
      <c r="F80" s="291">
        <v>0.2</v>
      </c>
      <c r="G80" s="41">
        <f t="shared" si="5"/>
        <v>1118.33</v>
      </c>
      <c r="H80" s="274"/>
      <c r="I80" s="41">
        <f t="shared" si="4"/>
        <v>1118.33</v>
      </c>
    </row>
    <row r="81" spans="1:13">
      <c r="A81" s="287">
        <f t="shared" si="6"/>
        <v>71</v>
      </c>
      <c r="B81" s="102"/>
      <c r="C81" s="275" t="s">
        <v>439</v>
      </c>
      <c r="D81" s="106">
        <f>SUM(D79:D80)</f>
        <v>102130.18000000001</v>
      </c>
      <c r="E81" s="106">
        <f>SUM(E79:E80)</f>
        <v>96538.540000000008</v>
      </c>
      <c r="F81" s="106"/>
      <c r="G81" s="106">
        <f>SUM(G79:G80)</f>
        <v>1118.33</v>
      </c>
      <c r="H81" s="106">
        <v>3363.36</v>
      </c>
      <c r="I81" s="106">
        <f>G81-H81</f>
        <v>-2245.0300000000002</v>
      </c>
    </row>
    <row r="82" spans="1:13">
      <c r="A82" s="287">
        <f t="shared" si="6"/>
        <v>72</v>
      </c>
      <c r="B82" s="102"/>
      <c r="C82" s="275"/>
      <c r="D82" s="165"/>
      <c r="E82" s="165"/>
      <c r="F82" s="165"/>
      <c r="G82" s="165"/>
      <c r="H82" s="165"/>
      <c r="I82" s="165"/>
    </row>
    <row r="83" spans="1:13">
      <c r="A83" s="287">
        <f t="shared" si="6"/>
        <v>73</v>
      </c>
      <c r="C83" s="276" t="s">
        <v>22</v>
      </c>
      <c r="D83" s="106">
        <f>+D27+D36+D50+D56+D68+D72+D78+D81</f>
        <v>6653493.8600000003</v>
      </c>
      <c r="E83" s="106">
        <f>+E27+E36+E50+E56+E68+E72+E78+E81</f>
        <v>4450338.4200000009</v>
      </c>
      <c r="F83" s="106"/>
      <c r="G83" s="106">
        <f>+G27+G36+G50+G56+G68+G72+G78+G81</f>
        <v>193361.13999999998</v>
      </c>
      <c r="H83" s="106">
        <f>+H27+H36+H50+H56+H68+H72+H78+H81</f>
        <v>276596.94999999995</v>
      </c>
      <c r="I83" s="106">
        <f>G83-H83</f>
        <v>-83235.809999999969</v>
      </c>
    </row>
    <row r="84" spans="1:13">
      <c r="A84" s="287">
        <f t="shared" si="6"/>
        <v>74</v>
      </c>
      <c r="C84" s="1"/>
      <c r="D84" s="41"/>
      <c r="E84" s="41"/>
      <c r="F84" s="41"/>
      <c r="G84" s="41"/>
      <c r="H84" s="41"/>
      <c r="I84" s="41"/>
    </row>
    <row r="85" spans="1:13" s="9" customFormat="1">
      <c r="A85" s="287">
        <f t="shared" si="6"/>
        <v>75</v>
      </c>
      <c r="B85" s="282" t="s">
        <v>446</v>
      </c>
      <c r="C85" s="283"/>
      <c r="D85" s="41"/>
      <c r="E85" s="41"/>
      <c r="F85" s="41"/>
      <c r="G85" s="284"/>
      <c r="H85" s="284"/>
      <c r="I85" s="284"/>
    </row>
    <row r="86" spans="1:13" s="9" customFormat="1">
      <c r="A86" s="287">
        <f t="shared" si="6"/>
        <v>76</v>
      </c>
      <c r="B86" s="285">
        <v>182.3</v>
      </c>
      <c r="C86" s="2" t="s">
        <v>447</v>
      </c>
      <c r="D86" s="41">
        <v>1750953</v>
      </c>
      <c r="E86" s="41"/>
      <c r="F86" s="114"/>
      <c r="G86" s="41">
        <f>23038.85*12</f>
        <v>276466.19999999995</v>
      </c>
      <c r="H86" s="284">
        <v>184310.8</v>
      </c>
      <c r="I86" s="284">
        <f>G86-H86</f>
        <v>92155.399999999965</v>
      </c>
      <c r="M86" s="286"/>
    </row>
    <row r="87" spans="1:13">
      <c r="A87" s="287">
        <f t="shared" si="6"/>
        <v>77</v>
      </c>
      <c r="C87" s="1"/>
      <c r="D87" s="41"/>
      <c r="E87" s="41"/>
      <c r="F87" s="41"/>
      <c r="G87" s="41"/>
      <c r="H87" s="41"/>
      <c r="I87" s="41"/>
    </row>
    <row r="88" spans="1:13">
      <c r="A88" s="287">
        <f t="shared" si="6"/>
        <v>78</v>
      </c>
      <c r="B88" s="96" t="s">
        <v>128</v>
      </c>
      <c r="C88" s="32" t="s">
        <v>148</v>
      </c>
      <c r="D88" s="277">
        <f>D24+D83</f>
        <v>144663572.56000003</v>
      </c>
      <c r="E88" s="277">
        <f>E24+E83</f>
        <v>4571880.5600000005</v>
      </c>
      <c r="F88" s="277"/>
      <c r="G88" s="277">
        <f>G24+G83+G86</f>
        <v>5229121.7699999986</v>
      </c>
      <c r="H88" s="277">
        <f>H24+H83+H86</f>
        <v>5204786.68</v>
      </c>
      <c r="I88" s="277">
        <f>G88-H88</f>
        <v>24335.08999999892</v>
      </c>
      <c r="L88" s="41"/>
    </row>
    <row r="89" spans="1:13">
      <c r="A89" s="287">
        <f t="shared" si="6"/>
        <v>79</v>
      </c>
      <c r="C89" s="275"/>
      <c r="D89" s="41"/>
      <c r="E89" s="41"/>
      <c r="F89" s="41"/>
      <c r="G89" s="41"/>
      <c r="H89" s="41"/>
      <c r="I89" s="41"/>
    </row>
    <row r="90" spans="1:13">
      <c r="A90" s="287">
        <f t="shared" si="6"/>
        <v>80</v>
      </c>
      <c r="B90" s="35" t="s">
        <v>145</v>
      </c>
      <c r="D90" s="41"/>
      <c r="E90" s="41"/>
      <c r="F90" s="41"/>
      <c r="G90" s="41"/>
      <c r="H90" s="41"/>
      <c r="I90" s="41"/>
    </row>
    <row r="91" spans="1:13">
      <c r="A91" s="287">
        <f t="shared" si="6"/>
        <v>81</v>
      </c>
      <c r="B91" s="278">
        <v>392</v>
      </c>
      <c r="C91" s="2" t="s">
        <v>118</v>
      </c>
      <c r="D91" s="41">
        <v>301112.68</v>
      </c>
      <c r="E91" s="41">
        <v>207226.32</v>
      </c>
      <c r="F91" s="291">
        <v>6.6600000000000006E-2</v>
      </c>
      <c r="G91" s="41">
        <f t="shared" ref="G91:G97" si="7">ROUND(((+D91-E91)*F91),2)</f>
        <v>6252.83</v>
      </c>
      <c r="H91" s="274"/>
      <c r="I91" s="41">
        <f t="shared" ref="I91:I97" si="8">G91-H91</f>
        <v>6252.83</v>
      </c>
    </row>
    <row r="92" spans="1:13">
      <c r="A92" s="287">
        <f t="shared" si="6"/>
        <v>82</v>
      </c>
      <c r="B92" s="271"/>
      <c r="D92" s="41">
        <v>2248838.34</v>
      </c>
      <c r="E92" s="41">
        <v>1317814.28</v>
      </c>
      <c r="F92" s="291">
        <v>0.1249</v>
      </c>
      <c r="G92" s="41">
        <f t="shared" si="7"/>
        <v>116284.91</v>
      </c>
      <c r="H92" s="274"/>
      <c r="I92" s="41">
        <f t="shared" si="8"/>
        <v>116284.91</v>
      </c>
    </row>
    <row r="93" spans="1:13">
      <c r="A93" s="287">
        <f t="shared" si="6"/>
        <v>83</v>
      </c>
      <c r="B93" s="271"/>
      <c r="D93" s="41">
        <v>228634.19</v>
      </c>
      <c r="E93" s="41">
        <v>111829.51</v>
      </c>
      <c r="F93" s="291">
        <v>0.125</v>
      </c>
      <c r="G93" s="41">
        <f t="shared" si="7"/>
        <v>14600.59</v>
      </c>
      <c r="H93" s="274"/>
      <c r="I93" s="41">
        <f t="shared" si="8"/>
        <v>14600.59</v>
      </c>
    </row>
    <row r="94" spans="1:13">
      <c r="A94" s="287">
        <f t="shared" si="6"/>
        <v>84</v>
      </c>
      <c r="B94" s="271"/>
      <c r="D94" s="41">
        <v>1140060.57</v>
      </c>
      <c r="E94" s="41">
        <v>840521.84</v>
      </c>
      <c r="F94" s="291">
        <v>0.2</v>
      </c>
      <c r="G94" s="41">
        <f t="shared" si="7"/>
        <v>59907.75</v>
      </c>
      <c r="H94" s="274"/>
      <c r="I94" s="41">
        <f t="shared" si="8"/>
        <v>59907.75</v>
      </c>
    </row>
    <row r="95" spans="1:13">
      <c r="A95" s="287">
        <f t="shared" si="6"/>
        <v>85</v>
      </c>
      <c r="B95" s="271"/>
      <c r="D95" s="41">
        <v>1334003</v>
      </c>
      <c r="E95" s="41">
        <v>1075217.25</v>
      </c>
      <c r="F95" s="291">
        <v>0.25</v>
      </c>
      <c r="G95" s="41">
        <f t="shared" si="7"/>
        <v>64696.44</v>
      </c>
      <c r="H95" s="274"/>
      <c r="I95" s="41">
        <f t="shared" si="8"/>
        <v>64696.44</v>
      </c>
    </row>
    <row r="96" spans="1:13">
      <c r="A96" s="287">
        <f t="shared" si="6"/>
        <v>86</v>
      </c>
      <c r="B96" s="271"/>
      <c r="D96" s="41">
        <v>22913.23</v>
      </c>
      <c r="E96" s="41">
        <v>15855.03</v>
      </c>
      <c r="F96" s="291">
        <v>0.33339999999999997</v>
      </c>
      <c r="G96" s="41">
        <f t="shared" si="7"/>
        <v>2353.1999999999998</v>
      </c>
      <c r="H96" s="274"/>
      <c r="I96" s="41">
        <f t="shared" si="8"/>
        <v>2353.1999999999998</v>
      </c>
    </row>
    <row r="97" spans="1:22">
      <c r="A97" s="287">
        <f t="shared" si="6"/>
        <v>87</v>
      </c>
      <c r="B97" s="271"/>
      <c r="D97" s="41">
        <v>1815.78</v>
      </c>
      <c r="E97" s="41">
        <v>1815.78</v>
      </c>
      <c r="F97" s="291">
        <v>0.49990000000000001</v>
      </c>
      <c r="G97" s="41">
        <f t="shared" si="7"/>
        <v>0</v>
      </c>
      <c r="H97" s="274"/>
      <c r="I97" s="41">
        <f t="shared" si="8"/>
        <v>0</v>
      </c>
    </row>
    <row r="98" spans="1:22">
      <c r="A98" s="287">
        <f t="shared" si="6"/>
        <v>88</v>
      </c>
      <c r="B98" s="102"/>
      <c r="C98" s="2" t="s">
        <v>22</v>
      </c>
      <c r="D98" s="106">
        <f>SUM(D91:D97)</f>
        <v>5277377.790000001</v>
      </c>
      <c r="E98" s="106">
        <f>SUM(E91:E97)</f>
        <v>3570280.01</v>
      </c>
      <c r="F98" s="107"/>
      <c r="G98" s="106">
        <f>SUM(G91:G97)</f>
        <v>264095.72000000003</v>
      </c>
      <c r="H98" s="106">
        <v>341218.47</v>
      </c>
      <c r="I98" s="106">
        <f>G98-H98</f>
        <v>-77122.749999999942</v>
      </c>
    </row>
    <row r="99" spans="1:22">
      <c r="A99" s="287">
        <f t="shared" si="6"/>
        <v>89</v>
      </c>
      <c r="B99" s="104" t="s">
        <v>129</v>
      </c>
      <c r="C99" s="105" t="s">
        <v>146</v>
      </c>
      <c r="D99" s="106"/>
      <c r="E99" s="106"/>
      <c r="F99" s="107"/>
      <c r="G99" s="106"/>
      <c r="H99" s="106"/>
      <c r="I99" s="279">
        <f>F112</f>
        <v>-58915.49</v>
      </c>
    </row>
    <row r="100" spans="1:22" ht="17.25" customHeight="1">
      <c r="A100" s="287">
        <f t="shared" si="6"/>
        <v>90</v>
      </c>
    </row>
    <row r="101" spans="1:22" ht="12.9" thickBot="1">
      <c r="A101" s="287">
        <f t="shared" si="6"/>
        <v>91</v>
      </c>
      <c r="B101" s="3" t="s">
        <v>228</v>
      </c>
      <c r="C101" s="3" t="s">
        <v>14</v>
      </c>
      <c r="D101" s="280">
        <f>D88+D98</f>
        <v>149940950.35000002</v>
      </c>
      <c r="E101" s="280">
        <f>E88+E98</f>
        <v>8142160.5700000003</v>
      </c>
      <c r="F101" s="3"/>
      <c r="G101" s="280">
        <f>G88+G98</f>
        <v>5493217.4899999984</v>
      </c>
      <c r="H101" s="280">
        <f>H88+H98</f>
        <v>5546005.1499999994</v>
      </c>
      <c r="I101" s="281">
        <f>G101-H101</f>
        <v>-52787.66000000108</v>
      </c>
    </row>
    <row r="102" spans="1:22" ht="26.25" customHeight="1" thickTop="1">
      <c r="A102" s="287">
        <f t="shared" si="6"/>
        <v>92</v>
      </c>
    </row>
    <row r="103" spans="1:22" ht="41.25" customHeight="1">
      <c r="A103" s="287">
        <f t="shared" si="6"/>
        <v>93</v>
      </c>
      <c r="B103" s="316" t="s">
        <v>230</v>
      </c>
      <c r="C103" s="316"/>
      <c r="D103" s="316"/>
      <c r="E103" s="316"/>
      <c r="F103" s="316"/>
      <c r="G103" s="316"/>
      <c r="H103" s="316"/>
      <c r="I103" s="316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spans="1:22">
      <c r="A104" s="287">
        <f t="shared" si="6"/>
        <v>94</v>
      </c>
    </row>
    <row r="105" spans="1:22">
      <c r="A105" s="287">
        <f t="shared" si="6"/>
        <v>95</v>
      </c>
      <c r="B105" s="35" t="s">
        <v>146</v>
      </c>
      <c r="C105" s="1"/>
      <c r="D105" s="40" t="s">
        <v>131</v>
      </c>
      <c r="E105" s="40" t="s">
        <v>130</v>
      </c>
      <c r="F105" s="40" t="s">
        <v>147</v>
      </c>
    </row>
    <row r="106" spans="1:22">
      <c r="A106" s="287">
        <f t="shared" si="6"/>
        <v>96</v>
      </c>
      <c r="C106" s="1"/>
    </row>
    <row r="107" spans="1:22">
      <c r="A107" s="287">
        <f t="shared" si="6"/>
        <v>97</v>
      </c>
      <c r="B107" s="1" t="s">
        <v>121</v>
      </c>
      <c r="C107" s="2" t="s">
        <v>122</v>
      </c>
      <c r="D107" s="293">
        <v>1043382.12</v>
      </c>
      <c r="E107" s="73">
        <f>D107/D117</f>
        <v>0.15834585005073049</v>
      </c>
      <c r="F107" s="29">
        <f>ROUND(E107*$I$98,2)</f>
        <v>-12212.07</v>
      </c>
    </row>
    <row r="108" spans="1:22">
      <c r="A108" s="287">
        <f t="shared" si="6"/>
        <v>98</v>
      </c>
      <c r="B108" s="1" t="s">
        <v>123</v>
      </c>
      <c r="C108" s="2" t="s">
        <v>124</v>
      </c>
      <c r="D108" s="293">
        <v>1264872.8400000001</v>
      </c>
      <c r="E108" s="73">
        <f>D108/D117</f>
        <v>0.19195974438960259</v>
      </c>
      <c r="F108" s="29">
        <f>ROUND(E108*$I$98,2)</f>
        <v>-14804.46</v>
      </c>
    </row>
    <row r="109" spans="1:22">
      <c r="A109" s="287">
        <f t="shared" si="6"/>
        <v>99</v>
      </c>
      <c r="B109" s="1" t="s">
        <v>125</v>
      </c>
      <c r="C109" s="2" t="s">
        <v>105</v>
      </c>
      <c r="D109" s="293">
        <v>757566</v>
      </c>
      <c r="E109" s="73">
        <f>D109/D117</f>
        <v>0.11496979863861545</v>
      </c>
      <c r="F109" s="29">
        <f>ROUND(E109*$I$98,2)</f>
        <v>-8866.7900000000009</v>
      </c>
    </row>
    <row r="110" spans="1:22">
      <c r="A110" s="287">
        <f t="shared" si="6"/>
        <v>100</v>
      </c>
      <c r="B110" s="1" t="s">
        <v>231</v>
      </c>
      <c r="C110" s="2" t="s">
        <v>79</v>
      </c>
      <c r="D110" s="293">
        <v>82495.89</v>
      </c>
      <c r="E110" s="73">
        <f>D110/D117</f>
        <v>1.2519748591955513E-2</v>
      </c>
      <c r="F110" s="29">
        <f>ROUND(E110*$I$98,2)</f>
        <v>-965.56</v>
      </c>
    </row>
    <row r="111" spans="1:22">
      <c r="A111" s="287">
        <f t="shared" si="6"/>
        <v>101</v>
      </c>
      <c r="B111" s="1" t="s">
        <v>126</v>
      </c>
      <c r="C111" s="2" t="s">
        <v>120</v>
      </c>
      <c r="D111" s="293">
        <v>1885340.37</v>
      </c>
      <c r="E111" s="73">
        <f>D111/D117</f>
        <v>0.28612319283620535</v>
      </c>
      <c r="F111" s="29">
        <f>ROUND(E111*$I$98,2)</f>
        <v>-22066.61</v>
      </c>
    </row>
    <row r="112" spans="1:22">
      <c r="A112" s="287">
        <f t="shared" si="6"/>
        <v>102</v>
      </c>
      <c r="B112" s="4"/>
      <c r="C112" s="37" t="s">
        <v>22</v>
      </c>
      <c r="D112" s="42">
        <f>SUM(D107:D111)</f>
        <v>5033657.2200000007</v>
      </c>
      <c r="E112" s="192">
        <f>SUM(E107:E111)</f>
        <v>0.76391833450710944</v>
      </c>
      <c r="F112" s="42">
        <f>SUM(F107:F111)</f>
        <v>-58915.49</v>
      </c>
    </row>
    <row r="113" spans="1:6">
      <c r="A113" s="287">
        <f t="shared" si="6"/>
        <v>103</v>
      </c>
      <c r="B113" s="1"/>
      <c r="D113" s="36"/>
      <c r="E113" s="73"/>
      <c r="F113" s="36"/>
    </row>
    <row r="114" spans="1:6">
      <c r="A114" s="287">
        <f t="shared" si="6"/>
        <v>104</v>
      </c>
      <c r="B114" s="1" t="s">
        <v>232</v>
      </c>
      <c r="C114" s="2" t="s">
        <v>229</v>
      </c>
      <c r="D114" s="293">
        <v>1555603.69</v>
      </c>
      <c r="E114" s="73">
        <f>D114/D117</f>
        <v>0.23608166549289059</v>
      </c>
      <c r="F114" s="29">
        <f>ROUND(E114*$I$98,2)</f>
        <v>-18207.27</v>
      </c>
    </row>
    <row r="115" spans="1:6">
      <c r="A115" s="287">
        <f t="shared" si="6"/>
        <v>105</v>
      </c>
      <c r="B115" s="4"/>
      <c r="C115" s="37" t="s">
        <v>22</v>
      </c>
      <c r="D115" s="99"/>
      <c r="E115" s="74">
        <f>SUM(E114)</f>
        <v>0.23608166549289059</v>
      </c>
      <c r="F115" s="99">
        <f>SUM(F114)</f>
        <v>-18207.27</v>
      </c>
    </row>
    <row r="116" spans="1:6">
      <c r="A116" s="287">
        <f t="shared" si="6"/>
        <v>106</v>
      </c>
      <c r="B116" s="1"/>
      <c r="D116" s="36"/>
      <c r="E116" s="30"/>
      <c r="F116" s="36"/>
    </row>
    <row r="117" spans="1:6" ht="12.9" thickBot="1">
      <c r="A117" s="287">
        <f t="shared" si="6"/>
        <v>107</v>
      </c>
      <c r="B117" s="38"/>
      <c r="C117" s="3" t="s">
        <v>44</v>
      </c>
      <c r="D117" s="100">
        <f>D112+D114</f>
        <v>6589260.9100000001</v>
      </c>
      <c r="E117" s="39">
        <f>E112+E115</f>
        <v>1</v>
      </c>
      <c r="F117" s="100">
        <f>F112+F114</f>
        <v>-77122.759999999995</v>
      </c>
    </row>
    <row r="118" spans="1:6" ht="12.9" thickTop="1"/>
  </sheetData>
  <mergeCells count="4">
    <mergeCell ref="A3:I3"/>
    <mergeCell ref="A4:I4"/>
    <mergeCell ref="A6:I6"/>
    <mergeCell ref="B103:I103"/>
  </mergeCells>
  <printOptions horizontalCentered="1"/>
  <pageMargins left="0.7" right="0.7" top="0.75" bottom="0.75" header="0.3" footer="0.3"/>
  <pageSetup scale="68" orientation="portrait" r:id="rId1"/>
  <headerFooter>
    <oddFooter>&amp;RExhibit JW-2
Page &amp;P of &amp;N</oddFooter>
  </headerFooter>
  <rowBreaks count="1" manualBreakCount="1">
    <brk id="68" max="8" man="1"/>
  </rowBreaks>
  <ignoredErrors>
    <ignoredError sqref="B9:I9" numberStoredAsText="1"/>
    <ignoredError sqref="G36 G50:G56 G70:G78 E117 G68" formula="1"/>
    <ignoredError sqref="D36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42"/>
  <sheetViews>
    <sheetView view="pageBreakPreview" topLeftCell="A9" zoomScaleNormal="75" zoomScaleSheetLayoutView="100" workbookViewId="0">
      <selection activeCell="K10" sqref="J10:K10"/>
    </sheetView>
  </sheetViews>
  <sheetFormatPr defaultColWidth="9.15234375" defaultRowHeight="14.15"/>
  <cols>
    <col min="1" max="1" width="8" style="120" bestFit="1" customWidth="1"/>
    <col min="2" max="2" width="11.69140625" style="120" bestFit="1" customWidth="1"/>
    <col min="3" max="4" width="13.15234375" style="120" bestFit="1" customWidth="1"/>
    <col min="5" max="5" width="15.3046875" style="120" customWidth="1"/>
    <col min="6" max="6" width="14.3046875" style="120" customWidth="1"/>
    <col min="7" max="7" width="15.3828125" style="120" customWidth="1"/>
    <col min="8" max="8" width="16.53515625" style="120" customWidth="1"/>
    <col min="9" max="9" width="15.3828125" style="120" customWidth="1"/>
    <col min="10" max="10" width="12.3828125" style="120" customWidth="1"/>
    <col min="11" max="11" width="11.84375" style="120" customWidth="1"/>
    <col min="12" max="12" width="12" style="120" customWidth="1"/>
    <col min="13" max="13" width="11.15234375" style="120" bestFit="1" customWidth="1"/>
    <col min="14" max="14" width="12.15234375" style="120" bestFit="1" customWidth="1"/>
    <col min="15" max="15" width="11" style="120" bestFit="1" customWidth="1"/>
    <col min="16" max="16" width="12.15234375" style="120" bestFit="1" customWidth="1"/>
    <col min="17" max="16384" width="9.15234375" style="120"/>
  </cols>
  <sheetData>
    <row r="1" spans="1:16" s="9" customFormat="1" ht="15" customHeight="1">
      <c r="F1" s="5"/>
      <c r="L1" s="5"/>
      <c r="P1" s="5" t="s">
        <v>28</v>
      </c>
    </row>
    <row r="2" spans="1:16" s="9" customFormat="1" ht="20.25" customHeight="1">
      <c r="F2" s="5"/>
      <c r="G2" s="5"/>
    </row>
    <row r="3" spans="1:16" s="9" customFormat="1" ht="12.45">
      <c r="F3" s="5"/>
      <c r="G3" s="5"/>
    </row>
    <row r="4" spans="1:16" s="9" customFormat="1" ht="12.45">
      <c r="A4" s="318" t="str">
        <f>RevReq!A1</f>
        <v>MEADE COUNTY R.E.C.C.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7"/>
    </row>
    <row r="5" spans="1:16" s="9" customFormat="1" ht="12.45">
      <c r="A5" s="318" t="str">
        <f>RevReq!A3</f>
        <v>For the 12 Months Ended December 31, 2024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</row>
    <row r="6" spans="1:16" s="9" customFormat="1" ht="12.45"/>
    <row r="7" spans="1:16" s="6" customFormat="1" ht="15" customHeight="1">
      <c r="A7" s="315" t="s">
        <v>255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</row>
    <row r="8" spans="1:16" s="6" customFormat="1" ht="12.4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6" ht="56.6">
      <c r="A9" s="118"/>
      <c r="B9" s="119" t="s">
        <v>30</v>
      </c>
      <c r="C9" s="119" t="s">
        <v>390</v>
      </c>
      <c r="D9" s="119" t="s">
        <v>390</v>
      </c>
      <c r="E9" s="119" t="s">
        <v>390</v>
      </c>
      <c r="F9" s="119" t="s">
        <v>390</v>
      </c>
      <c r="G9" s="119" t="s">
        <v>256</v>
      </c>
      <c r="H9" s="119" t="s">
        <v>425</v>
      </c>
      <c r="I9" s="119" t="s">
        <v>425</v>
      </c>
      <c r="J9" s="119" t="s">
        <v>257</v>
      </c>
      <c r="K9" s="119" t="s">
        <v>331</v>
      </c>
      <c r="L9" s="119" t="s">
        <v>331</v>
      </c>
      <c r="M9" s="119" t="s">
        <v>258</v>
      </c>
      <c r="N9" s="119" t="s">
        <v>259</v>
      </c>
      <c r="O9" s="119" t="s">
        <v>259</v>
      </c>
      <c r="P9" s="119" t="s">
        <v>14</v>
      </c>
    </row>
    <row r="10" spans="1:16">
      <c r="A10" s="118" t="s">
        <v>17</v>
      </c>
      <c r="B10" s="121" t="s">
        <v>260</v>
      </c>
      <c r="C10" s="122">
        <v>909</v>
      </c>
      <c r="D10" s="122">
        <v>910</v>
      </c>
      <c r="E10" s="122">
        <v>930.2</v>
      </c>
      <c r="F10" s="122">
        <v>930.21</v>
      </c>
      <c r="G10" s="122">
        <v>930.4</v>
      </c>
      <c r="H10" s="122">
        <v>910</v>
      </c>
      <c r="I10" s="121" t="s">
        <v>261</v>
      </c>
      <c r="J10" s="121" t="s">
        <v>261</v>
      </c>
      <c r="K10" s="121" t="s">
        <v>261</v>
      </c>
      <c r="L10" s="121">
        <v>930.21</v>
      </c>
      <c r="M10" s="121" t="s">
        <v>261</v>
      </c>
      <c r="N10" s="122">
        <v>909</v>
      </c>
      <c r="O10" s="122">
        <v>930.2</v>
      </c>
      <c r="P10" s="123" t="s">
        <v>262</v>
      </c>
    </row>
    <row r="11" spans="1:16" s="123" customFormat="1">
      <c r="A11" s="124" t="s">
        <v>128</v>
      </c>
      <c r="B11" s="124" t="s">
        <v>129</v>
      </c>
      <c r="C11" s="124" t="s">
        <v>263</v>
      </c>
      <c r="D11" s="124" t="s">
        <v>316</v>
      </c>
      <c r="E11" s="124" t="s">
        <v>264</v>
      </c>
      <c r="F11" s="124" t="s">
        <v>265</v>
      </c>
      <c r="G11" s="124" t="s">
        <v>266</v>
      </c>
      <c r="H11" s="124" t="s">
        <v>428</v>
      </c>
      <c r="I11" s="124" t="s">
        <v>430</v>
      </c>
      <c r="J11" s="124" t="s">
        <v>431</v>
      </c>
      <c r="K11" s="124" t="s">
        <v>432</v>
      </c>
      <c r="L11" s="124" t="s">
        <v>433</v>
      </c>
      <c r="M11" s="124" t="s">
        <v>434</v>
      </c>
      <c r="N11" s="124" t="s">
        <v>435</v>
      </c>
      <c r="O11" s="124" t="s">
        <v>436</v>
      </c>
      <c r="P11" s="124" t="s">
        <v>437</v>
      </c>
    </row>
    <row r="12" spans="1:16">
      <c r="A12" s="120" t="s">
        <v>6</v>
      </c>
      <c r="B12" s="125">
        <v>0</v>
      </c>
      <c r="C12" s="125">
        <v>-750</v>
      </c>
      <c r="D12" s="125">
        <f>-450-443-456</f>
        <v>-1349</v>
      </c>
      <c r="E12" s="125">
        <v>0</v>
      </c>
      <c r="F12" s="125">
        <v>0</v>
      </c>
      <c r="G12" s="125">
        <v>0</v>
      </c>
      <c r="H12" s="125">
        <v>0</v>
      </c>
      <c r="I12" s="125">
        <f>-275</f>
        <v>-275</v>
      </c>
      <c r="J12" s="125">
        <v>0</v>
      </c>
      <c r="K12" s="125">
        <v>0</v>
      </c>
      <c r="L12" s="125">
        <v>0</v>
      </c>
      <c r="M12" s="125">
        <v>-3468.25</v>
      </c>
      <c r="N12" s="125">
        <f>-2174.14</f>
        <v>-2174.14</v>
      </c>
      <c r="O12" s="125">
        <v>-4220.3900000000003</v>
      </c>
      <c r="P12" s="125">
        <f>SUM(B12:O12)</f>
        <v>-12236.779999999999</v>
      </c>
    </row>
    <row r="13" spans="1:16">
      <c r="A13" s="120" t="s">
        <v>7</v>
      </c>
      <c r="B13" s="126">
        <v>0</v>
      </c>
      <c r="C13" s="126">
        <v>0</v>
      </c>
      <c r="D13" s="126">
        <f>-450-430</f>
        <v>-880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5">
        <v>-100</v>
      </c>
      <c r="K13" s="125">
        <v>0</v>
      </c>
      <c r="L13" s="125">
        <v>-68.900000000000006</v>
      </c>
      <c r="M13" s="125">
        <v>-3468.25</v>
      </c>
      <c r="N13" s="125">
        <v>-2174.14</v>
      </c>
      <c r="O13" s="125">
        <v>-4220.3900000000003</v>
      </c>
      <c r="P13" s="126">
        <f>SUM(B13:O13)</f>
        <v>-10911.68</v>
      </c>
    </row>
    <row r="14" spans="1:16">
      <c r="A14" s="120" t="s">
        <v>8</v>
      </c>
      <c r="B14" s="126">
        <v>0</v>
      </c>
      <c r="C14" s="126">
        <v>0</v>
      </c>
      <c r="D14" s="126">
        <f>-450-443</f>
        <v>-893</v>
      </c>
      <c r="E14" s="126">
        <v>-39.72</v>
      </c>
      <c r="F14" s="126">
        <v>0</v>
      </c>
      <c r="G14" s="126">
        <v>0</v>
      </c>
      <c r="H14" s="126">
        <f>-300-150</f>
        <v>-450</v>
      </c>
      <c r="I14" s="126">
        <v>0</v>
      </c>
      <c r="J14" s="125">
        <f>-43.98-69.11</f>
        <v>-113.09</v>
      </c>
      <c r="K14" s="125">
        <v>0</v>
      </c>
      <c r="L14" s="125">
        <f>-100-84.8</f>
        <v>-184.8</v>
      </c>
      <c r="M14" s="125">
        <v>-3468.25</v>
      </c>
      <c r="N14" s="125">
        <v>-2174.14</v>
      </c>
      <c r="O14" s="125">
        <v>-4220.3900000000003</v>
      </c>
      <c r="P14" s="126">
        <f t="shared" ref="P14:P23" si="0">SUM(B14:O14)</f>
        <v>-11543.39</v>
      </c>
    </row>
    <row r="15" spans="1:16">
      <c r="A15" s="120" t="s">
        <v>9</v>
      </c>
      <c r="B15" s="126">
        <v>-400</v>
      </c>
      <c r="C15" s="126">
        <v>0</v>
      </c>
      <c r="D15" s="126">
        <f>-450-443</f>
        <v>-893</v>
      </c>
      <c r="E15" s="126">
        <v>-265</v>
      </c>
      <c r="F15" s="126">
        <v>0</v>
      </c>
      <c r="G15" s="126">
        <f>-487.6-131.78-731.4-399.87</f>
        <v>-1750.65</v>
      </c>
      <c r="H15" s="126">
        <v>0</v>
      </c>
      <c r="I15" s="126">
        <f>-15-350</f>
        <v>-365</v>
      </c>
      <c r="J15" s="125">
        <v>0</v>
      </c>
      <c r="K15" s="125">
        <v>0</v>
      </c>
      <c r="L15" s="125">
        <f>-100.7-82.66</f>
        <v>-183.36</v>
      </c>
      <c r="M15" s="125">
        <v>-3468.25</v>
      </c>
      <c r="N15" s="125">
        <v>-2174.14</v>
      </c>
      <c r="O15" s="125">
        <v>-4220.3900000000003</v>
      </c>
      <c r="P15" s="126">
        <f t="shared" si="0"/>
        <v>-13719.79</v>
      </c>
    </row>
    <row r="16" spans="1:16">
      <c r="A16" s="120" t="s">
        <v>10</v>
      </c>
      <c r="B16" s="126">
        <v>0</v>
      </c>
      <c r="C16" s="126">
        <v>0</v>
      </c>
      <c r="D16" s="126">
        <f>-450-456</f>
        <v>-906</v>
      </c>
      <c r="E16" s="126">
        <f>-815.04-624.85</f>
        <v>-1439.8899999999999</v>
      </c>
      <c r="F16" s="126">
        <v>0</v>
      </c>
      <c r="G16" s="126">
        <f>-33.92-648-18.54-595.72</f>
        <v>-1296.1799999999998</v>
      </c>
      <c r="H16" s="126">
        <v>0</v>
      </c>
      <c r="I16" s="126">
        <v>0</v>
      </c>
      <c r="J16" s="125">
        <v>0</v>
      </c>
      <c r="K16" s="125">
        <v>0</v>
      </c>
      <c r="L16" s="125">
        <v>0</v>
      </c>
      <c r="M16" s="125">
        <v>-3468.25</v>
      </c>
      <c r="N16" s="125">
        <v>-2174.14</v>
      </c>
      <c r="O16" s="125">
        <v>-4220.3900000000003</v>
      </c>
      <c r="P16" s="126">
        <f t="shared" si="0"/>
        <v>-13504.849999999999</v>
      </c>
    </row>
    <row r="17" spans="1:16">
      <c r="A17" s="120" t="s">
        <v>11</v>
      </c>
      <c r="B17" s="126">
        <f>-75-100-100-100</f>
        <v>-375</v>
      </c>
      <c r="C17" s="126">
        <v>0</v>
      </c>
      <c r="D17" s="126">
        <f>-450-430-115</f>
        <v>-995</v>
      </c>
      <c r="E17" s="126">
        <f>-120-115</f>
        <v>-235</v>
      </c>
      <c r="F17" s="126">
        <v>0</v>
      </c>
      <c r="G17" s="126">
        <f>-12.7-15.78-21.07-60.98-1103.06-167.63-415.55-36.01</f>
        <v>-1832.7799999999997</v>
      </c>
      <c r="H17" s="126">
        <v>0</v>
      </c>
      <c r="I17" s="126">
        <f>-500-400-300</f>
        <v>-1200</v>
      </c>
      <c r="J17" s="125">
        <v>0</v>
      </c>
      <c r="K17" s="125">
        <v>0</v>
      </c>
      <c r="L17" s="125">
        <v>0</v>
      </c>
      <c r="M17" s="125">
        <v>-3468.25</v>
      </c>
      <c r="N17" s="125">
        <v>-2174.14</v>
      </c>
      <c r="O17" s="125">
        <v>-4220.3900000000003</v>
      </c>
      <c r="P17" s="126">
        <f t="shared" si="0"/>
        <v>-14500.560000000001</v>
      </c>
    </row>
    <row r="18" spans="1:16">
      <c r="A18" s="120" t="s">
        <v>12</v>
      </c>
      <c r="B18" s="126">
        <v>-1000</v>
      </c>
      <c r="C18" s="126">
        <v>0</v>
      </c>
      <c r="D18" s="126">
        <f>-450-456-92.7-29.67</f>
        <v>-1028.3700000000001</v>
      </c>
      <c r="E18" s="126">
        <f>-153-29.67</f>
        <v>-182.67000000000002</v>
      </c>
      <c r="F18" s="126">
        <v>0</v>
      </c>
      <c r="G18" s="126">
        <v>0</v>
      </c>
      <c r="H18" s="126">
        <v>0</v>
      </c>
      <c r="I18" s="126">
        <f>-250-1000</f>
        <v>-1250</v>
      </c>
      <c r="J18" s="125">
        <v>0</v>
      </c>
      <c r="K18" s="125">
        <v>0</v>
      </c>
      <c r="L18" s="125">
        <f>-87.98-89.99-75</f>
        <v>-252.97</v>
      </c>
      <c r="M18" s="125">
        <v>-3468.25</v>
      </c>
      <c r="N18" s="125">
        <v>-2174.14</v>
      </c>
      <c r="O18" s="125">
        <v>-4220.3900000000003</v>
      </c>
      <c r="P18" s="126">
        <f t="shared" si="0"/>
        <v>-13576.79</v>
      </c>
    </row>
    <row r="19" spans="1:16">
      <c r="A19" s="120" t="s">
        <v>13</v>
      </c>
      <c r="B19" s="126">
        <v>-100</v>
      </c>
      <c r="C19" s="126">
        <v>0</v>
      </c>
      <c r="D19" s="126">
        <f>-450-456</f>
        <v>-906</v>
      </c>
      <c r="E19" s="126">
        <v>0</v>
      </c>
      <c r="F19" s="126">
        <v>0</v>
      </c>
      <c r="G19" s="126">
        <v>0</v>
      </c>
      <c r="H19" s="126">
        <v>0</v>
      </c>
      <c r="I19" s="126">
        <f>-405</f>
        <v>-405</v>
      </c>
      <c r="J19" s="125">
        <v>-2000</v>
      </c>
      <c r="K19" s="125">
        <v>0</v>
      </c>
      <c r="L19" s="125">
        <f>-100.7-84.8</f>
        <v>-185.5</v>
      </c>
      <c r="M19" s="125">
        <v>-3468.25</v>
      </c>
      <c r="N19" s="125">
        <v>-2174.14</v>
      </c>
      <c r="O19" s="125">
        <v>-4220.3900000000003</v>
      </c>
      <c r="P19" s="126">
        <f t="shared" si="0"/>
        <v>-13459.279999999999</v>
      </c>
    </row>
    <row r="20" spans="1:16">
      <c r="A20" s="120" t="s">
        <v>2</v>
      </c>
      <c r="B20" s="126">
        <v>-280</v>
      </c>
      <c r="C20" s="126">
        <v>0</v>
      </c>
      <c r="D20" s="126">
        <f>-450-430</f>
        <v>-880</v>
      </c>
      <c r="E20" s="126">
        <v>-175.85</v>
      </c>
      <c r="F20" s="126">
        <v>0</v>
      </c>
      <c r="G20" s="126">
        <v>0</v>
      </c>
      <c r="H20" s="126">
        <v>0</v>
      </c>
      <c r="I20" s="126">
        <f>-15-500-995.45</f>
        <v>-1510.45</v>
      </c>
      <c r="J20" s="125">
        <v>0</v>
      </c>
      <c r="K20" s="125">
        <v>0</v>
      </c>
      <c r="L20" s="125">
        <f>-409.69-663.95-3852-48.56-104.86-2517.23-87.98</f>
        <v>-7684.27</v>
      </c>
      <c r="M20" s="125">
        <v>-3468.25</v>
      </c>
      <c r="N20" s="125">
        <v>-2174.14</v>
      </c>
      <c r="O20" s="125">
        <v>-4220.3900000000003</v>
      </c>
      <c r="P20" s="126">
        <f t="shared" si="0"/>
        <v>-20393.349999999999</v>
      </c>
    </row>
    <row r="21" spans="1:16">
      <c r="A21" s="120" t="s">
        <v>3</v>
      </c>
      <c r="B21" s="127">
        <v>0</v>
      </c>
      <c r="C21" s="127">
        <v>0</v>
      </c>
      <c r="D21" s="127">
        <f>-450-456</f>
        <v>-906</v>
      </c>
      <c r="E21" s="127">
        <v>-51.78</v>
      </c>
      <c r="F21" s="127">
        <v>0</v>
      </c>
      <c r="G21" s="127">
        <v>0</v>
      </c>
      <c r="H21" s="127">
        <v>0</v>
      </c>
      <c r="I21" s="127">
        <v>0</v>
      </c>
      <c r="J21" s="125">
        <v>0</v>
      </c>
      <c r="K21" s="125">
        <v>0</v>
      </c>
      <c r="L21" s="125">
        <f>-87.98-40.87</f>
        <v>-128.85</v>
      </c>
      <c r="M21" s="125">
        <v>-3468.25</v>
      </c>
      <c r="N21" s="125">
        <v>-2174.14</v>
      </c>
      <c r="O21" s="125">
        <v>-4220.3900000000003</v>
      </c>
      <c r="P21" s="126">
        <f t="shared" si="0"/>
        <v>-10949.41</v>
      </c>
    </row>
    <row r="22" spans="1:16">
      <c r="A22" s="120" t="s">
        <v>4</v>
      </c>
      <c r="B22" s="127">
        <f>-200+100</f>
        <v>-100</v>
      </c>
      <c r="C22" s="127">
        <v>0</v>
      </c>
      <c r="D22" s="127">
        <f>-450-443</f>
        <v>-893</v>
      </c>
      <c r="E22" s="127">
        <f>-42.39-55.1-325.78-127.12</f>
        <v>-550.39</v>
      </c>
      <c r="F22" s="127">
        <v>0</v>
      </c>
      <c r="G22" s="127">
        <v>0</v>
      </c>
      <c r="H22" s="127">
        <v>0</v>
      </c>
      <c r="I22" s="127">
        <f>-150-360</f>
        <v>-510</v>
      </c>
      <c r="J22" s="125">
        <v>0</v>
      </c>
      <c r="K22" s="125">
        <v>-450</v>
      </c>
      <c r="L22" s="125">
        <v>0</v>
      </c>
      <c r="M22" s="125">
        <v>-3468.25</v>
      </c>
      <c r="N22" s="125">
        <v>-2174.14</v>
      </c>
      <c r="O22" s="125">
        <v>-4220.3900000000003</v>
      </c>
      <c r="P22" s="126">
        <f t="shared" si="0"/>
        <v>-12366.169999999998</v>
      </c>
    </row>
    <row r="23" spans="1:16">
      <c r="A23" s="120" t="s">
        <v>5</v>
      </c>
      <c r="B23" s="128">
        <v>0</v>
      </c>
      <c r="C23" s="128">
        <v>0</v>
      </c>
      <c r="D23" s="128">
        <f>-443</f>
        <v>-443</v>
      </c>
      <c r="E23" s="128">
        <v>-130.13999999999999</v>
      </c>
      <c r="F23" s="128">
        <f>-516.4-424</f>
        <v>-940.4</v>
      </c>
      <c r="G23" s="128">
        <v>0</v>
      </c>
      <c r="H23" s="128">
        <v>0</v>
      </c>
      <c r="I23" s="128">
        <f>-300</f>
        <v>-300</v>
      </c>
      <c r="J23" s="129">
        <v>0</v>
      </c>
      <c r="K23" s="129">
        <v>0</v>
      </c>
      <c r="L23" s="129">
        <v>-84.5</v>
      </c>
      <c r="M23" s="129">
        <v>-3468.25</v>
      </c>
      <c r="N23" s="129">
        <v>-2174.14</v>
      </c>
      <c r="O23" s="129">
        <v>-4220.3999999999996</v>
      </c>
      <c r="P23" s="130">
        <f t="shared" si="0"/>
        <v>-11760.83</v>
      </c>
    </row>
    <row r="24" spans="1:16">
      <c r="A24" s="120" t="s">
        <v>44</v>
      </c>
      <c r="B24" s="131">
        <f>SUM(B12:B23)</f>
        <v>-2255</v>
      </c>
      <c r="C24" s="131">
        <f t="shared" ref="C24:O24" si="1">SUM(C12:C23)</f>
        <v>-750</v>
      </c>
      <c r="D24" s="131">
        <f t="shared" si="1"/>
        <v>-10972.369999999999</v>
      </c>
      <c r="E24" s="131">
        <f t="shared" si="1"/>
        <v>-3070.4399999999996</v>
      </c>
      <c r="F24" s="131">
        <f t="shared" si="1"/>
        <v>-940.4</v>
      </c>
      <c r="G24" s="131">
        <f t="shared" si="1"/>
        <v>-4879.6099999999997</v>
      </c>
      <c r="H24" s="131">
        <f t="shared" si="1"/>
        <v>-450</v>
      </c>
      <c r="I24" s="131">
        <f t="shared" si="1"/>
        <v>-5815.45</v>
      </c>
      <c r="J24" s="131">
        <f t="shared" si="1"/>
        <v>-2213.09</v>
      </c>
      <c r="K24" s="131">
        <f>SUM(K12:K23)</f>
        <v>-450</v>
      </c>
      <c r="L24" s="131">
        <f>SUM(L12:L23)</f>
        <v>-8773.1500000000015</v>
      </c>
      <c r="M24" s="131">
        <f t="shared" si="1"/>
        <v>-41619</v>
      </c>
      <c r="N24" s="131">
        <f t="shared" si="1"/>
        <v>-26089.679999999997</v>
      </c>
      <c r="O24" s="131">
        <f t="shared" si="1"/>
        <v>-50644.69</v>
      </c>
      <c r="P24" s="132">
        <f>SUM(P12:P23)</f>
        <v>-158922.87999999998</v>
      </c>
    </row>
    <row r="25" spans="1:16">
      <c r="B25" s="133"/>
      <c r="C25" s="133"/>
      <c r="D25" s="133"/>
      <c r="E25" s="133"/>
      <c r="F25" s="133"/>
      <c r="G25" s="133"/>
    </row>
    <row r="26" spans="1:16">
      <c r="B26" s="133"/>
      <c r="C26" s="133"/>
      <c r="D26" s="133"/>
      <c r="E26" s="133"/>
      <c r="F26" s="133"/>
      <c r="G26" s="133"/>
    </row>
    <row r="27" spans="1:16">
      <c r="B27" s="319" t="s">
        <v>267</v>
      </c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</row>
    <row r="28" spans="1:16">
      <c r="B28" s="133"/>
      <c r="C28" s="133"/>
      <c r="D28" s="133"/>
      <c r="E28" s="133"/>
      <c r="F28" s="133"/>
      <c r="G28" s="125"/>
      <c r="H28" s="133"/>
      <c r="I28" s="133"/>
      <c r="J28" s="133"/>
      <c r="K28" s="133"/>
      <c r="L28" s="133"/>
      <c r="M28" s="133"/>
    </row>
    <row r="29" spans="1:16">
      <c r="E29" s="137"/>
      <c r="F29" s="135"/>
      <c r="G29" s="126"/>
      <c r="H29" s="133"/>
      <c r="I29" s="133"/>
    </row>
    <row r="30" spans="1:16">
      <c r="E30" s="137"/>
      <c r="F30" s="135"/>
      <c r="G30" s="126"/>
      <c r="H30" s="133"/>
      <c r="I30" s="133"/>
    </row>
    <row r="31" spans="1:16">
      <c r="E31" s="137"/>
      <c r="F31" s="135"/>
      <c r="G31" s="126"/>
      <c r="H31" s="133"/>
      <c r="I31" s="133"/>
    </row>
    <row r="32" spans="1:16">
      <c r="B32" s="133"/>
      <c r="C32" s="133"/>
      <c r="D32" s="133"/>
      <c r="E32" s="137"/>
      <c r="F32" s="135"/>
      <c r="G32" s="126"/>
      <c r="H32" s="133"/>
      <c r="I32" s="133"/>
      <c r="J32" s="133"/>
      <c r="K32" s="133"/>
      <c r="L32" s="133"/>
      <c r="M32" s="133"/>
    </row>
    <row r="33" spans="2:13">
      <c r="B33" s="133"/>
      <c r="C33" s="133"/>
      <c r="D33" s="133"/>
      <c r="E33" s="137"/>
      <c r="F33" s="135"/>
      <c r="G33" s="126"/>
      <c r="H33" s="133"/>
      <c r="I33" s="133"/>
      <c r="J33" s="133"/>
      <c r="K33" s="133"/>
      <c r="L33" s="133"/>
      <c r="M33" s="133"/>
    </row>
    <row r="34" spans="2:13">
      <c r="B34" s="133"/>
      <c r="C34" s="133"/>
      <c r="D34" s="133"/>
      <c r="E34" s="137"/>
      <c r="F34" s="135"/>
      <c r="G34" s="126"/>
      <c r="H34" s="133"/>
      <c r="I34" s="133"/>
      <c r="J34" s="133"/>
      <c r="K34" s="133"/>
      <c r="L34" s="133"/>
      <c r="M34" s="133"/>
    </row>
    <row r="35" spans="2:13">
      <c r="B35" s="133"/>
      <c r="C35" s="133"/>
      <c r="D35" s="133"/>
      <c r="E35" s="137"/>
      <c r="F35" s="133"/>
      <c r="G35" s="126"/>
      <c r="H35" s="133"/>
      <c r="I35" s="133"/>
      <c r="J35" s="133"/>
      <c r="K35" s="133"/>
      <c r="L35" s="133"/>
      <c r="M35" s="133"/>
    </row>
    <row r="36" spans="2:13">
      <c r="B36" s="133"/>
      <c r="C36" s="133"/>
      <c r="D36" s="133"/>
      <c r="E36" s="133"/>
      <c r="F36" s="133"/>
      <c r="G36" s="126"/>
      <c r="H36" s="133"/>
      <c r="I36" s="133"/>
      <c r="J36" s="133"/>
      <c r="K36" s="133"/>
      <c r="L36" s="133"/>
      <c r="M36" s="133"/>
    </row>
    <row r="37" spans="2:13">
      <c r="B37" s="133"/>
      <c r="C37" s="133"/>
      <c r="D37" s="133"/>
      <c r="E37" s="133"/>
      <c r="F37" s="133"/>
      <c r="G37" s="126"/>
      <c r="H37" s="133"/>
      <c r="I37" s="133"/>
      <c r="J37" s="133"/>
      <c r="K37" s="133"/>
      <c r="L37" s="133"/>
      <c r="M37" s="133"/>
    </row>
    <row r="38" spans="2:13">
      <c r="B38" s="133"/>
      <c r="C38" s="133"/>
      <c r="D38" s="133"/>
      <c r="E38" s="133"/>
      <c r="F38" s="133"/>
      <c r="G38" s="127"/>
      <c r="H38" s="133"/>
      <c r="I38" s="133"/>
      <c r="J38" s="133"/>
      <c r="K38" s="133"/>
      <c r="L38" s="133"/>
      <c r="M38" s="133"/>
    </row>
    <row r="39" spans="2:13">
      <c r="B39" s="133"/>
      <c r="C39" s="133"/>
      <c r="D39" s="133"/>
      <c r="E39" s="133"/>
      <c r="F39" s="133"/>
      <c r="G39" s="127"/>
      <c r="H39" s="133"/>
      <c r="I39" s="133"/>
      <c r="J39" s="133"/>
      <c r="K39" s="133"/>
      <c r="L39" s="133"/>
      <c r="M39" s="133"/>
    </row>
    <row r="40" spans="2:13">
      <c r="B40" s="133"/>
      <c r="C40" s="133"/>
      <c r="D40" s="133"/>
      <c r="E40" s="133"/>
      <c r="F40" s="133"/>
      <c r="G40" s="127"/>
      <c r="H40" s="133"/>
      <c r="I40" s="133"/>
      <c r="J40" s="133"/>
      <c r="K40" s="133"/>
      <c r="L40" s="133"/>
      <c r="M40" s="133"/>
    </row>
    <row r="41" spans="2:13">
      <c r="B41" s="133"/>
    </row>
    <row r="42" spans="2:13">
      <c r="B42" s="133"/>
    </row>
  </sheetData>
  <mergeCells count="4">
    <mergeCell ref="A4:N4"/>
    <mergeCell ref="A5:N5"/>
    <mergeCell ref="A7:N7"/>
    <mergeCell ref="B27:N27"/>
  </mergeCells>
  <printOptions horizontalCentered="1"/>
  <pageMargins left="0.7" right="0.7" top="0.75" bottom="0.75" header="0.3" footer="0.3"/>
  <pageSetup scale="59" orientation="landscape" r:id="rId1"/>
  <headerFooter>
    <oddFooter>&amp;R&amp;"Times New Roman,Regular"Exhibit JW-2
Page &amp;P of &amp;N</oddFooter>
  </headerFooter>
  <ignoredErrors>
    <ignoredError sqref="B10 I10 M10 J10:K10" numberStoredAsText="1"/>
    <ignoredError sqref="B17:B22 P12:P23 N12 L14:L21 J14 I12:I23 G15:G17 D12:D19 E16:E22 D21:D23" unlockedFormula="1"/>
    <ignoredError sqref="D20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8"/>
  <sheetViews>
    <sheetView view="pageBreakPreview" zoomScaleNormal="100" zoomScaleSheetLayoutView="100" workbookViewId="0">
      <selection activeCell="K18" sqref="K18"/>
    </sheetView>
  </sheetViews>
  <sheetFormatPr defaultColWidth="9.15234375" defaultRowHeight="14.15"/>
  <cols>
    <col min="1" max="1" width="5.3046875" style="120" customWidth="1"/>
    <col min="2" max="2" width="30.69140625" style="120" bestFit="1" customWidth="1"/>
    <col min="3" max="3" width="12.69140625" style="120" bestFit="1" customWidth="1"/>
    <col min="4" max="7" width="11.53515625" style="120" bestFit="1" customWidth="1"/>
    <col min="8" max="8" width="12.15234375" style="120" customWidth="1"/>
    <col min="9" max="9" width="9.84375" style="120" bestFit="1" customWidth="1"/>
    <col min="10" max="10" width="14" style="120" bestFit="1" customWidth="1"/>
    <col min="11" max="11" width="13.69140625" style="120" customWidth="1"/>
    <col min="12" max="12" width="9.84375" style="120" bestFit="1" customWidth="1"/>
    <col min="13" max="16384" width="9.15234375" style="120"/>
  </cols>
  <sheetData>
    <row r="1" spans="1:13" s="9" customFormat="1" ht="12.45">
      <c r="J1" s="5" t="s">
        <v>114</v>
      </c>
    </row>
    <row r="2" spans="1:13" s="9" customFormat="1" ht="12.45"/>
    <row r="3" spans="1:13" s="9" customFormat="1" ht="12.45"/>
    <row r="4" spans="1:13" s="9" customFormat="1" ht="12.45">
      <c r="A4" s="318" t="s">
        <v>254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</row>
    <row r="5" spans="1:13" s="9" customFormat="1" ht="12.45">
      <c r="A5" s="318" t="s">
        <v>211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</row>
    <row r="6" spans="1:13" s="9" customFormat="1" ht="12.4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" s="9" customFormat="1" ht="12.45">
      <c r="A7" s="315" t="s">
        <v>268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1:13" s="9" customFormat="1" ht="12.45"/>
    <row r="9" spans="1:13">
      <c r="A9" s="207" t="s">
        <v>21</v>
      </c>
      <c r="B9" s="124" t="s">
        <v>41</v>
      </c>
      <c r="C9" s="124" t="s">
        <v>270</v>
      </c>
      <c r="D9" s="124" t="s">
        <v>269</v>
      </c>
      <c r="E9" s="124" t="s">
        <v>391</v>
      </c>
      <c r="F9" s="124" t="s">
        <v>271</v>
      </c>
      <c r="G9" s="124" t="s">
        <v>272</v>
      </c>
      <c r="H9" s="124" t="s">
        <v>273</v>
      </c>
      <c r="I9" s="124" t="s">
        <v>274</v>
      </c>
      <c r="J9" s="124" t="s">
        <v>275</v>
      </c>
    </row>
    <row r="10" spans="1:13">
      <c r="A10" s="208">
        <v>1</v>
      </c>
      <c r="B10" s="136" t="s">
        <v>276</v>
      </c>
      <c r="C10" s="137"/>
      <c r="D10" s="137">
        <v>3333.46</v>
      </c>
      <c r="E10" s="137">
        <v>4412.04</v>
      </c>
      <c r="F10" s="137">
        <v>3553.14</v>
      </c>
      <c r="G10" s="137">
        <v>2706.79</v>
      </c>
      <c r="H10" s="137">
        <v>3355.59</v>
      </c>
      <c r="I10" s="137"/>
      <c r="J10" s="137"/>
      <c r="L10" s="137"/>
      <c r="M10" s="137"/>
    </row>
    <row r="11" spans="1:13">
      <c r="A11" s="208">
        <v>2</v>
      </c>
      <c r="B11" s="136" t="s">
        <v>277</v>
      </c>
      <c r="C11" s="137"/>
      <c r="D11" s="137"/>
      <c r="E11" s="137">
        <v>1430</v>
      </c>
      <c r="F11" s="137"/>
      <c r="G11" s="137"/>
      <c r="H11" s="137"/>
      <c r="I11" s="137"/>
      <c r="J11" s="137"/>
      <c r="L11" s="137"/>
      <c r="M11" s="137"/>
    </row>
    <row r="12" spans="1:13">
      <c r="A12" s="208">
        <v>3</v>
      </c>
      <c r="B12" s="136" t="s">
        <v>278</v>
      </c>
      <c r="C12" s="137"/>
      <c r="D12" s="137">
        <v>3849.74</v>
      </c>
      <c r="E12" s="137"/>
      <c r="F12" s="137"/>
      <c r="G12" s="137"/>
      <c r="H12" s="137"/>
      <c r="I12" s="137"/>
      <c r="J12" s="137"/>
      <c r="L12" s="137"/>
      <c r="M12" s="137"/>
    </row>
    <row r="13" spans="1:13">
      <c r="A13" s="208">
        <v>4</v>
      </c>
      <c r="B13" s="136" t="s">
        <v>279</v>
      </c>
      <c r="C13" s="137">
        <v>697.06</v>
      </c>
      <c r="D13" s="137">
        <v>1791.45</v>
      </c>
      <c r="E13" s="137">
        <v>2671.61</v>
      </c>
      <c r="F13" s="137">
        <v>2136.48</v>
      </c>
      <c r="G13" s="137">
        <v>1459.52</v>
      </c>
      <c r="H13" s="137">
        <v>339.78</v>
      </c>
      <c r="I13" s="137">
        <v>111.22</v>
      </c>
      <c r="J13" s="137">
        <v>1021.54</v>
      </c>
      <c r="L13" s="137"/>
      <c r="M13" s="137"/>
    </row>
    <row r="14" spans="1:13">
      <c r="A14" s="208">
        <v>5</v>
      </c>
      <c r="B14" s="136" t="s">
        <v>280</v>
      </c>
      <c r="C14" s="137"/>
      <c r="D14" s="137">
        <v>264.74</v>
      </c>
      <c r="E14" s="137">
        <v>250</v>
      </c>
      <c r="F14" s="137">
        <v>280.82</v>
      </c>
      <c r="G14" s="137">
        <v>255.36</v>
      </c>
      <c r="H14" s="137"/>
      <c r="I14" s="137"/>
      <c r="J14" s="137"/>
      <c r="L14" s="137"/>
      <c r="M14" s="137"/>
    </row>
    <row r="15" spans="1:13">
      <c r="A15" s="208">
        <v>6</v>
      </c>
      <c r="B15" s="136" t="s">
        <v>281</v>
      </c>
      <c r="C15" s="137">
        <v>32.4</v>
      </c>
      <c r="D15" s="137">
        <v>14.64</v>
      </c>
      <c r="E15" s="137">
        <v>32.4</v>
      </c>
      <c r="F15" s="137">
        <v>32.4</v>
      </c>
      <c r="G15" s="137">
        <v>32.4</v>
      </c>
      <c r="H15" s="137">
        <v>9.7200000000000006</v>
      </c>
      <c r="I15" s="137">
        <v>14.64</v>
      </c>
      <c r="J15" s="137">
        <v>14.64</v>
      </c>
      <c r="K15" s="209"/>
      <c r="L15" s="137"/>
      <c r="M15" s="137"/>
    </row>
    <row r="16" spans="1:13">
      <c r="A16" s="208">
        <v>7</v>
      </c>
      <c r="C16" s="210">
        <f t="shared" ref="C16:J16" si="0">SUM(C10:C15)</f>
        <v>729.45999999999992</v>
      </c>
      <c r="D16" s="210">
        <f t="shared" si="0"/>
        <v>9254.0299999999988</v>
      </c>
      <c r="E16" s="210">
        <f t="shared" si="0"/>
        <v>8796.0499999999993</v>
      </c>
      <c r="F16" s="210">
        <f t="shared" si="0"/>
        <v>6002.8399999999992</v>
      </c>
      <c r="G16" s="210">
        <f t="shared" si="0"/>
        <v>4454.0699999999988</v>
      </c>
      <c r="H16" s="210">
        <f t="shared" si="0"/>
        <v>3705.0899999999997</v>
      </c>
      <c r="I16" s="210">
        <f t="shared" si="0"/>
        <v>125.86</v>
      </c>
      <c r="J16" s="210">
        <f t="shared" si="0"/>
        <v>1036.18</v>
      </c>
      <c r="L16" s="137"/>
      <c r="M16" s="137"/>
    </row>
    <row r="17" spans="1:14">
      <c r="A17" s="208">
        <v>8</v>
      </c>
      <c r="C17" s="135"/>
      <c r="D17" s="135"/>
      <c r="E17" s="135"/>
      <c r="F17" s="135"/>
      <c r="G17" s="135"/>
      <c r="H17" s="135"/>
      <c r="I17" s="135"/>
      <c r="J17" s="135"/>
      <c r="L17" s="137"/>
      <c r="M17" s="137"/>
    </row>
    <row r="18" spans="1:14">
      <c r="A18" s="208">
        <v>9</v>
      </c>
      <c r="B18" s="135"/>
      <c r="C18" s="135"/>
      <c r="D18" s="135"/>
      <c r="E18" s="135"/>
      <c r="F18" s="135"/>
      <c r="G18" s="135"/>
      <c r="H18" s="135"/>
      <c r="I18" s="135"/>
      <c r="J18" s="135"/>
      <c r="L18" s="137"/>
      <c r="M18" s="137"/>
    </row>
    <row r="19" spans="1:14">
      <c r="A19" s="208">
        <v>10</v>
      </c>
      <c r="C19" s="135"/>
      <c r="D19" s="135"/>
      <c r="E19" s="135"/>
      <c r="F19" s="135"/>
      <c r="G19" s="135"/>
      <c r="H19" s="135"/>
      <c r="I19" s="135"/>
      <c r="J19" s="135"/>
      <c r="L19" s="137"/>
      <c r="M19" s="137"/>
    </row>
    <row r="20" spans="1:14">
      <c r="A20" s="208">
        <v>11</v>
      </c>
      <c r="B20" s="211" t="s">
        <v>392</v>
      </c>
      <c r="C20" s="124" t="s">
        <v>393</v>
      </c>
      <c r="D20" s="135"/>
      <c r="E20" s="135"/>
      <c r="F20" s="135"/>
      <c r="G20" s="135"/>
      <c r="H20" s="135"/>
      <c r="I20" s="135"/>
      <c r="J20" s="135"/>
      <c r="K20" s="137"/>
      <c r="L20" s="137"/>
      <c r="M20" s="137"/>
    </row>
    <row r="21" spans="1:14">
      <c r="A21" s="208">
        <v>12</v>
      </c>
      <c r="B21" s="120" t="s">
        <v>394</v>
      </c>
      <c r="C21" s="137">
        <f>SUM(C10:J10)</f>
        <v>17361.02</v>
      </c>
      <c r="D21" s="135"/>
      <c r="E21" s="135"/>
      <c r="I21" s="135"/>
      <c r="J21" s="135"/>
      <c r="K21" s="137"/>
      <c r="L21" s="137"/>
      <c r="M21" s="137"/>
    </row>
    <row r="22" spans="1:14">
      <c r="A22" s="208">
        <v>13</v>
      </c>
      <c r="B22" s="120" t="s">
        <v>277</v>
      </c>
      <c r="C22" s="137">
        <f t="shared" ref="C22:C26" si="1">SUM(C11:J11)</f>
        <v>1430</v>
      </c>
      <c r="D22" s="135"/>
      <c r="E22" s="135"/>
      <c r="H22" s="223" t="s">
        <v>37</v>
      </c>
      <c r="J22" s="137">
        <v>118307.29</v>
      </c>
    </row>
    <row r="23" spans="1:14">
      <c r="A23" s="208">
        <v>14</v>
      </c>
      <c r="B23" s="120" t="s">
        <v>278</v>
      </c>
      <c r="C23" s="137">
        <f t="shared" si="1"/>
        <v>3849.74</v>
      </c>
      <c r="D23" s="135"/>
      <c r="E23" s="135"/>
      <c r="H23" s="223"/>
      <c r="J23" s="137"/>
    </row>
    <row r="24" spans="1:14">
      <c r="A24" s="208">
        <v>15</v>
      </c>
      <c r="B24" s="120" t="s">
        <v>395</v>
      </c>
      <c r="C24" s="137">
        <f t="shared" si="1"/>
        <v>10228.66</v>
      </c>
      <c r="D24" s="135"/>
      <c r="E24" s="135"/>
      <c r="H24" s="223" t="s">
        <v>152</v>
      </c>
      <c r="J24" s="212">
        <f>+J22-C27</f>
        <v>84203.709999999992</v>
      </c>
    </row>
    <row r="25" spans="1:14">
      <c r="A25" s="208">
        <v>16</v>
      </c>
      <c r="B25" s="120" t="s">
        <v>280</v>
      </c>
      <c r="C25" s="137">
        <f t="shared" si="1"/>
        <v>1050.92</v>
      </c>
      <c r="D25" s="135"/>
      <c r="E25" s="135"/>
      <c r="H25" s="223"/>
      <c r="J25" s="212"/>
    </row>
    <row r="26" spans="1:14" ht="14.6" thickBot="1">
      <c r="A26" s="208">
        <v>17</v>
      </c>
      <c r="B26" s="138" t="s">
        <v>281</v>
      </c>
      <c r="C26" s="213">
        <f t="shared" si="1"/>
        <v>183.24</v>
      </c>
      <c r="D26" s="135"/>
      <c r="E26" s="135"/>
      <c r="H26" s="311" t="s">
        <v>15</v>
      </c>
      <c r="I26" s="214"/>
      <c r="J26" s="216">
        <f>J24-J22</f>
        <v>-34103.58</v>
      </c>
    </row>
    <row r="27" spans="1:14" ht="14.6" thickTop="1">
      <c r="A27" s="208">
        <v>18</v>
      </c>
      <c r="B27" s="120" t="s">
        <v>396</v>
      </c>
      <c r="C27" s="137">
        <f>SUM(C21:C26)</f>
        <v>34103.579999999994</v>
      </c>
      <c r="D27" s="135"/>
      <c r="E27" s="135"/>
      <c r="H27" s="135"/>
      <c r="I27" s="135"/>
      <c r="J27" s="135"/>
    </row>
    <row r="28" spans="1:14">
      <c r="C28" s="135"/>
      <c r="D28" s="135"/>
      <c r="E28" s="135"/>
      <c r="H28" s="135"/>
      <c r="I28" s="135"/>
      <c r="J28" s="135"/>
    </row>
    <row r="29" spans="1:14">
      <c r="B29" s="215" t="s">
        <v>282</v>
      </c>
      <c r="C29" s="117"/>
      <c r="D29" s="135"/>
      <c r="E29" s="135"/>
      <c r="F29" s="135"/>
      <c r="G29" s="135"/>
      <c r="H29" s="135"/>
      <c r="I29" s="135"/>
      <c r="J29" s="135"/>
    </row>
    <row r="30" spans="1:14">
      <c r="D30" s="135"/>
      <c r="E30" s="135"/>
      <c r="F30" s="135"/>
      <c r="G30" s="135"/>
      <c r="H30" s="135"/>
      <c r="I30" s="135"/>
      <c r="J30" s="135"/>
    </row>
    <row r="31" spans="1:14">
      <c r="D31" s="117"/>
      <c r="E31" s="117"/>
      <c r="F31" s="117"/>
      <c r="G31" s="117"/>
      <c r="H31" s="135"/>
      <c r="I31" s="135"/>
      <c r="J31" s="135"/>
      <c r="K31" s="117"/>
      <c r="L31" s="117"/>
      <c r="M31" s="117"/>
      <c r="N31" s="117"/>
    </row>
    <row r="32" spans="1:14">
      <c r="D32" s="135"/>
      <c r="E32" s="135"/>
      <c r="F32" s="135"/>
      <c r="G32" s="135"/>
      <c r="H32" s="135"/>
      <c r="I32" s="135"/>
      <c r="J32" s="135"/>
    </row>
    <row r="33" spans="3:10">
      <c r="C33" s="135"/>
      <c r="D33" s="135"/>
      <c r="E33" s="135"/>
      <c r="F33" s="135"/>
      <c r="G33" s="135"/>
      <c r="H33" s="135"/>
      <c r="I33" s="135"/>
      <c r="J33" s="135"/>
    </row>
    <row r="34" spans="3:10">
      <c r="C34" s="135"/>
      <c r="D34" s="135"/>
      <c r="E34" s="135"/>
      <c r="F34" s="135"/>
      <c r="G34" s="135"/>
      <c r="H34" s="135"/>
      <c r="I34" s="135"/>
      <c r="J34" s="135"/>
    </row>
    <row r="35" spans="3:10">
      <c r="C35" s="135"/>
      <c r="D35" s="135"/>
      <c r="E35" s="135"/>
      <c r="F35" s="135"/>
      <c r="G35" s="135"/>
      <c r="H35" s="135"/>
      <c r="I35" s="135"/>
      <c r="J35" s="135"/>
    </row>
    <row r="36" spans="3:10">
      <c r="C36" s="135"/>
      <c r="D36" s="135"/>
      <c r="E36" s="135"/>
      <c r="F36" s="135"/>
      <c r="G36" s="135"/>
    </row>
    <row r="37" spans="3:10">
      <c r="D37" s="135"/>
      <c r="E37" s="135"/>
      <c r="F37" s="135"/>
      <c r="G37" s="135"/>
    </row>
    <row r="38" spans="3:10">
      <c r="D38" s="135"/>
      <c r="E38" s="135"/>
      <c r="F38" s="135"/>
      <c r="G38" s="135"/>
    </row>
  </sheetData>
  <mergeCells count="3">
    <mergeCell ref="A4:K4"/>
    <mergeCell ref="A5:K5"/>
    <mergeCell ref="A7:K7"/>
  </mergeCells>
  <printOptions horizontalCentered="1"/>
  <pageMargins left="0.7" right="0.7" top="0.75" bottom="0.75" header="0.3" footer="0.3"/>
  <pageSetup scale="93" orientation="landscape" r:id="rId1"/>
  <headerFooter>
    <oddFooter>&amp;R&amp;"Times New Roman,Regular"Exhibit JW-2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325"/>
  <sheetViews>
    <sheetView tabSelected="1" view="pageBreakPreview" topLeftCell="A8" zoomScaleNormal="75" zoomScaleSheetLayoutView="100" workbookViewId="0">
      <selection activeCell="A37" sqref="A37"/>
    </sheetView>
  </sheetViews>
  <sheetFormatPr defaultColWidth="9.15234375" defaultRowHeight="12.45"/>
  <cols>
    <col min="1" max="1" width="11.53515625" style="9" customWidth="1"/>
    <col min="2" max="2" width="11.53515625" style="9" hidden="1" customWidth="1"/>
    <col min="3" max="3" width="14.53515625" style="9" customWidth="1"/>
    <col min="4" max="8" width="16.84375" style="9" customWidth="1"/>
    <col min="9" max="9" width="9.15234375" style="9"/>
    <col min="10" max="10" width="11.3046875" style="9" bestFit="1" customWidth="1"/>
    <col min="11" max="11" width="9.15234375" style="9"/>
    <col min="12" max="12" width="11.3046875" style="9" bestFit="1" customWidth="1"/>
    <col min="13" max="16384" width="9.15234375" style="9"/>
  </cols>
  <sheetData>
    <row r="1" spans="1:15" ht="15" customHeight="1">
      <c r="G1" s="5"/>
      <c r="H1" s="5" t="s">
        <v>115</v>
      </c>
    </row>
    <row r="2" spans="1:15" ht="20.25" customHeight="1">
      <c r="G2" s="5"/>
      <c r="H2" s="5"/>
    </row>
    <row r="3" spans="1:15">
      <c r="G3" s="5"/>
      <c r="H3" s="5"/>
    </row>
    <row r="4" spans="1:15">
      <c r="B4" s="318" t="str">
        <f>RevReq!A1</f>
        <v>MEADE COUNTY R.E.C.C.</v>
      </c>
      <c r="C4" s="318"/>
      <c r="D4" s="318"/>
      <c r="E4" s="318"/>
      <c r="F4" s="318"/>
      <c r="G4" s="318"/>
      <c r="H4" s="318"/>
      <c r="I4" s="7"/>
      <c r="J4" s="7"/>
      <c r="K4" s="7"/>
      <c r="L4" s="7"/>
      <c r="M4" s="7"/>
      <c r="N4" s="7"/>
      <c r="O4" s="7"/>
    </row>
    <row r="5" spans="1:15">
      <c r="B5" s="318" t="str">
        <f>RevReq!A3</f>
        <v>For the 12 Months Ended December 31, 2024</v>
      </c>
      <c r="C5" s="318"/>
      <c r="D5" s="318"/>
      <c r="E5" s="318"/>
      <c r="F5" s="318"/>
      <c r="G5" s="318"/>
      <c r="H5" s="318"/>
      <c r="I5" s="7"/>
      <c r="J5" s="7"/>
      <c r="K5" s="7"/>
      <c r="L5" s="7"/>
    </row>
    <row r="7" spans="1:15" s="6" customFormat="1" ht="15" customHeight="1">
      <c r="B7" s="315" t="s">
        <v>315</v>
      </c>
      <c r="C7" s="315"/>
      <c r="D7" s="315"/>
      <c r="E7" s="315"/>
      <c r="F7" s="315"/>
      <c r="G7" s="315"/>
      <c r="H7" s="315"/>
      <c r="I7" s="154"/>
      <c r="J7" s="154"/>
      <c r="K7" s="154"/>
      <c r="L7" s="154"/>
    </row>
    <row r="9" spans="1:15" s="120" customFormat="1" ht="14.15">
      <c r="A9" s="123" t="s">
        <v>128</v>
      </c>
      <c r="B9" s="123" t="s">
        <v>128</v>
      </c>
      <c r="C9" s="123" t="s">
        <v>129</v>
      </c>
      <c r="D9" s="123" t="s">
        <v>263</v>
      </c>
      <c r="E9" s="123" t="s">
        <v>316</v>
      </c>
      <c r="F9" s="123" t="s">
        <v>264</v>
      </c>
      <c r="G9" s="123" t="s">
        <v>265</v>
      </c>
      <c r="H9" s="123" t="s">
        <v>266</v>
      </c>
    </row>
    <row r="10" spans="1:15" s="120" customFormat="1" ht="14.15">
      <c r="A10" s="123"/>
      <c r="B10" s="123"/>
      <c r="C10" s="123"/>
      <c r="D10" s="119"/>
      <c r="E10" s="119"/>
      <c r="F10" s="119"/>
      <c r="G10" s="119" t="s">
        <v>317</v>
      </c>
      <c r="H10" s="119" t="s">
        <v>318</v>
      </c>
      <c r="I10" s="119"/>
    </row>
    <row r="11" spans="1:15" s="120" customFormat="1" ht="31.5" customHeight="1">
      <c r="A11" s="124" t="s">
        <v>291</v>
      </c>
      <c r="B11" s="124" t="s">
        <v>291</v>
      </c>
      <c r="C11" s="217" t="s">
        <v>319</v>
      </c>
      <c r="D11" s="217" t="s">
        <v>400</v>
      </c>
      <c r="E11" s="217" t="s">
        <v>401</v>
      </c>
      <c r="F11" s="217" t="s">
        <v>320</v>
      </c>
      <c r="G11" s="217" t="s">
        <v>321</v>
      </c>
      <c r="H11" s="217" t="s">
        <v>322</v>
      </c>
      <c r="I11" s="119"/>
    </row>
    <row r="12" spans="1:15" s="120" customFormat="1" ht="14.15">
      <c r="A12" s="136"/>
      <c r="B12" s="136">
        <v>81</v>
      </c>
      <c r="C12" s="137">
        <f>19.69*12</f>
        <v>236.28000000000003</v>
      </c>
      <c r="D12" s="137">
        <v>27.55</v>
      </c>
      <c r="E12" s="218">
        <f>+D12*2080</f>
        <v>57304</v>
      </c>
      <c r="F12" s="137">
        <f>IF(E12&gt;50000,50000,E12)</f>
        <v>50000</v>
      </c>
      <c r="G12" s="137">
        <f>+E12*2</f>
        <v>114608</v>
      </c>
      <c r="H12" s="219">
        <f>((G12-F12)/G12)*C12</f>
        <v>133.19819070221973</v>
      </c>
      <c r="I12" s="135"/>
      <c r="J12" s="218"/>
      <c r="L12" s="218"/>
    </row>
    <row r="13" spans="1:15" s="120" customFormat="1" ht="14.15">
      <c r="A13" s="136"/>
      <c r="B13" s="136">
        <v>86</v>
      </c>
      <c r="C13" s="137">
        <f>44.39*12</f>
        <v>532.68000000000006</v>
      </c>
      <c r="D13" s="137">
        <v>64.400000000000006</v>
      </c>
      <c r="E13" s="218">
        <f t="shared" ref="E13:E76" si="0">+D13*2080</f>
        <v>133952</v>
      </c>
      <c r="F13" s="137">
        <f t="shared" ref="F13:F76" si="1">IF(E13&gt;50000,50000,E13)</f>
        <v>50000</v>
      </c>
      <c r="G13" s="137">
        <f t="shared" ref="G13:G76" si="2">+E13*2</f>
        <v>267904</v>
      </c>
      <c r="H13" s="219">
        <f t="shared" ref="H13:H76" si="3">((G13-F13)/G13)*C13</f>
        <v>433.26379120879125</v>
      </c>
      <c r="I13" s="135"/>
      <c r="J13" s="218"/>
      <c r="L13" s="218"/>
    </row>
    <row r="14" spans="1:15" s="120" customFormat="1" ht="14.15">
      <c r="A14" s="136"/>
      <c r="B14" s="136">
        <v>107</v>
      </c>
      <c r="C14" s="137">
        <f>29.36*12</f>
        <v>352.32</v>
      </c>
      <c r="D14" s="137">
        <v>41.55</v>
      </c>
      <c r="E14" s="218">
        <f t="shared" si="0"/>
        <v>86424</v>
      </c>
      <c r="F14" s="137">
        <f t="shared" si="1"/>
        <v>50000</v>
      </c>
      <c r="G14" s="137">
        <f t="shared" si="2"/>
        <v>172848</v>
      </c>
      <c r="H14" s="219">
        <f t="shared" si="3"/>
        <v>250.40386559289087</v>
      </c>
      <c r="I14" s="135"/>
      <c r="J14" s="218"/>
      <c r="L14" s="218"/>
    </row>
    <row r="15" spans="1:15" s="120" customFormat="1" ht="14.15">
      <c r="A15" s="136"/>
      <c r="B15" s="136">
        <v>110</v>
      </c>
      <c r="C15" s="137">
        <f>41.17*12</f>
        <v>494.04</v>
      </c>
      <c r="D15" s="137">
        <v>57.56</v>
      </c>
      <c r="E15" s="218">
        <f t="shared" si="0"/>
        <v>119724.8</v>
      </c>
      <c r="F15" s="137">
        <f t="shared" si="1"/>
        <v>50000</v>
      </c>
      <c r="G15" s="137">
        <f t="shared" si="2"/>
        <v>239449.60000000001</v>
      </c>
      <c r="H15" s="219">
        <f t="shared" si="3"/>
        <v>390.87841610092482</v>
      </c>
      <c r="I15" s="135"/>
      <c r="J15" s="218"/>
      <c r="L15" s="218"/>
    </row>
    <row r="16" spans="1:15" s="120" customFormat="1" ht="14.15">
      <c r="A16" s="136"/>
      <c r="B16" s="136">
        <v>120</v>
      </c>
      <c r="C16" s="137">
        <f>40.45*12</f>
        <v>485.40000000000003</v>
      </c>
      <c r="D16" s="137">
        <v>57.56</v>
      </c>
      <c r="E16" s="218">
        <f t="shared" si="0"/>
        <v>119724.8</v>
      </c>
      <c r="F16" s="137">
        <f t="shared" si="1"/>
        <v>50000</v>
      </c>
      <c r="G16" s="137">
        <f t="shared" si="2"/>
        <v>239449.60000000001</v>
      </c>
      <c r="H16" s="219">
        <f t="shared" si="3"/>
        <v>384.04255358956544</v>
      </c>
      <c r="I16" s="135"/>
      <c r="J16" s="218"/>
      <c r="L16" s="218"/>
    </row>
    <row r="17" spans="1:12" s="120" customFormat="1" ht="14.15">
      <c r="A17" s="136"/>
      <c r="B17" s="136">
        <v>122</v>
      </c>
      <c r="C17" s="137">
        <f>24.34*12</f>
        <v>292.08</v>
      </c>
      <c r="D17" s="137">
        <v>33.799999999999997</v>
      </c>
      <c r="E17" s="218">
        <f t="shared" si="0"/>
        <v>70304</v>
      </c>
      <c r="F17" s="137">
        <f t="shared" si="1"/>
        <v>50000</v>
      </c>
      <c r="G17" s="137">
        <f t="shared" si="2"/>
        <v>140608</v>
      </c>
      <c r="H17" s="219">
        <f t="shared" si="3"/>
        <v>188.21677742375965</v>
      </c>
      <c r="I17" s="135"/>
      <c r="J17" s="218"/>
      <c r="L17" s="218"/>
    </row>
    <row r="18" spans="1:12" s="120" customFormat="1" ht="14.15">
      <c r="A18" s="136"/>
      <c r="B18" s="136">
        <v>127</v>
      </c>
      <c r="C18" s="137">
        <f>25.42*12</f>
        <v>305.04000000000002</v>
      </c>
      <c r="D18" s="137">
        <v>35.33</v>
      </c>
      <c r="E18" s="218">
        <f t="shared" si="0"/>
        <v>73486.399999999994</v>
      </c>
      <c r="F18" s="137">
        <f t="shared" si="1"/>
        <v>50000</v>
      </c>
      <c r="G18" s="137">
        <f t="shared" si="2"/>
        <v>146972.79999999999</v>
      </c>
      <c r="H18" s="219">
        <f t="shared" si="3"/>
        <v>201.26569618323936</v>
      </c>
      <c r="I18" s="135"/>
      <c r="J18" s="218"/>
      <c r="L18" s="218"/>
    </row>
    <row r="19" spans="1:12" s="120" customFormat="1" ht="14.15">
      <c r="A19" s="136"/>
      <c r="B19" s="136">
        <v>131</v>
      </c>
      <c r="C19" s="137">
        <f>20.05*12</f>
        <v>240.60000000000002</v>
      </c>
      <c r="D19" s="137">
        <v>28.04</v>
      </c>
      <c r="E19" s="218">
        <f t="shared" si="0"/>
        <v>58323.199999999997</v>
      </c>
      <c r="F19" s="137">
        <f t="shared" si="1"/>
        <v>50000</v>
      </c>
      <c r="G19" s="137">
        <f t="shared" si="2"/>
        <v>116646.39999999999</v>
      </c>
      <c r="H19" s="219">
        <f t="shared" si="3"/>
        <v>137.46779874903984</v>
      </c>
      <c r="I19" s="135"/>
      <c r="J19" s="218"/>
      <c r="L19" s="218"/>
    </row>
    <row r="20" spans="1:12" s="120" customFormat="1" ht="14.15">
      <c r="A20" s="136"/>
      <c r="B20" s="136">
        <v>133</v>
      </c>
      <c r="C20" s="137">
        <f>34.37*12</f>
        <v>412.43999999999994</v>
      </c>
      <c r="D20" s="137">
        <v>47.87</v>
      </c>
      <c r="E20" s="218">
        <f t="shared" si="0"/>
        <v>99569.599999999991</v>
      </c>
      <c r="F20" s="137">
        <f t="shared" si="1"/>
        <v>50000</v>
      </c>
      <c r="G20" s="137">
        <f t="shared" si="2"/>
        <v>199139.19999999998</v>
      </c>
      <c r="H20" s="219">
        <f t="shared" si="3"/>
        <v>308.88429625106454</v>
      </c>
      <c r="I20" s="135"/>
      <c r="J20" s="218"/>
      <c r="L20" s="218"/>
    </row>
    <row r="21" spans="1:12" s="120" customFormat="1" ht="14.15">
      <c r="A21" s="136"/>
      <c r="B21" s="136">
        <v>134</v>
      </c>
      <c r="C21" s="137">
        <f>31.15*12</f>
        <v>373.79999999999995</v>
      </c>
      <c r="D21" s="137">
        <v>45.05</v>
      </c>
      <c r="E21" s="218">
        <f t="shared" si="0"/>
        <v>93704</v>
      </c>
      <c r="F21" s="137">
        <f t="shared" si="1"/>
        <v>50000</v>
      </c>
      <c r="G21" s="137">
        <f t="shared" si="2"/>
        <v>187408</v>
      </c>
      <c r="H21" s="219">
        <f t="shared" si="3"/>
        <v>274.07106633654911</v>
      </c>
      <c r="I21" s="135"/>
      <c r="J21" s="218"/>
      <c r="L21" s="218"/>
    </row>
    <row r="22" spans="1:12" s="120" customFormat="1" ht="14.15">
      <c r="A22" s="136"/>
      <c r="B22" s="136">
        <v>135</v>
      </c>
      <c r="C22" s="137">
        <f>51.91*12</f>
        <v>622.91999999999996</v>
      </c>
      <c r="D22" s="137">
        <v>75.97</v>
      </c>
      <c r="E22" s="218">
        <f t="shared" si="0"/>
        <v>158017.60000000001</v>
      </c>
      <c r="F22" s="137">
        <f t="shared" si="1"/>
        <v>50000</v>
      </c>
      <c r="G22" s="137">
        <f t="shared" si="2"/>
        <v>316035.20000000001</v>
      </c>
      <c r="H22" s="219">
        <f t="shared" si="3"/>
        <v>524.36768683994694</v>
      </c>
      <c r="I22" s="135"/>
      <c r="J22" s="218"/>
      <c r="L22" s="218"/>
    </row>
    <row r="23" spans="1:12" s="120" customFormat="1" ht="14.15">
      <c r="A23" s="136"/>
      <c r="B23" s="136">
        <v>136</v>
      </c>
      <c r="C23" s="137">
        <f>28.28*12</f>
        <v>339.36</v>
      </c>
      <c r="D23" s="137">
        <v>45.72</v>
      </c>
      <c r="E23" s="218">
        <f t="shared" si="0"/>
        <v>95097.599999999991</v>
      </c>
      <c r="F23" s="137">
        <f t="shared" si="1"/>
        <v>50000</v>
      </c>
      <c r="G23" s="137">
        <f t="shared" si="2"/>
        <v>190195.19999999998</v>
      </c>
      <c r="H23" s="219">
        <f t="shared" si="3"/>
        <v>250.14639208560467</v>
      </c>
      <c r="I23" s="135"/>
      <c r="J23" s="218"/>
      <c r="L23" s="218"/>
    </row>
    <row r="24" spans="1:12" s="120" customFormat="1" ht="14.15">
      <c r="A24" s="136"/>
      <c r="B24" s="136">
        <v>143</v>
      </c>
      <c r="C24" s="137">
        <f>40.45*12</f>
        <v>485.40000000000003</v>
      </c>
      <c r="D24" s="137">
        <v>57.56</v>
      </c>
      <c r="E24" s="218">
        <f t="shared" si="0"/>
        <v>119724.8</v>
      </c>
      <c r="F24" s="137">
        <f t="shared" si="1"/>
        <v>50000</v>
      </c>
      <c r="G24" s="137">
        <f t="shared" si="2"/>
        <v>239449.60000000001</v>
      </c>
      <c r="H24" s="219">
        <f t="shared" si="3"/>
        <v>384.04255358956544</v>
      </c>
      <c r="I24" s="135"/>
      <c r="J24" s="218"/>
      <c r="L24" s="218"/>
    </row>
    <row r="25" spans="1:12" s="120" customFormat="1" ht="14.15">
      <c r="A25" s="136"/>
      <c r="B25" s="136">
        <v>145</v>
      </c>
      <c r="C25" s="137">
        <f>34.37*12</f>
        <v>412.43999999999994</v>
      </c>
      <c r="D25" s="137">
        <v>47.87</v>
      </c>
      <c r="E25" s="218">
        <f t="shared" si="0"/>
        <v>99569.599999999991</v>
      </c>
      <c r="F25" s="137">
        <f>IF(E25&gt;50000,50000,E25)</f>
        <v>50000</v>
      </c>
      <c r="G25" s="137">
        <f>+E25*2</f>
        <v>199139.19999999998</v>
      </c>
      <c r="H25" s="219">
        <f>((G25-F25)/G25)*C25</f>
        <v>308.88429625106454</v>
      </c>
      <c r="I25" s="135"/>
      <c r="J25" s="218"/>
      <c r="L25" s="218"/>
    </row>
    <row r="26" spans="1:12" s="120" customFormat="1" ht="14.15">
      <c r="A26" s="136"/>
      <c r="B26" s="136">
        <v>146</v>
      </c>
      <c r="C26" s="137">
        <f>58.35*12</f>
        <v>700.2</v>
      </c>
      <c r="D26" s="137">
        <v>86.84</v>
      </c>
      <c r="E26" s="218">
        <f t="shared" si="0"/>
        <v>180627.20000000001</v>
      </c>
      <c r="F26" s="137">
        <f t="shared" si="1"/>
        <v>50000</v>
      </c>
      <c r="G26" s="137">
        <f t="shared" si="2"/>
        <v>361254.40000000002</v>
      </c>
      <c r="H26" s="219">
        <f t="shared" si="3"/>
        <v>603.28768557559442</v>
      </c>
      <c r="I26" s="135"/>
      <c r="J26" s="218"/>
      <c r="L26" s="218"/>
    </row>
    <row r="27" spans="1:12" s="120" customFormat="1" ht="14.15">
      <c r="A27" s="136"/>
      <c r="B27" s="136">
        <v>148</v>
      </c>
      <c r="C27" s="137">
        <f>29.36*12</f>
        <v>352.32</v>
      </c>
      <c r="D27" s="137">
        <v>41.16</v>
      </c>
      <c r="E27" s="218">
        <f t="shared" si="0"/>
        <v>85612.799999999988</v>
      </c>
      <c r="F27" s="137">
        <f t="shared" si="1"/>
        <v>50000</v>
      </c>
      <c r="G27" s="137">
        <f t="shared" si="2"/>
        <v>171225.59999999998</v>
      </c>
      <c r="H27" s="219">
        <f t="shared" si="3"/>
        <v>249.43818793451447</v>
      </c>
      <c r="I27" s="135"/>
      <c r="J27" s="218"/>
      <c r="L27" s="218"/>
    </row>
    <row r="28" spans="1:12" s="120" customFormat="1" ht="14.15">
      <c r="A28" s="136"/>
      <c r="B28" s="136">
        <v>149</v>
      </c>
      <c r="C28" s="137">
        <f>34.37*12</f>
        <v>412.43999999999994</v>
      </c>
      <c r="D28" s="137">
        <v>45.72</v>
      </c>
      <c r="E28" s="218">
        <f t="shared" si="0"/>
        <v>95097.599999999991</v>
      </c>
      <c r="F28" s="137">
        <f t="shared" si="1"/>
        <v>50000</v>
      </c>
      <c r="G28" s="137">
        <f t="shared" si="2"/>
        <v>190195.19999999998</v>
      </c>
      <c r="H28" s="219">
        <f t="shared" si="3"/>
        <v>304.01455077730662</v>
      </c>
      <c r="I28" s="135"/>
      <c r="J28" s="218"/>
      <c r="L28" s="218"/>
    </row>
    <row r="29" spans="1:12" s="120" customFormat="1" ht="14.15">
      <c r="A29" s="136"/>
      <c r="B29" s="136">
        <v>152</v>
      </c>
      <c r="C29" s="137">
        <f>24.34*12</f>
        <v>292.08</v>
      </c>
      <c r="D29" s="137">
        <v>34.82</v>
      </c>
      <c r="E29" s="218">
        <f t="shared" si="0"/>
        <v>72425.600000000006</v>
      </c>
      <c r="F29" s="137">
        <f t="shared" si="1"/>
        <v>50000</v>
      </c>
      <c r="G29" s="137">
        <f t="shared" si="2"/>
        <v>144851.20000000001</v>
      </c>
      <c r="H29" s="219">
        <f t="shared" si="3"/>
        <v>191.25929571864091</v>
      </c>
      <c r="I29" s="135"/>
      <c r="J29" s="218"/>
      <c r="L29" s="218"/>
    </row>
    <row r="30" spans="1:12" s="120" customFormat="1" ht="14.15">
      <c r="A30" s="136"/>
      <c r="B30" s="136">
        <v>158</v>
      </c>
      <c r="C30" s="137">
        <f>19.33*12</f>
        <v>231.95999999999998</v>
      </c>
      <c r="D30" s="137">
        <v>27</v>
      </c>
      <c r="E30" s="218">
        <f t="shared" si="0"/>
        <v>56160</v>
      </c>
      <c r="F30" s="137">
        <f t="shared" si="1"/>
        <v>50000</v>
      </c>
      <c r="G30" s="137">
        <f t="shared" si="2"/>
        <v>112320</v>
      </c>
      <c r="H30" s="219">
        <f t="shared" si="3"/>
        <v>128.70145299145298</v>
      </c>
      <c r="I30" s="135"/>
      <c r="J30" s="218"/>
      <c r="L30" s="218"/>
    </row>
    <row r="31" spans="1:12" s="120" customFormat="1" ht="14.15">
      <c r="A31" s="136"/>
      <c r="B31" s="136">
        <v>160</v>
      </c>
      <c r="C31" s="137">
        <f>37.95*12</f>
        <v>455.40000000000003</v>
      </c>
      <c r="D31" s="137">
        <v>54.96</v>
      </c>
      <c r="E31" s="218">
        <f t="shared" si="0"/>
        <v>114316.8</v>
      </c>
      <c r="F31" s="137">
        <f t="shared" si="1"/>
        <v>50000</v>
      </c>
      <c r="G31" s="137">
        <f t="shared" si="2"/>
        <v>228633.60000000001</v>
      </c>
      <c r="H31" s="219">
        <f t="shared" si="3"/>
        <v>355.80833893181057</v>
      </c>
      <c r="I31" s="135"/>
      <c r="J31" s="218"/>
      <c r="L31" s="218"/>
    </row>
    <row r="32" spans="1:12" s="120" customFormat="1" ht="14.15">
      <c r="A32" s="136"/>
      <c r="B32" s="136">
        <v>162</v>
      </c>
      <c r="C32" s="137">
        <f>34.37*12</f>
        <v>412.43999999999994</v>
      </c>
      <c r="D32" s="137">
        <v>47.87</v>
      </c>
      <c r="E32" s="218">
        <f t="shared" si="0"/>
        <v>99569.599999999991</v>
      </c>
      <c r="F32" s="137">
        <f t="shared" si="1"/>
        <v>50000</v>
      </c>
      <c r="G32" s="137">
        <f t="shared" si="2"/>
        <v>199139.19999999998</v>
      </c>
      <c r="H32" s="219">
        <f t="shared" si="3"/>
        <v>308.88429625106454</v>
      </c>
      <c r="I32" s="135"/>
      <c r="J32" s="218"/>
      <c r="L32" s="218"/>
    </row>
    <row r="33" spans="1:12" s="120" customFormat="1" ht="14.15">
      <c r="A33" s="136"/>
      <c r="B33" s="136">
        <v>167</v>
      </c>
      <c r="C33" s="137">
        <f>29.36*12</f>
        <v>352.32</v>
      </c>
      <c r="D33" s="137">
        <v>41.16</v>
      </c>
      <c r="E33" s="218">
        <f t="shared" si="0"/>
        <v>85612.799999999988</v>
      </c>
      <c r="F33" s="137">
        <f t="shared" si="1"/>
        <v>50000</v>
      </c>
      <c r="G33" s="137">
        <f t="shared" si="2"/>
        <v>171225.59999999998</v>
      </c>
      <c r="H33" s="219">
        <f t="shared" si="3"/>
        <v>249.43818793451447</v>
      </c>
      <c r="I33" s="135"/>
      <c r="J33" s="218"/>
      <c r="L33" s="218"/>
    </row>
    <row r="34" spans="1:12" s="120" customFormat="1" ht="14.15">
      <c r="A34" s="136"/>
      <c r="B34" s="136">
        <v>168</v>
      </c>
      <c r="C34" s="137">
        <f>33.29*12</f>
        <v>399.48</v>
      </c>
      <c r="D34" s="137">
        <v>46.46</v>
      </c>
      <c r="E34" s="218">
        <f t="shared" si="0"/>
        <v>96636.800000000003</v>
      </c>
      <c r="F34" s="137">
        <f t="shared" si="1"/>
        <v>50000</v>
      </c>
      <c r="G34" s="137">
        <f t="shared" si="2"/>
        <v>193273.60000000001</v>
      </c>
      <c r="H34" s="219">
        <f t="shared" si="3"/>
        <v>296.13427663167658</v>
      </c>
      <c r="I34" s="135"/>
      <c r="J34" s="218"/>
      <c r="L34" s="218"/>
    </row>
    <row r="35" spans="1:12" s="120" customFormat="1" ht="14.15">
      <c r="A35" s="136"/>
      <c r="B35" s="136">
        <v>169</v>
      </c>
      <c r="C35" s="137">
        <f>34.37*12</f>
        <v>412.43999999999994</v>
      </c>
      <c r="D35" s="137">
        <v>47.87</v>
      </c>
      <c r="E35" s="218">
        <f t="shared" si="0"/>
        <v>99569.599999999991</v>
      </c>
      <c r="F35" s="137">
        <f t="shared" si="1"/>
        <v>50000</v>
      </c>
      <c r="G35" s="137">
        <f t="shared" si="2"/>
        <v>199139.19999999998</v>
      </c>
      <c r="H35" s="219">
        <f t="shared" si="3"/>
        <v>308.88429625106454</v>
      </c>
      <c r="I35" s="135"/>
      <c r="J35" s="218"/>
      <c r="L35" s="218"/>
    </row>
    <row r="36" spans="1:12" s="120" customFormat="1" ht="14.15">
      <c r="A36" s="136"/>
      <c r="B36" s="136">
        <v>180</v>
      </c>
      <c r="C36" s="137">
        <f>31.86*12</f>
        <v>382.32</v>
      </c>
      <c r="D36" s="137">
        <v>45.72</v>
      </c>
      <c r="E36" s="218">
        <f t="shared" si="0"/>
        <v>95097.599999999991</v>
      </c>
      <c r="F36" s="137">
        <f t="shared" si="1"/>
        <v>50000</v>
      </c>
      <c r="G36" s="137">
        <f t="shared" si="2"/>
        <v>190195.19999999998</v>
      </c>
      <c r="H36" s="219">
        <f t="shared" si="3"/>
        <v>281.81273167777101</v>
      </c>
      <c r="I36" s="135"/>
      <c r="J36" s="218"/>
      <c r="L36" s="218"/>
    </row>
    <row r="37" spans="1:12" s="120" customFormat="1" ht="14.15">
      <c r="A37" s="136"/>
      <c r="B37" s="136">
        <v>182</v>
      </c>
      <c r="C37" s="137">
        <f>34.37*12</f>
        <v>412.43999999999994</v>
      </c>
      <c r="D37" s="137">
        <v>47.87</v>
      </c>
      <c r="E37" s="218">
        <f t="shared" si="0"/>
        <v>99569.599999999991</v>
      </c>
      <c r="F37" s="137">
        <f t="shared" si="1"/>
        <v>50000</v>
      </c>
      <c r="G37" s="137">
        <f t="shared" si="2"/>
        <v>199139.19999999998</v>
      </c>
      <c r="H37" s="219">
        <f t="shared" si="3"/>
        <v>308.88429625106454</v>
      </c>
      <c r="I37" s="135"/>
      <c r="J37" s="218"/>
      <c r="L37" s="218"/>
    </row>
    <row r="38" spans="1:12" s="120" customFormat="1" ht="14.15">
      <c r="A38" s="136"/>
      <c r="B38" s="136">
        <v>189</v>
      </c>
      <c r="C38" s="137">
        <f>32.22*12</f>
        <v>386.64</v>
      </c>
      <c r="D38" s="137">
        <v>47.87</v>
      </c>
      <c r="E38" s="218">
        <f t="shared" si="0"/>
        <v>99569.599999999991</v>
      </c>
      <c r="F38" s="137">
        <f t="shared" si="1"/>
        <v>50000</v>
      </c>
      <c r="G38" s="137">
        <f t="shared" si="2"/>
        <v>199139.19999999998</v>
      </c>
      <c r="H38" s="219">
        <f t="shared" si="3"/>
        <v>289.56217705002331</v>
      </c>
      <c r="I38" s="135"/>
      <c r="J38" s="218"/>
      <c r="L38" s="218"/>
    </row>
    <row r="39" spans="1:12" s="120" customFormat="1" ht="14.15">
      <c r="A39" s="136"/>
      <c r="B39" s="136">
        <v>192</v>
      </c>
      <c r="C39" s="137">
        <f>32.22*12</f>
        <v>386.64</v>
      </c>
      <c r="D39" s="137">
        <v>44.57</v>
      </c>
      <c r="E39" s="218">
        <f t="shared" si="0"/>
        <v>92705.600000000006</v>
      </c>
      <c r="F39" s="137">
        <f t="shared" si="1"/>
        <v>50000</v>
      </c>
      <c r="G39" s="137">
        <f t="shared" si="2"/>
        <v>185411.20000000001</v>
      </c>
      <c r="H39" s="219">
        <f t="shared" si="3"/>
        <v>282.37445401356553</v>
      </c>
      <c r="I39" s="135"/>
      <c r="J39" s="218"/>
      <c r="L39" s="218"/>
    </row>
    <row r="40" spans="1:12" s="120" customFormat="1" ht="14.15">
      <c r="A40" s="136"/>
      <c r="B40" s="136">
        <v>193</v>
      </c>
      <c r="C40" s="137">
        <f>20.05*12</f>
        <v>240.60000000000002</v>
      </c>
      <c r="D40" s="137">
        <v>27.8</v>
      </c>
      <c r="E40" s="218">
        <f t="shared" si="0"/>
        <v>57824</v>
      </c>
      <c r="F40" s="137">
        <f t="shared" si="1"/>
        <v>50000</v>
      </c>
      <c r="G40" s="137">
        <f t="shared" si="2"/>
        <v>115648</v>
      </c>
      <c r="H40" s="219">
        <f t="shared" si="3"/>
        <v>136.57744881018263</v>
      </c>
      <c r="I40" s="135"/>
      <c r="J40" s="218"/>
      <c r="L40" s="218"/>
    </row>
    <row r="41" spans="1:12" s="120" customFormat="1" ht="14.15">
      <c r="A41" s="136"/>
      <c r="B41" s="136">
        <v>195</v>
      </c>
      <c r="C41" s="137">
        <f>21.84*12</f>
        <v>262.08</v>
      </c>
      <c r="D41" s="137">
        <v>31.25</v>
      </c>
      <c r="E41" s="218">
        <f t="shared" si="0"/>
        <v>65000</v>
      </c>
      <c r="F41" s="137">
        <f t="shared" si="1"/>
        <v>50000</v>
      </c>
      <c r="G41" s="137">
        <f t="shared" si="2"/>
        <v>130000</v>
      </c>
      <c r="H41" s="219">
        <f t="shared" si="3"/>
        <v>161.28</v>
      </c>
      <c r="I41" s="135"/>
      <c r="J41" s="218"/>
      <c r="L41" s="218"/>
    </row>
    <row r="42" spans="1:12" s="120" customFormat="1" ht="14.15">
      <c r="A42" s="136"/>
      <c r="B42" s="136">
        <v>198</v>
      </c>
      <c r="C42" s="137">
        <f>20.41*12</f>
        <v>244.92000000000002</v>
      </c>
      <c r="D42" s="137">
        <v>28.59</v>
      </c>
      <c r="E42" s="218">
        <f t="shared" si="0"/>
        <v>59467.199999999997</v>
      </c>
      <c r="F42" s="137">
        <f t="shared" si="1"/>
        <v>50000</v>
      </c>
      <c r="G42" s="137">
        <f t="shared" si="2"/>
        <v>118934.39999999999</v>
      </c>
      <c r="H42" s="219">
        <f t="shared" si="3"/>
        <v>141.95567681007344</v>
      </c>
      <c r="I42" s="135"/>
      <c r="J42" s="218"/>
      <c r="L42" s="218"/>
    </row>
    <row r="43" spans="1:12" s="120" customFormat="1" ht="14.15">
      <c r="A43" s="136"/>
      <c r="B43" s="136">
        <v>199</v>
      </c>
      <c r="C43" s="137">
        <f>31.86*12</f>
        <v>382.32</v>
      </c>
      <c r="D43" s="137">
        <v>45.72</v>
      </c>
      <c r="E43" s="218">
        <f t="shared" si="0"/>
        <v>95097.599999999991</v>
      </c>
      <c r="F43" s="137">
        <f t="shared" si="1"/>
        <v>50000</v>
      </c>
      <c r="G43" s="137">
        <f t="shared" si="2"/>
        <v>190195.19999999998</v>
      </c>
      <c r="H43" s="219">
        <f t="shared" si="3"/>
        <v>281.81273167777101</v>
      </c>
      <c r="I43" s="135"/>
      <c r="J43" s="218"/>
      <c r="L43" s="218"/>
    </row>
    <row r="44" spans="1:12" s="120" customFormat="1" ht="14.15">
      <c r="A44" s="136"/>
      <c r="B44" s="136">
        <v>201</v>
      </c>
      <c r="C44" s="137">
        <f>28.64*12</f>
        <v>343.68</v>
      </c>
      <c r="D44" s="137">
        <v>42.43</v>
      </c>
      <c r="E44" s="218">
        <f t="shared" si="0"/>
        <v>88254.399999999994</v>
      </c>
      <c r="F44" s="137">
        <f t="shared" si="1"/>
        <v>50000</v>
      </c>
      <c r="G44" s="137">
        <f t="shared" si="2"/>
        <v>176508.79999999999</v>
      </c>
      <c r="H44" s="219">
        <f t="shared" si="3"/>
        <v>246.32508058521728</v>
      </c>
      <c r="I44" s="135"/>
      <c r="J44" s="218"/>
      <c r="L44" s="218"/>
    </row>
    <row r="45" spans="1:12" s="120" customFormat="1" ht="14.15">
      <c r="A45" s="136"/>
      <c r="B45" s="136">
        <v>202</v>
      </c>
      <c r="C45" s="137">
        <f>25.06*12</f>
        <v>300.71999999999997</v>
      </c>
      <c r="D45" s="137">
        <v>36.56</v>
      </c>
      <c r="E45" s="218">
        <f t="shared" si="0"/>
        <v>76044.800000000003</v>
      </c>
      <c r="F45" s="137">
        <f t="shared" si="1"/>
        <v>50000</v>
      </c>
      <c r="G45" s="137">
        <f t="shared" si="2"/>
        <v>152089.60000000001</v>
      </c>
      <c r="H45" s="219">
        <f t="shared" si="3"/>
        <v>201.85722437300115</v>
      </c>
      <c r="I45" s="135"/>
      <c r="J45" s="218"/>
      <c r="L45" s="218"/>
    </row>
    <row r="46" spans="1:12" s="120" customFormat="1" ht="14.15">
      <c r="A46" s="136"/>
      <c r="B46" s="136">
        <v>204</v>
      </c>
      <c r="C46" s="137">
        <f>24.34*12</f>
        <v>292.08</v>
      </c>
      <c r="D46" s="137">
        <v>33.799999999999997</v>
      </c>
      <c r="E46" s="218">
        <f t="shared" si="0"/>
        <v>70304</v>
      </c>
      <c r="F46" s="137">
        <f t="shared" si="1"/>
        <v>50000</v>
      </c>
      <c r="G46" s="137">
        <f t="shared" si="2"/>
        <v>140608</v>
      </c>
      <c r="H46" s="219">
        <f t="shared" si="3"/>
        <v>188.21677742375965</v>
      </c>
      <c r="I46" s="135"/>
      <c r="J46" s="218"/>
      <c r="L46" s="218"/>
    </row>
    <row r="47" spans="1:12" s="120" customFormat="1" ht="14.15">
      <c r="A47" s="136"/>
      <c r="B47" s="136">
        <v>209</v>
      </c>
      <c r="C47" s="137">
        <f>123.87*12</f>
        <v>1486.44</v>
      </c>
      <c r="D47" s="137">
        <v>174.42</v>
      </c>
      <c r="E47" s="218">
        <f t="shared" si="0"/>
        <v>362793.6</v>
      </c>
      <c r="F47" s="137">
        <f t="shared" si="1"/>
        <v>50000</v>
      </c>
      <c r="G47" s="137">
        <f t="shared" si="2"/>
        <v>725587.2</v>
      </c>
      <c r="H47" s="219">
        <f t="shared" si="3"/>
        <v>1384.0098579026751</v>
      </c>
      <c r="I47" s="135"/>
      <c r="J47" s="218"/>
      <c r="L47" s="218"/>
    </row>
    <row r="48" spans="1:12" s="120" customFormat="1" ht="14.15">
      <c r="A48" s="136"/>
      <c r="B48" s="136">
        <v>211</v>
      </c>
      <c r="C48" s="137">
        <f>46.18*12</f>
        <v>554.16</v>
      </c>
      <c r="D48" s="137">
        <v>64.400000000000006</v>
      </c>
      <c r="E48" s="218">
        <f t="shared" si="0"/>
        <v>133952</v>
      </c>
      <c r="F48" s="137">
        <f t="shared" si="1"/>
        <v>50000</v>
      </c>
      <c r="G48" s="137">
        <f t="shared" si="2"/>
        <v>267904</v>
      </c>
      <c r="H48" s="219">
        <f t="shared" si="3"/>
        <v>450.73489249880549</v>
      </c>
      <c r="I48" s="135"/>
      <c r="J48" s="218"/>
      <c r="L48" s="218"/>
    </row>
    <row r="49" spans="1:12" s="120" customFormat="1" ht="14.15">
      <c r="A49" s="136"/>
      <c r="B49" s="136">
        <v>212</v>
      </c>
      <c r="C49" s="137">
        <f>31.86*12</f>
        <v>382.32</v>
      </c>
      <c r="D49" s="137">
        <v>45.72</v>
      </c>
      <c r="E49" s="218">
        <f t="shared" si="0"/>
        <v>95097.599999999991</v>
      </c>
      <c r="F49" s="137">
        <f t="shared" si="1"/>
        <v>50000</v>
      </c>
      <c r="G49" s="137">
        <f t="shared" si="2"/>
        <v>190195.19999999998</v>
      </c>
      <c r="H49" s="219">
        <f t="shared" si="3"/>
        <v>281.81273167777101</v>
      </c>
      <c r="I49" s="135"/>
      <c r="J49" s="218"/>
      <c r="L49" s="218"/>
    </row>
    <row r="50" spans="1:12" s="120" customFormat="1" ht="14.15">
      <c r="A50" s="136"/>
      <c r="B50" s="136">
        <v>215</v>
      </c>
      <c r="C50" s="137">
        <f>27.57*12</f>
        <v>330.84000000000003</v>
      </c>
      <c r="D50" s="137">
        <v>39.89</v>
      </c>
      <c r="E50" s="218">
        <f t="shared" si="0"/>
        <v>82971.199999999997</v>
      </c>
      <c r="F50" s="137">
        <f t="shared" si="1"/>
        <v>50000</v>
      </c>
      <c r="G50" s="137">
        <f t="shared" si="2"/>
        <v>165942.39999999999</v>
      </c>
      <c r="H50" s="219">
        <f t="shared" si="3"/>
        <v>231.15480802977419</v>
      </c>
      <c r="I50" s="135"/>
      <c r="J50" s="218"/>
      <c r="L50" s="218"/>
    </row>
    <row r="51" spans="1:12" s="120" customFormat="1" ht="14.15">
      <c r="A51" s="136"/>
      <c r="B51" s="136">
        <v>216</v>
      </c>
      <c r="C51" s="137">
        <f>31.86*12</f>
        <v>382.32</v>
      </c>
      <c r="D51" s="137">
        <v>47.87</v>
      </c>
      <c r="E51" s="218">
        <f t="shared" si="0"/>
        <v>99569.599999999991</v>
      </c>
      <c r="F51" s="137">
        <f t="shared" si="1"/>
        <v>50000</v>
      </c>
      <c r="G51" s="137">
        <f t="shared" si="2"/>
        <v>199139.19999999998</v>
      </c>
      <c r="H51" s="219">
        <f t="shared" si="3"/>
        <v>286.3268454628722</v>
      </c>
      <c r="I51" s="135"/>
      <c r="J51" s="218"/>
      <c r="L51" s="218"/>
    </row>
    <row r="52" spans="1:12" s="120" customFormat="1" ht="14.15">
      <c r="A52" s="136"/>
      <c r="B52" s="136">
        <v>217</v>
      </c>
      <c r="C52" s="137">
        <f>24.34*12</f>
        <v>292.08</v>
      </c>
      <c r="D52" s="137">
        <v>33.79</v>
      </c>
      <c r="E52" s="218">
        <f t="shared" si="0"/>
        <v>70283.199999999997</v>
      </c>
      <c r="F52" s="137">
        <f t="shared" si="1"/>
        <v>50000</v>
      </c>
      <c r="G52" s="137">
        <f t="shared" si="2"/>
        <v>140566.39999999999</v>
      </c>
      <c r="H52" s="219">
        <f t="shared" si="3"/>
        <v>188.18603956564297</v>
      </c>
      <c r="I52" s="135"/>
      <c r="J52" s="218"/>
      <c r="L52" s="218"/>
    </row>
    <row r="53" spans="1:12" s="120" customFormat="1" ht="14.15">
      <c r="A53" s="136"/>
      <c r="B53" s="136">
        <v>219</v>
      </c>
      <c r="C53" s="137">
        <f>27.57*12</f>
        <v>330.84000000000003</v>
      </c>
      <c r="D53" s="137">
        <v>39.89</v>
      </c>
      <c r="E53" s="218">
        <f t="shared" si="0"/>
        <v>82971.199999999997</v>
      </c>
      <c r="F53" s="137">
        <f t="shared" si="1"/>
        <v>50000</v>
      </c>
      <c r="G53" s="137">
        <f t="shared" si="2"/>
        <v>165942.39999999999</v>
      </c>
      <c r="H53" s="219">
        <f t="shared" si="3"/>
        <v>231.15480802977419</v>
      </c>
      <c r="I53" s="135"/>
      <c r="J53" s="218"/>
      <c r="L53" s="218"/>
    </row>
    <row r="54" spans="1:12" s="120" customFormat="1" ht="14.15">
      <c r="A54" s="136"/>
      <c r="B54" s="136">
        <v>223</v>
      </c>
      <c r="C54" s="137">
        <f>17.18*12</f>
        <v>206.16</v>
      </c>
      <c r="D54" s="137">
        <v>27</v>
      </c>
      <c r="E54" s="218">
        <f t="shared" si="0"/>
        <v>56160</v>
      </c>
      <c r="F54" s="137">
        <f t="shared" si="1"/>
        <v>50000</v>
      </c>
      <c r="G54" s="137">
        <f t="shared" si="2"/>
        <v>112320</v>
      </c>
      <c r="H54" s="219">
        <f t="shared" si="3"/>
        <v>114.38649572649571</v>
      </c>
      <c r="I54" s="135"/>
      <c r="J54" s="218"/>
      <c r="L54" s="218"/>
    </row>
    <row r="55" spans="1:12" s="120" customFormat="1" ht="14.15">
      <c r="A55" s="136"/>
      <c r="B55" s="136">
        <v>227</v>
      </c>
      <c r="C55" s="137">
        <f>29.36*12</f>
        <v>352.32</v>
      </c>
      <c r="D55" s="137">
        <v>41.16</v>
      </c>
      <c r="E55" s="218">
        <f t="shared" si="0"/>
        <v>85612.799999999988</v>
      </c>
      <c r="F55" s="137">
        <f t="shared" si="1"/>
        <v>50000</v>
      </c>
      <c r="G55" s="137">
        <f t="shared" si="2"/>
        <v>171225.59999999998</v>
      </c>
      <c r="H55" s="219">
        <f t="shared" si="3"/>
        <v>249.43818793451447</v>
      </c>
      <c r="I55" s="135"/>
      <c r="J55" s="218"/>
      <c r="L55" s="218"/>
    </row>
    <row r="56" spans="1:12" s="120" customFormat="1" ht="14.15">
      <c r="A56" s="136"/>
      <c r="B56" s="136">
        <v>229</v>
      </c>
      <c r="C56" s="137">
        <f>19.33*12</f>
        <v>231.95999999999998</v>
      </c>
      <c r="D56" s="137">
        <v>29.44</v>
      </c>
      <c r="E56" s="218">
        <f t="shared" si="0"/>
        <v>61235.200000000004</v>
      </c>
      <c r="F56" s="137">
        <f t="shared" si="1"/>
        <v>50000</v>
      </c>
      <c r="G56" s="137">
        <f t="shared" si="2"/>
        <v>122470.40000000001</v>
      </c>
      <c r="H56" s="219">
        <f t="shared" si="3"/>
        <v>137.2595662625418</v>
      </c>
      <c r="I56" s="135"/>
      <c r="J56" s="218"/>
      <c r="L56" s="218"/>
    </row>
    <row r="57" spans="1:12" s="120" customFormat="1" ht="14.15">
      <c r="A57" s="136"/>
      <c r="B57" s="136">
        <v>230</v>
      </c>
      <c r="C57" s="137">
        <f>23.63*12</f>
        <v>283.56</v>
      </c>
      <c r="D57" s="137">
        <v>37.409999999999997</v>
      </c>
      <c r="E57" s="218">
        <f t="shared" si="0"/>
        <v>77812.799999999988</v>
      </c>
      <c r="F57" s="137">
        <f t="shared" si="1"/>
        <v>50000</v>
      </c>
      <c r="G57" s="137">
        <f t="shared" si="2"/>
        <v>155625.59999999998</v>
      </c>
      <c r="H57" s="219">
        <f t="shared" si="3"/>
        <v>192.45673678366541</v>
      </c>
      <c r="I57" s="135"/>
      <c r="J57" s="218"/>
      <c r="L57" s="218"/>
    </row>
    <row r="58" spans="1:12" s="120" customFormat="1" ht="14.15">
      <c r="A58" s="136"/>
      <c r="B58" s="136">
        <v>232</v>
      </c>
      <c r="C58" s="137">
        <f>23.63*12</f>
        <v>283.56</v>
      </c>
      <c r="D58" s="137">
        <v>37.409999999999997</v>
      </c>
      <c r="E58" s="218">
        <f t="shared" si="0"/>
        <v>77812.799999999988</v>
      </c>
      <c r="F58" s="137">
        <f t="shared" si="1"/>
        <v>50000</v>
      </c>
      <c r="G58" s="137">
        <f t="shared" si="2"/>
        <v>155625.59999999998</v>
      </c>
      <c r="H58" s="219">
        <f>((G58-F58)/G58)*C58</f>
        <v>192.45673678366541</v>
      </c>
      <c r="I58" s="135"/>
      <c r="J58" s="218"/>
      <c r="L58" s="218"/>
    </row>
    <row r="59" spans="1:12" s="120" customFormat="1" ht="14.15">
      <c r="A59" s="136"/>
      <c r="B59" s="136">
        <v>233</v>
      </c>
      <c r="C59" s="137">
        <f>21.84*12</f>
        <v>262.08</v>
      </c>
      <c r="D59" s="137">
        <v>30.34</v>
      </c>
      <c r="E59" s="218">
        <f t="shared" si="0"/>
        <v>63107.199999999997</v>
      </c>
      <c r="F59" s="137">
        <f t="shared" si="1"/>
        <v>50000</v>
      </c>
      <c r="G59" s="137">
        <f t="shared" si="2"/>
        <v>126214.39999999999</v>
      </c>
      <c r="H59" s="219">
        <f t="shared" si="3"/>
        <v>158.25666446934738</v>
      </c>
      <c r="I59" s="135"/>
      <c r="J59" s="218"/>
      <c r="L59" s="218"/>
    </row>
    <row r="60" spans="1:12" s="120" customFormat="1" ht="14.15">
      <c r="A60" s="136"/>
      <c r="B60" s="136">
        <v>234</v>
      </c>
      <c r="C60" s="137">
        <f>17.18*12</f>
        <v>206.16</v>
      </c>
      <c r="D60" s="137">
        <v>23.82</v>
      </c>
      <c r="E60" s="218">
        <f t="shared" si="0"/>
        <v>49545.599999999999</v>
      </c>
      <c r="F60" s="137">
        <f t="shared" si="1"/>
        <v>49545.599999999999</v>
      </c>
      <c r="G60" s="137">
        <f t="shared" si="2"/>
        <v>99091.199999999997</v>
      </c>
      <c r="H60" s="219">
        <f t="shared" si="3"/>
        <v>103.08</v>
      </c>
      <c r="I60" s="135"/>
      <c r="J60" s="218"/>
      <c r="L60" s="218"/>
    </row>
    <row r="61" spans="1:12" s="120" customFormat="1" ht="14.15">
      <c r="A61" s="136"/>
      <c r="B61" s="136">
        <v>267</v>
      </c>
      <c r="C61" s="137">
        <f>19.33*12</f>
        <v>231.95999999999998</v>
      </c>
      <c r="D61" s="137">
        <v>28.04</v>
      </c>
      <c r="E61" s="218">
        <f t="shared" si="0"/>
        <v>58323.199999999997</v>
      </c>
      <c r="F61" s="137">
        <f t="shared" si="1"/>
        <v>50000</v>
      </c>
      <c r="G61" s="137">
        <f t="shared" si="2"/>
        <v>116646.39999999999</v>
      </c>
      <c r="H61" s="219">
        <f t="shared" si="3"/>
        <v>132.53129924283988</v>
      </c>
      <c r="I61" s="135"/>
      <c r="J61" s="218"/>
      <c r="L61" s="218"/>
    </row>
    <row r="62" spans="1:12" s="120" customFormat="1" ht="14.15">
      <c r="A62" s="136"/>
      <c r="B62" s="136">
        <v>268</v>
      </c>
      <c r="C62" s="137">
        <f>21.12*12</f>
        <v>253.44</v>
      </c>
      <c r="D62" s="137">
        <v>32.840000000000003</v>
      </c>
      <c r="E62" s="218">
        <f t="shared" si="0"/>
        <v>68307.200000000012</v>
      </c>
      <c r="F62" s="137">
        <f t="shared" si="1"/>
        <v>50000</v>
      </c>
      <c r="G62" s="137">
        <f t="shared" si="2"/>
        <v>136614.40000000002</v>
      </c>
      <c r="H62" s="219">
        <f t="shared" si="3"/>
        <v>160.68257472125927</v>
      </c>
      <c r="I62" s="135"/>
      <c r="J62" s="218"/>
      <c r="L62" s="218"/>
    </row>
    <row r="63" spans="1:12" s="120" customFormat="1" ht="14.15">
      <c r="A63" s="136"/>
      <c r="B63" s="136">
        <v>270</v>
      </c>
      <c r="C63" s="137">
        <f>23.63*12</f>
        <v>283.56</v>
      </c>
      <c r="D63" s="137">
        <v>36.270000000000003</v>
      </c>
      <c r="E63" s="218">
        <f t="shared" si="0"/>
        <v>75441.600000000006</v>
      </c>
      <c r="F63" s="137">
        <f t="shared" si="1"/>
        <v>50000</v>
      </c>
      <c r="G63" s="137">
        <f t="shared" si="2"/>
        <v>150883.20000000001</v>
      </c>
      <c r="H63" s="219">
        <f t="shared" si="3"/>
        <v>189.59327607049693</v>
      </c>
      <c r="I63" s="135"/>
      <c r="J63" s="218"/>
      <c r="L63" s="218"/>
    </row>
    <row r="64" spans="1:12" s="120" customFormat="1" ht="14.15">
      <c r="A64" s="136"/>
      <c r="B64" s="136">
        <v>272</v>
      </c>
      <c r="C64" s="137">
        <f>23.63*12</f>
        <v>283.56</v>
      </c>
      <c r="D64" s="137">
        <v>37.409999999999997</v>
      </c>
      <c r="E64" s="218">
        <f t="shared" si="0"/>
        <v>77812.799999999988</v>
      </c>
      <c r="F64" s="137">
        <f t="shared" si="1"/>
        <v>50000</v>
      </c>
      <c r="G64" s="137">
        <f t="shared" si="2"/>
        <v>155625.59999999998</v>
      </c>
      <c r="H64" s="219">
        <f t="shared" si="3"/>
        <v>192.45673678366541</v>
      </c>
      <c r="I64" s="135"/>
      <c r="J64" s="218"/>
      <c r="L64" s="218"/>
    </row>
    <row r="65" spans="1:12" s="120" customFormat="1" ht="14.15">
      <c r="A65" s="136"/>
      <c r="B65" s="136">
        <v>273</v>
      </c>
      <c r="C65" s="137">
        <f>29.36*12</f>
        <v>352.32</v>
      </c>
      <c r="D65" s="137">
        <v>41.16</v>
      </c>
      <c r="E65" s="218">
        <f t="shared" si="0"/>
        <v>85612.799999999988</v>
      </c>
      <c r="F65" s="137">
        <f t="shared" si="1"/>
        <v>50000</v>
      </c>
      <c r="G65" s="137">
        <f t="shared" si="2"/>
        <v>171225.59999999998</v>
      </c>
      <c r="H65" s="219">
        <f t="shared" si="3"/>
        <v>249.43818793451447</v>
      </c>
      <c r="I65" s="135"/>
      <c r="J65" s="218"/>
      <c r="L65" s="218"/>
    </row>
    <row r="66" spans="1:12" s="120" customFormat="1" ht="14.15">
      <c r="A66" s="136"/>
      <c r="B66" s="136">
        <v>274</v>
      </c>
      <c r="C66" s="137">
        <f>27.57*12</f>
        <v>330.84000000000003</v>
      </c>
      <c r="D66" s="137">
        <v>39.89</v>
      </c>
      <c r="E66" s="218">
        <f t="shared" si="0"/>
        <v>82971.199999999997</v>
      </c>
      <c r="F66" s="137">
        <f t="shared" si="1"/>
        <v>50000</v>
      </c>
      <c r="G66" s="137">
        <f t="shared" si="2"/>
        <v>165942.39999999999</v>
      </c>
      <c r="H66" s="219">
        <f t="shared" si="3"/>
        <v>231.15480802977419</v>
      </c>
      <c r="I66" s="135"/>
      <c r="J66" s="218"/>
      <c r="L66" s="218"/>
    </row>
    <row r="67" spans="1:12" s="120" customFormat="1" ht="14.15">
      <c r="A67" s="136"/>
      <c r="B67" s="136">
        <v>275</v>
      </c>
      <c r="C67" s="137">
        <f>29.36*12</f>
        <v>352.32</v>
      </c>
      <c r="D67" s="137">
        <v>41.16</v>
      </c>
      <c r="E67" s="218">
        <f t="shared" si="0"/>
        <v>85612.799999999988</v>
      </c>
      <c r="F67" s="137">
        <f t="shared" si="1"/>
        <v>50000</v>
      </c>
      <c r="G67" s="137">
        <f t="shared" si="2"/>
        <v>171225.59999999998</v>
      </c>
      <c r="H67" s="219">
        <f t="shared" si="3"/>
        <v>249.43818793451447</v>
      </c>
      <c r="I67" s="135"/>
      <c r="J67" s="218"/>
      <c r="L67" s="218"/>
    </row>
    <row r="68" spans="1:12" s="120" customFormat="1" ht="14.15">
      <c r="A68" s="136"/>
      <c r="B68" s="136">
        <v>276</v>
      </c>
      <c r="C68" s="137">
        <f>16.11*12</f>
        <v>193.32</v>
      </c>
      <c r="D68" s="137">
        <v>23.82</v>
      </c>
      <c r="E68" s="218">
        <f t="shared" si="0"/>
        <v>49545.599999999999</v>
      </c>
      <c r="F68" s="137">
        <f t="shared" si="1"/>
        <v>49545.599999999999</v>
      </c>
      <c r="G68" s="137">
        <f t="shared" si="2"/>
        <v>99091.199999999997</v>
      </c>
      <c r="H68" s="219">
        <f t="shared" si="3"/>
        <v>96.66</v>
      </c>
      <c r="I68" s="135"/>
      <c r="J68" s="218"/>
      <c r="L68" s="218"/>
    </row>
    <row r="69" spans="1:12" s="120" customFormat="1" ht="14.15">
      <c r="A69" s="136"/>
      <c r="B69" s="136">
        <v>277</v>
      </c>
      <c r="C69" s="137">
        <f>21.12*12</f>
        <v>253.44</v>
      </c>
      <c r="D69" s="137">
        <v>32.840000000000003</v>
      </c>
      <c r="E69" s="218">
        <f t="shared" si="0"/>
        <v>68307.200000000012</v>
      </c>
      <c r="F69" s="137">
        <f t="shared" si="1"/>
        <v>50000</v>
      </c>
      <c r="G69" s="137">
        <f t="shared" si="2"/>
        <v>136614.40000000002</v>
      </c>
      <c r="H69" s="219">
        <f t="shared" si="3"/>
        <v>160.68257472125927</v>
      </c>
      <c r="I69" s="135"/>
      <c r="J69" s="218"/>
      <c r="L69" s="218"/>
    </row>
    <row r="70" spans="1:12" s="120" customFormat="1" ht="14.15">
      <c r="A70" s="136"/>
      <c r="B70" s="136">
        <v>278</v>
      </c>
      <c r="C70" s="219">
        <f>23.63*6</f>
        <v>141.78</v>
      </c>
      <c r="D70" s="219">
        <v>32.19</v>
      </c>
      <c r="E70" s="218">
        <f t="shared" si="0"/>
        <v>66955.199999999997</v>
      </c>
      <c r="F70" s="219">
        <f t="shared" si="1"/>
        <v>50000</v>
      </c>
      <c r="G70" s="219">
        <f t="shared" si="2"/>
        <v>133910.39999999999</v>
      </c>
      <c r="H70" s="219">
        <f t="shared" si="3"/>
        <v>88.841617320238001</v>
      </c>
      <c r="I70" s="220"/>
      <c r="J70" s="218"/>
      <c r="L70" s="218"/>
    </row>
    <row r="71" spans="1:12" s="120" customFormat="1" ht="14.15">
      <c r="A71" s="136"/>
      <c r="B71" s="136">
        <v>283</v>
      </c>
      <c r="C71" s="219">
        <f>17.18*12</f>
        <v>206.16</v>
      </c>
      <c r="D71" s="219">
        <v>24.51</v>
      </c>
      <c r="E71" s="218">
        <f t="shared" si="0"/>
        <v>50980.800000000003</v>
      </c>
      <c r="F71" s="219">
        <f t="shared" si="1"/>
        <v>50000</v>
      </c>
      <c r="G71" s="219">
        <f t="shared" si="2"/>
        <v>101961.60000000001</v>
      </c>
      <c r="H71" s="219">
        <f t="shared" si="3"/>
        <v>105.06311646737595</v>
      </c>
      <c r="I71" s="220"/>
      <c r="J71" s="218"/>
      <c r="L71" s="218"/>
    </row>
    <row r="72" spans="1:12" s="120" customFormat="1" ht="14.15">
      <c r="A72" s="136"/>
      <c r="B72" s="136">
        <v>284</v>
      </c>
      <c r="C72" s="219">
        <f>28.28*12</f>
        <v>339.36</v>
      </c>
      <c r="D72" s="219">
        <v>45.72</v>
      </c>
      <c r="E72" s="218">
        <f t="shared" si="0"/>
        <v>95097.599999999991</v>
      </c>
      <c r="F72" s="219">
        <f t="shared" si="1"/>
        <v>50000</v>
      </c>
      <c r="G72" s="219">
        <f t="shared" si="2"/>
        <v>190195.19999999998</v>
      </c>
      <c r="H72" s="219">
        <f t="shared" si="3"/>
        <v>250.14639208560467</v>
      </c>
      <c r="I72" s="220"/>
      <c r="J72" s="218"/>
      <c r="L72" s="218"/>
    </row>
    <row r="73" spans="1:12" s="120" customFormat="1" ht="14.15">
      <c r="A73" s="136">
        <v>1062</v>
      </c>
      <c r="B73" s="136">
        <v>285</v>
      </c>
      <c r="C73" s="219">
        <f>31.86*12</f>
        <v>382.32</v>
      </c>
      <c r="D73" s="219">
        <v>45.72</v>
      </c>
      <c r="E73" s="218">
        <f t="shared" si="0"/>
        <v>95097.599999999991</v>
      </c>
      <c r="F73" s="219">
        <f t="shared" si="1"/>
        <v>50000</v>
      </c>
      <c r="G73" s="219">
        <f t="shared" si="2"/>
        <v>190195.19999999998</v>
      </c>
      <c r="H73" s="219">
        <f t="shared" si="3"/>
        <v>281.81273167777101</v>
      </c>
      <c r="I73" s="220"/>
      <c r="J73" s="218"/>
      <c r="L73" s="218"/>
    </row>
    <row r="74" spans="1:12" s="120" customFormat="1" ht="14.15">
      <c r="A74" s="136">
        <v>1063</v>
      </c>
      <c r="B74" s="136">
        <v>286</v>
      </c>
      <c r="C74" s="219">
        <f>16.11*12</f>
        <v>193.32</v>
      </c>
      <c r="D74" s="219">
        <v>23.82</v>
      </c>
      <c r="E74" s="218">
        <f t="shared" si="0"/>
        <v>49545.599999999999</v>
      </c>
      <c r="F74" s="219">
        <f t="shared" si="1"/>
        <v>49545.599999999999</v>
      </c>
      <c r="G74" s="219">
        <f t="shared" si="2"/>
        <v>99091.199999999997</v>
      </c>
      <c r="H74" s="219">
        <f t="shared" si="3"/>
        <v>96.66</v>
      </c>
      <c r="I74" s="220"/>
      <c r="J74" s="218"/>
      <c r="L74" s="218"/>
    </row>
    <row r="75" spans="1:12" s="120" customFormat="1" ht="14.15">
      <c r="A75" s="136">
        <v>1064</v>
      </c>
      <c r="B75" s="136">
        <v>287</v>
      </c>
      <c r="C75" s="219">
        <f>15.04*12</f>
        <v>180.48</v>
      </c>
      <c r="D75" s="219">
        <v>23.82</v>
      </c>
      <c r="E75" s="218">
        <f t="shared" si="0"/>
        <v>49545.599999999999</v>
      </c>
      <c r="F75" s="219">
        <f t="shared" si="1"/>
        <v>49545.599999999999</v>
      </c>
      <c r="G75" s="219">
        <f t="shared" si="2"/>
        <v>99091.199999999997</v>
      </c>
      <c r="H75" s="219">
        <f t="shared" si="3"/>
        <v>90.24</v>
      </c>
      <c r="I75" s="220"/>
      <c r="J75" s="218"/>
      <c r="L75" s="218"/>
    </row>
    <row r="76" spans="1:12" s="120" customFormat="1" ht="14.15">
      <c r="A76" s="136">
        <v>1065</v>
      </c>
      <c r="B76" s="136">
        <v>289</v>
      </c>
      <c r="C76" s="219">
        <f>10.74*6</f>
        <v>64.44</v>
      </c>
      <c r="D76" s="219">
        <v>26.73</v>
      </c>
      <c r="E76" s="218">
        <f t="shared" si="0"/>
        <v>55598.400000000001</v>
      </c>
      <c r="F76" s="219">
        <f t="shared" si="1"/>
        <v>50000</v>
      </c>
      <c r="G76" s="219">
        <f t="shared" si="2"/>
        <v>111196.8</v>
      </c>
      <c r="H76" s="219">
        <f t="shared" si="3"/>
        <v>35.464346024346021</v>
      </c>
      <c r="I76" s="220"/>
      <c r="J76" s="218"/>
      <c r="L76" s="218"/>
    </row>
    <row r="77" spans="1:12" s="120" customFormat="1" ht="14.15">
      <c r="A77" s="136">
        <v>1066</v>
      </c>
      <c r="B77" s="136">
        <v>290</v>
      </c>
      <c r="C77" s="219">
        <f>13.6*12</f>
        <v>163.19999999999999</v>
      </c>
      <c r="D77" s="219">
        <v>22.44</v>
      </c>
      <c r="E77" s="218">
        <f t="shared" ref="E77:E82" si="4">+D77*2080</f>
        <v>46675.200000000004</v>
      </c>
      <c r="F77" s="219">
        <f t="shared" ref="F77:F82" si="5">IF(E77&gt;50000,50000,E77)</f>
        <v>46675.200000000004</v>
      </c>
      <c r="G77" s="219">
        <f t="shared" ref="G77:G82" si="6">+E77*2</f>
        <v>93350.400000000009</v>
      </c>
      <c r="H77" s="219">
        <f t="shared" ref="H77:H82" si="7">((G77-F77)/G77)*C77</f>
        <v>81.599999999999994</v>
      </c>
      <c r="I77" s="220"/>
      <c r="J77" s="218"/>
      <c r="L77" s="218"/>
    </row>
    <row r="78" spans="1:12" s="120" customFormat="1" ht="14.15">
      <c r="A78" s="136">
        <v>1067</v>
      </c>
      <c r="B78" s="136">
        <v>291</v>
      </c>
      <c r="C78" s="219">
        <f>13.6*12</f>
        <v>163.19999999999999</v>
      </c>
      <c r="D78" s="219">
        <v>21.06</v>
      </c>
      <c r="E78" s="218">
        <f t="shared" si="4"/>
        <v>43804.799999999996</v>
      </c>
      <c r="F78" s="219">
        <f t="shared" si="5"/>
        <v>43804.799999999996</v>
      </c>
      <c r="G78" s="219">
        <f t="shared" si="6"/>
        <v>87609.599999999991</v>
      </c>
      <c r="H78" s="219">
        <f t="shared" si="7"/>
        <v>81.599999999999994</v>
      </c>
      <c r="I78" s="220"/>
      <c r="J78" s="218"/>
      <c r="L78" s="218"/>
    </row>
    <row r="79" spans="1:12" s="120" customFormat="1" ht="14.15">
      <c r="A79" s="136">
        <v>1068</v>
      </c>
      <c r="B79" s="136">
        <v>292</v>
      </c>
      <c r="C79" s="219">
        <f>17.18*12</f>
        <v>206.16</v>
      </c>
      <c r="D79" s="219">
        <v>26.73</v>
      </c>
      <c r="E79" s="218">
        <f t="shared" si="4"/>
        <v>55598.400000000001</v>
      </c>
      <c r="F79" s="219">
        <f t="shared" si="5"/>
        <v>50000</v>
      </c>
      <c r="G79" s="219">
        <f t="shared" si="6"/>
        <v>111196.8</v>
      </c>
      <c r="H79" s="219">
        <f t="shared" si="7"/>
        <v>113.45949063282396</v>
      </c>
      <c r="I79" s="220"/>
      <c r="J79" s="218"/>
      <c r="L79" s="218"/>
    </row>
    <row r="80" spans="1:12" s="120" customFormat="1" ht="14.15">
      <c r="A80" s="136">
        <v>1069</v>
      </c>
      <c r="B80" s="136">
        <v>293</v>
      </c>
      <c r="C80" s="219">
        <f>29*8</f>
        <v>232</v>
      </c>
      <c r="D80" s="219">
        <v>42.54</v>
      </c>
      <c r="E80" s="218">
        <f t="shared" si="4"/>
        <v>88483.199999999997</v>
      </c>
      <c r="F80" s="219">
        <f t="shared" si="5"/>
        <v>50000</v>
      </c>
      <c r="G80" s="219">
        <f t="shared" si="6"/>
        <v>176966.39999999999</v>
      </c>
      <c r="H80" s="219">
        <f t="shared" si="7"/>
        <v>166.45083360457124</v>
      </c>
      <c r="I80" s="220"/>
      <c r="J80" s="218"/>
      <c r="L80" s="218"/>
    </row>
    <row r="81" spans="1:12" s="120" customFormat="1" ht="14.15">
      <c r="A81" s="136">
        <v>1070</v>
      </c>
      <c r="B81" s="136">
        <v>298</v>
      </c>
      <c r="C81" s="219">
        <f>25.06*4</f>
        <v>100.24</v>
      </c>
      <c r="D81" s="219">
        <v>35.119999999999997</v>
      </c>
      <c r="E81" s="218">
        <f t="shared" si="4"/>
        <v>73049.599999999991</v>
      </c>
      <c r="F81" s="219">
        <f t="shared" si="5"/>
        <v>50000</v>
      </c>
      <c r="G81" s="219">
        <f t="shared" si="6"/>
        <v>146099.19999999998</v>
      </c>
      <c r="H81" s="219">
        <f t="shared" si="7"/>
        <v>65.934541790783243</v>
      </c>
      <c r="I81" s="220"/>
      <c r="J81" s="218"/>
      <c r="L81" s="218"/>
    </row>
    <row r="82" spans="1:12" s="120" customFormat="1" ht="14.15">
      <c r="A82" s="136">
        <v>1071</v>
      </c>
      <c r="B82" s="136">
        <v>299</v>
      </c>
      <c r="C82" s="221">
        <f>13.96*3</f>
        <v>41.88</v>
      </c>
      <c r="D82" s="219">
        <v>19.670000000000002</v>
      </c>
      <c r="E82" s="218">
        <f t="shared" si="4"/>
        <v>40913.600000000006</v>
      </c>
      <c r="F82" s="219">
        <f t="shared" si="5"/>
        <v>40913.600000000006</v>
      </c>
      <c r="G82" s="219">
        <f t="shared" si="6"/>
        <v>81827.200000000012</v>
      </c>
      <c r="H82" s="219">
        <f t="shared" si="7"/>
        <v>20.94</v>
      </c>
      <c r="I82" s="220"/>
      <c r="J82" s="218"/>
      <c r="L82" s="218"/>
    </row>
    <row r="83" spans="1:12" s="120" customFormat="1" ht="14.15">
      <c r="A83" s="136" t="s">
        <v>44</v>
      </c>
      <c r="B83" s="136" t="s">
        <v>44</v>
      </c>
      <c r="C83" s="137">
        <f>SUM(C12:C82)</f>
        <v>23774.42</v>
      </c>
      <c r="D83" s="150"/>
      <c r="E83" s="150"/>
      <c r="F83" s="150"/>
      <c r="G83" s="150"/>
      <c r="H83" s="222">
        <f>SUM(H12:H82)</f>
        <v>17027.207634743681</v>
      </c>
    </row>
    <row r="84" spans="1:12" s="120" customFormat="1" ht="14.15"/>
    <row r="85" spans="1:12" s="120" customFormat="1" ht="14.15">
      <c r="G85" s="223" t="s">
        <v>323</v>
      </c>
      <c r="H85" s="218">
        <f>C83-H83</f>
        <v>6747.2123652563168</v>
      </c>
    </row>
    <row r="86" spans="1:12" s="120" customFormat="1" ht="14.15">
      <c r="G86" s="223"/>
      <c r="H86" s="218"/>
    </row>
    <row r="87" spans="1:12" s="120" customFormat="1" ht="14.15">
      <c r="G87" s="223"/>
    </row>
    <row r="88" spans="1:12" s="120" customFormat="1" ht="14.15">
      <c r="G88" s="223" t="s">
        <v>37</v>
      </c>
      <c r="H88" s="218">
        <f>C83</f>
        <v>23774.42</v>
      </c>
    </row>
    <row r="89" spans="1:12" s="120" customFormat="1" ht="14.15">
      <c r="G89" s="223"/>
    </row>
    <row r="90" spans="1:12" s="120" customFormat="1" ht="14.15">
      <c r="G90" s="223" t="s">
        <v>152</v>
      </c>
      <c r="H90" s="218">
        <f>H85</f>
        <v>6747.2123652563168</v>
      </c>
    </row>
    <row r="91" spans="1:12" s="120" customFormat="1" ht="14.15">
      <c r="G91" s="223"/>
    </row>
    <row r="92" spans="1:12" s="120" customFormat="1" ht="14.15">
      <c r="G92" s="223" t="s">
        <v>15</v>
      </c>
      <c r="H92" s="218">
        <f>H90-H88</f>
        <v>-17027.207634743681</v>
      </c>
    </row>
    <row r="93" spans="1:12" s="120" customFormat="1" ht="14.15"/>
    <row r="94" spans="1:12" ht="30" customHeight="1">
      <c r="B94" s="320" t="s">
        <v>324</v>
      </c>
      <c r="C94" s="320"/>
      <c r="D94" s="320"/>
      <c r="E94" s="320"/>
      <c r="F94" s="320"/>
      <c r="G94" s="320"/>
      <c r="H94" s="320"/>
    </row>
    <row r="95" spans="1:12" s="120" customFormat="1" ht="14.15"/>
    <row r="96" spans="1:12" s="120" customFormat="1" ht="14.15"/>
    <row r="97" s="120" customFormat="1" ht="14.15"/>
    <row r="98" s="120" customFormat="1" ht="14.15"/>
    <row r="99" s="120" customFormat="1" ht="14.15"/>
    <row r="100" s="120" customFormat="1" ht="14.15"/>
    <row r="101" s="120" customFormat="1" ht="14.15"/>
    <row r="102" s="120" customFormat="1" ht="14.15"/>
    <row r="103" s="120" customFormat="1" ht="14.15"/>
    <row r="104" s="120" customFormat="1" ht="14.15"/>
    <row r="105" s="120" customFormat="1" ht="14.15"/>
    <row r="106" s="120" customFormat="1" ht="14.15"/>
    <row r="107" s="120" customFormat="1" ht="14.15"/>
    <row r="108" s="120" customFormat="1" ht="14.15"/>
    <row r="109" s="120" customFormat="1" ht="14.15"/>
    <row r="110" s="120" customFormat="1" ht="14.15"/>
    <row r="111" s="120" customFormat="1" ht="14.15"/>
    <row r="112" s="120" customFormat="1" ht="14.15"/>
    <row r="113" s="120" customFormat="1" ht="14.15"/>
    <row r="114" s="120" customFormat="1" ht="14.15"/>
    <row r="115" s="120" customFormat="1" ht="14.15"/>
    <row r="116" s="120" customFormat="1" ht="14.15"/>
    <row r="117" s="120" customFormat="1" ht="14.15"/>
    <row r="118" s="120" customFormat="1" ht="14.15"/>
    <row r="119" s="120" customFormat="1" ht="14.15"/>
    <row r="120" s="120" customFormat="1" ht="14.15"/>
    <row r="121" s="120" customFormat="1" ht="14.15"/>
    <row r="122" s="120" customFormat="1" ht="14.15"/>
    <row r="123" s="120" customFormat="1" ht="14.15"/>
    <row r="124" s="120" customFormat="1" ht="14.15"/>
    <row r="125" s="120" customFormat="1" ht="14.15"/>
    <row r="126" s="120" customFormat="1" ht="14.15"/>
    <row r="127" s="120" customFormat="1" ht="14.15"/>
    <row r="128" s="120" customFormat="1" ht="14.15"/>
    <row r="129" s="120" customFormat="1" ht="14.15"/>
    <row r="130" s="120" customFormat="1" ht="14.15"/>
    <row r="131" s="120" customFormat="1" ht="14.15"/>
    <row r="132" s="120" customFormat="1" ht="14.15"/>
    <row r="133" s="120" customFormat="1" ht="14.15"/>
    <row r="134" s="120" customFormat="1" ht="14.15"/>
    <row r="135" s="120" customFormat="1" ht="14.15"/>
    <row r="136" s="120" customFormat="1" ht="14.15"/>
    <row r="137" s="120" customFormat="1" ht="14.15"/>
    <row r="138" s="120" customFormat="1" ht="14.15"/>
    <row r="139" s="120" customFormat="1" ht="14.15"/>
    <row r="140" s="120" customFormat="1" ht="14.15"/>
    <row r="141" s="120" customFormat="1" ht="14.15"/>
    <row r="142" s="120" customFormat="1" ht="14.15"/>
    <row r="143" s="120" customFormat="1" ht="14.15"/>
    <row r="144" s="120" customFormat="1" ht="14.15"/>
    <row r="145" s="120" customFormat="1" ht="14.15"/>
    <row r="146" s="120" customFormat="1" ht="14.15"/>
    <row r="147" s="120" customFormat="1" ht="14.15"/>
    <row r="148" s="120" customFormat="1" ht="14.15"/>
    <row r="149" s="120" customFormat="1" ht="14.15"/>
    <row r="150" s="120" customFormat="1" ht="14.15"/>
    <row r="151" s="120" customFormat="1" ht="14.15"/>
    <row r="152" s="120" customFormat="1" ht="14.15"/>
    <row r="153" s="120" customFormat="1" ht="14.15"/>
    <row r="154" s="120" customFormat="1" ht="14.15"/>
    <row r="155" s="120" customFormat="1" ht="14.15"/>
    <row r="156" s="120" customFormat="1" ht="14.15"/>
    <row r="157" s="120" customFormat="1" ht="14.15"/>
    <row r="158" s="120" customFormat="1" ht="14.15"/>
    <row r="159" s="120" customFormat="1" ht="14.15"/>
    <row r="160" s="120" customFormat="1" ht="14.15"/>
    <row r="161" s="120" customFormat="1" ht="14.15"/>
    <row r="162" s="120" customFormat="1" ht="14.15"/>
    <row r="163" s="120" customFormat="1" ht="14.15"/>
    <row r="164" s="120" customFormat="1" ht="14.15"/>
    <row r="165" s="120" customFormat="1" ht="14.15"/>
    <row r="166" s="120" customFormat="1" ht="14.15"/>
    <row r="167" s="120" customFormat="1" ht="14.15"/>
    <row r="168" s="120" customFormat="1" ht="14.15"/>
    <row r="169" s="120" customFormat="1" ht="14.15"/>
    <row r="170" s="120" customFormat="1" ht="14.15"/>
    <row r="171" s="120" customFormat="1" ht="14.15"/>
    <row r="172" s="120" customFormat="1" ht="14.15"/>
    <row r="173" s="120" customFormat="1" ht="14.15"/>
    <row r="174" s="120" customFormat="1" ht="14.15"/>
    <row r="175" s="120" customFormat="1" ht="14.15"/>
    <row r="176" s="120" customFormat="1" ht="14.15"/>
    <row r="177" s="120" customFormat="1" ht="14.15"/>
    <row r="178" s="120" customFormat="1" ht="14.15"/>
    <row r="179" s="120" customFormat="1" ht="14.15"/>
    <row r="180" s="120" customFormat="1" ht="14.15"/>
    <row r="181" s="120" customFormat="1" ht="14.15"/>
    <row r="182" s="120" customFormat="1" ht="14.15"/>
    <row r="183" s="120" customFormat="1" ht="14.15"/>
    <row r="184" s="120" customFormat="1" ht="14.15"/>
    <row r="185" s="120" customFormat="1" ht="14.15"/>
    <row r="186" s="120" customFormat="1" ht="14.15"/>
    <row r="187" s="120" customFormat="1" ht="14.15"/>
    <row r="188" s="120" customFormat="1" ht="14.15"/>
    <row r="189" s="120" customFormat="1" ht="14.15"/>
    <row r="190" s="120" customFormat="1" ht="14.15"/>
    <row r="191" s="120" customFormat="1" ht="14.15"/>
    <row r="192" s="120" customFormat="1" ht="14.15"/>
    <row r="193" s="120" customFormat="1" ht="14.15"/>
    <row r="194" s="120" customFormat="1" ht="14.15"/>
    <row r="195" s="120" customFormat="1" ht="14.15"/>
    <row r="196" s="120" customFormat="1" ht="14.15"/>
    <row r="197" s="120" customFormat="1" ht="14.15"/>
    <row r="198" s="120" customFormat="1" ht="14.15"/>
    <row r="199" s="120" customFormat="1" ht="14.15"/>
    <row r="200" s="120" customFormat="1" ht="14.15"/>
    <row r="201" s="120" customFormat="1" ht="14.15"/>
    <row r="202" s="120" customFormat="1" ht="14.15"/>
    <row r="203" s="120" customFormat="1" ht="14.15"/>
    <row r="204" s="120" customFormat="1" ht="14.15"/>
    <row r="205" s="120" customFormat="1" ht="14.15"/>
    <row r="206" s="120" customFormat="1" ht="14.15"/>
    <row r="207" s="120" customFormat="1" ht="14.15"/>
    <row r="208" s="120" customFormat="1" ht="14.15"/>
    <row r="209" s="120" customFormat="1" ht="14.15"/>
    <row r="210" s="120" customFormat="1" ht="14.15"/>
    <row r="211" s="120" customFormat="1" ht="14.15"/>
    <row r="212" s="120" customFormat="1" ht="14.15"/>
    <row r="213" s="120" customFormat="1" ht="14.15"/>
    <row r="214" s="120" customFormat="1" ht="14.15"/>
    <row r="215" s="120" customFormat="1" ht="14.15"/>
    <row r="216" s="120" customFormat="1" ht="14.15"/>
    <row r="217" s="120" customFormat="1" ht="14.15"/>
    <row r="218" s="120" customFormat="1" ht="14.15"/>
    <row r="219" s="120" customFormat="1" ht="14.15"/>
    <row r="220" s="120" customFormat="1" ht="14.15"/>
    <row r="221" s="120" customFormat="1" ht="14.15"/>
    <row r="222" s="120" customFormat="1" ht="14.15"/>
    <row r="223" s="120" customFormat="1" ht="14.15"/>
    <row r="224" s="120" customFormat="1" ht="14.15"/>
    <row r="225" s="120" customFormat="1" ht="14.15"/>
    <row r="226" s="120" customFormat="1" ht="14.15"/>
    <row r="227" s="120" customFormat="1" ht="14.15"/>
    <row r="228" s="120" customFormat="1" ht="14.15"/>
    <row r="229" s="120" customFormat="1" ht="14.15"/>
    <row r="230" s="120" customFormat="1" ht="14.15"/>
    <row r="231" s="120" customFormat="1" ht="14.15"/>
    <row r="232" s="120" customFormat="1" ht="14.15"/>
    <row r="233" s="120" customFormat="1" ht="14.15"/>
    <row r="234" s="120" customFormat="1" ht="14.15"/>
    <row r="235" s="120" customFormat="1" ht="14.15"/>
    <row r="236" s="120" customFormat="1" ht="14.15"/>
    <row r="237" s="120" customFormat="1" ht="14.15"/>
    <row r="238" s="120" customFormat="1" ht="14.15"/>
    <row r="239" s="120" customFormat="1" ht="14.15"/>
    <row r="240" s="120" customFormat="1" ht="14.15"/>
    <row r="241" s="120" customFormat="1" ht="14.15"/>
    <row r="242" s="120" customFormat="1" ht="14.15"/>
    <row r="243" s="120" customFormat="1" ht="14.15"/>
    <row r="244" s="120" customFormat="1" ht="14.15"/>
    <row r="245" s="120" customFormat="1" ht="14.15"/>
    <row r="246" s="120" customFormat="1" ht="14.15"/>
    <row r="247" s="120" customFormat="1" ht="14.15"/>
    <row r="248" s="120" customFormat="1" ht="14.15"/>
    <row r="249" s="120" customFormat="1" ht="14.15"/>
    <row r="250" s="120" customFormat="1" ht="14.15"/>
    <row r="251" s="120" customFormat="1" ht="14.15"/>
    <row r="252" s="120" customFormat="1" ht="14.15"/>
    <row r="253" s="120" customFormat="1" ht="14.15"/>
    <row r="254" s="120" customFormat="1" ht="14.15"/>
    <row r="255" s="120" customFormat="1" ht="14.15"/>
    <row r="256" s="120" customFormat="1" ht="14.15"/>
    <row r="257" s="120" customFormat="1" ht="14.15"/>
    <row r="258" s="120" customFormat="1" ht="14.15"/>
    <row r="259" s="120" customFormat="1" ht="14.15"/>
    <row r="260" s="120" customFormat="1" ht="14.15"/>
    <row r="261" s="120" customFormat="1" ht="14.15"/>
    <row r="262" s="120" customFormat="1" ht="14.15"/>
    <row r="263" s="120" customFormat="1" ht="14.15"/>
    <row r="264" s="120" customFormat="1" ht="14.15"/>
    <row r="265" s="120" customFormat="1" ht="14.15"/>
    <row r="266" s="120" customFormat="1" ht="14.15"/>
    <row r="267" s="120" customFormat="1" ht="14.15"/>
    <row r="268" s="120" customFormat="1" ht="14.15"/>
    <row r="269" s="120" customFormat="1" ht="14.15"/>
    <row r="270" s="120" customFormat="1" ht="14.15"/>
    <row r="271" s="120" customFormat="1" ht="14.15"/>
    <row r="272" s="120" customFormat="1" ht="14.15"/>
    <row r="273" s="120" customFormat="1" ht="14.15"/>
    <row r="274" s="120" customFormat="1" ht="14.15"/>
    <row r="275" s="120" customFormat="1" ht="14.15"/>
    <row r="276" s="120" customFormat="1" ht="14.15"/>
    <row r="277" s="120" customFormat="1" ht="14.15"/>
    <row r="278" s="120" customFormat="1" ht="14.15"/>
    <row r="279" s="120" customFormat="1" ht="14.15"/>
    <row r="280" s="120" customFormat="1" ht="14.15"/>
    <row r="281" s="120" customFormat="1" ht="14.15"/>
    <row r="282" s="120" customFormat="1" ht="14.15"/>
    <row r="283" s="120" customFormat="1" ht="14.15"/>
    <row r="284" s="120" customFormat="1" ht="14.15"/>
    <row r="285" s="120" customFormat="1" ht="14.15"/>
    <row r="286" s="120" customFormat="1" ht="14.15"/>
    <row r="287" s="120" customFormat="1" ht="14.15"/>
    <row r="288" s="120" customFormat="1" ht="14.15"/>
    <row r="289" s="120" customFormat="1" ht="14.15"/>
    <row r="290" s="120" customFormat="1" ht="14.15"/>
    <row r="291" s="120" customFormat="1" ht="14.15"/>
    <row r="292" s="120" customFormat="1" ht="14.15"/>
    <row r="293" s="120" customFormat="1" ht="14.15"/>
    <row r="294" s="120" customFormat="1" ht="14.15"/>
    <row r="295" s="120" customFormat="1" ht="14.15"/>
    <row r="296" s="120" customFormat="1" ht="14.15"/>
    <row r="297" s="120" customFormat="1" ht="14.15"/>
    <row r="298" s="120" customFormat="1" ht="14.15"/>
    <row r="299" s="120" customFormat="1" ht="14.15"/>
    <row r="300" s="120" customFormat="1" ht="14.15"/>
    <row r="301" s="120" customFormat="1" ht="14.15"/>
    <row r="302" s="120" customFormat="1" ht="14.15"/>
    <row r="303" s="120" customFormat="1" ht="14.15"/>
    <row r="304" s="120" customFormat="1" ht="14.15"/>
    <row r="305" s="120" customFormat="1" ht="14.15"/>
    <row r="306" s="120" customFormat="1" ht="14.15"/>
    <row r="307" s="120" customFormat="1" ht="14.15"/>
    <row r="308" s="120" customFormat="1" ht="14.15"/>
    <row r="309" s="120" customFormat="1" ht="14.15"/>
    <row r="310" s="120" customFormat="1" ht="14.15"/>
    <row r="311" s="120" customFormat="1" ht="14.15"/>
    <row r="312" s="120" customFormat="1" ht="14.15"/>
    <row r="313" s="120" customFormat="1" ht="14.15"/>
    <row r="314" s="120" customFormat="1" ht="14.15"/>
    <row r="315" s="120" customFormat="1" ht="14.15"/>
    <row r="316" s="120" customFormat="1" ht="14.15"/>
    <row r="317" s="120" customFormat="1" ht="14.15"/>
    <row r="318" s="120" customFormat="1" ht="14.15"/>
    <row r="319" s="120" customFormat="1" ht="14.15"/>
    <row r="320" s="120" customFormat="1" ht="14.15"/>
    <row r="321" s="120" customFormat="1" ht="14.15"/>
    <row r="322" s="120" customFormat="1" ht="14.15"/>
    <row r="323" s="120" customFormat="1" ht="14.15"/>
    <row r="324" s="120" customFormat="1" ht="14.15"/>
    <row r="325" s="120" customFormat="1" ht="14.15"/>
  </sheetData>
  <mergeCells count="4">
    <mergeCell ref="B4:H4"/>
    <mergeCell ref="B5:H5"/>
    <mergeCell ref="B7:H7"/>
    <mergeCell ref="B94:H94"/>
  </mergeCells>
  <printOptions horizontalCentered="1"/>
  <pageMargins left="0.7" right="0.7" top="0.75" bottom="0.75" header="0.3" footer="0.3"/>
  <pageSetup scale="79" fitToHeight="2" orientation="portrait" r:id="rId1"/>
  <headerFooter>
    <oddFooter>&amp;R&amp;"Times New Roman,Regular"Exhibit JW-2
Page &amp;P of &amp;N</oddFooter>
  </headerFooter>
  <rowBreaks count="2" manualBreakCount="2">
    <brk id="34" max="7" man="1"/>
    <brk id="62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A29"/>
  <sheetViews>
    <sheetView view="pageBreakPreview" zoomScaleNormal="100" zoomScaleSheetLayoutView="100" workbookViewId="0">
      <selection activeCell="A19" sqref="A19"/>
    </sheetView>
  </sheetViews>
  <sheetFormatPr defaultColWidth="9.15234375" defaultRowHeight="14.15"/>
  <cols>
    <col min="1" max="1" width="7.69140625" style="136" bestFit="1" customWidth="1"/>
    <col min="2" max="2" width="7.69140625" style="136" hidden="1" customWidth="1"/>
    <col min="3" max="10" width="8.69140625" style="120" bestFit="1" customWidth="1"/>
    <col min="11" max="11" width="9.53515625" style="120" customWidth="1"/>
    <col min="12" max="14" width="8.69140625" style="120" bestFit="1" customWidth="1"/>
    <col min="15" max="15" width="14" style="120" customWidth="1"/>
    <col min="16" max="16" width="6.3046875" style="120" bestFit="1" customWidth="1"/>
    <col min="17" max="16384" width="9.15234375" style="120"/>
  </cols>
  <sheetData>
    <row r="1" spans="1:17" s="9" customFormat="1" ht="12.45">
      <c r="A1" s="8"/>
      <c r="B1" s="8"/>
      <c r="H1" s="5"/>
      <c r="N1" s="5"/>
      <c r="O1" s="5" t="s">
        <v>246</v>
      </c>
    </row>
    <row r="2" spans="1:17" s="9" customFormat="1" ht="12.45">
      <c r="A2" s="8"/>
      <c r="B2" s="8"/>
      <c r="H2" s="5"/>
      <c r="I2" s="5"/>
    </row>
    <row r="3" spans="1:17" s="9" customFormat="1" ht="12.45">
      <c r="A3" s="8"/>
      <c r="B3" s="8"/>
      <c r="H3" s="5"/>
      <c r="I3" s="5"/>
    </row>
    <row r="4" spans="1:17" s="9" customFormat="1" ht="12.45">
      <c r="B4" s="318" t="str">
        <f>RevReq!A1</f>
        <v>MEADE COUNTY R.E.C.C.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7"/>
    </row>
    <row r="5" spans="1:17" s="9" customFormat="1" ht="12.45">
      <c r="B5" s="318" t="str">
        <f>RevReq!A3</f>
        <v>For the 12 Months Ended December 31, 2024</v>
      </c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</row>
    <row r="6" spans="1:17" s="9" customFormat="1" ht="12.45">
      <c r="A6" s="8"/>
      <c r="B6" s="8"/>
    </row>
    <row r="7" spans="1:17" s="6" customFormat="1" ht="12.45">
      <c r="B7" s="315" t="s">
        <v>290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</row>
    <row r="8" spans="1:17" s="9" customFormat="1" ht="12.45">
      <c r="A8" s="8"/>
      <c r="B8" s="8"/>
      <c r="P8" s="6"/>
    </row>
    <row r="9" spans="1:17">
      <c r="P9" s="6"/>
    </row>
    <row r="10" spans="1:17">
      <c r="A10" s="124" t="s">
        <v>291</v>
      </c>
      <c r="B10" s="124" t="s">
        <v>291</v>
      </c>
      <c r="C10" s="124" t="s">
        <v>6</v>
      </c>
      <c r="D10" s="124" t="s">
        <v>7</v>
      </c>
      <c r="E10" s="124" t="s">
        <v>8</v>
      </c>
      <c r="F10" s="124" t="s">
        <v>9</v>
      </c>
      <c r="G10" s="124" t="s">
        <v>10</v>
      </c>
      <c r="H10" s="124" t="s">
        <v>11</v>
      </c>
      <c r="I10" s="124" t="s">
        <v>12</v>
      </c>
      <c r="J10" s="124" t="s">
        <v>13</v>
      </c>
      <c r="K10" s="124" t="s">
        <v>2</v>
      </c>
      <c r="L10" s="124" t="s">
        <v>3</v>
      </c>
      <c r="M10" s="124" t="s">
        <v>4</v>
      </c>
      <c r="N10" s="124" t="s">
        <v>5</v>
      </c>
      <c r="O10" s="124" t="s">
        <v>44</v>
      </c>
      <c r="P10" s="6"/>
      <c r="Q10" s="123"/>
    </row>
    <row r="11" spans="1:17">
      <c r="B11" s="136">
        <v>120</v>
      </c>
      <c r="C11" s="148">
        <f>128.71+131.57</f>
        <v>260.27999999999997</v>
      </c>
      <c r="D11" s="148">
        <f>131.57+131.57</f>
        <v>263.14</v>
      </c>
      <c r="E11" s="148">
        <f>131.57+131.57</f>
        <v>263.14</v>
      </c>
      <c r="F11" s="148">
        <f>131.57+131.57</f>
        <v>263.14</v>
      </c>
      <c r="G11" s="148">
        <f>131.57+131.57+131.57</f>
        <v>394.71</v>
      </c>
      <c r="H11" s="148">
        <f>131.57+131.57</f>
        <v>263.14</v>
      </c>
      <c r="I11" s="148">
        <f>131.57+131.57</f>
        <v>263.14</v>
      </c>
      <c r="J11" s="148">
        <f>131.57+131.57</f>
        <v>263.14</v>
      </c>
      <c r="K11" s="148">
        <f>131.57+131.57</f>
        <v>263.14</v>
      </c>
      <c r="L11" s="148">
        <f>131.57+131.57+131.57</f>
        <v>394.71</v>
      </c>
      <c r="M11" s="148">
        <f>131.57+131.57</f>
        <v>263.14</v>
      </c>
      <c r="N11" s="148">
        <f>131.57+131.57</f>
        <v>263.14</v>
      </c>
      <c r="O11" s="148">
        <f>SUM(C11:N11)</f>
        <v>3417.9599999999991</v>
      </c>
      <c r="P11" s="6"/>
    </row>
    <row r="12" spans="1:17">
      <c r="B12" s="136">
        <v>107</v>
      </c>
      <c r="C12" s="148">
        <f t="shared" ref="C12:K12" si="0">94.08+94.08</f>
        <v>188.16</v>
      </c>
      <c r="D12" s="148">
        <f t="shared" si="0"/>
        <v>188.16</v>
      </c>
      <c r="E12" s="148">
        <f t="shared" si="0"/>
        <v>188.16</v>
      </c>
      <c r="F12" s="148">
        <f t="shared" si="0"/>
        <v>188.16</v>
      </c>
      <c r="G12" s="148">
        <f t="shared" si="0"/>
        <v>188.16</v>
      </c>
      <c r="H12" s="148">
        <f t="shared" si="0"/>
        <v>188.16</v>
      </c>
      <c r="I12" s="148">
        <f t="shared" si="0"/>
        <v>188.16</v>
      </c>
      <c r="J12" s="148">
        <f t="shared" si="0"/>
        <v>188.16</v>
      </c>
      <c r="K12" s="148">
        <f t="shared" si="0"/>
        <v>188.16</v>
      </c>
      <c r="L12" s="148">
        <f>94.08+94.08+94.08</f>
        <v>282.24</v>
      </c>
      <c r="M12" s="148">
        <f>94.08+94.08</f>
        <v>188.16</v>
      </c>
      <c r="N12" s="148">
        <v>0</v>
      </c>
      <c r="O12" s="133">
        <f t="shared" ref="O12:O19" si="1">SUM(C12:N12)</f>
        <v>2163.84</v>
      </c>
      <c r="P12" s="6"/>
      <c r="Q12" s="120" t="s">
        <v>397</v>
      </c>
    </row>
    <row r="13" spans="1:17">
      <c r="B13" s="136">
        <v>110</v>
      </c>
      <c r="C13" s="148">
        <f>131.57+131.57</f>
        <v>263.14</v>
      </c>
      <c r="D13" s="148">
        <f>131.57+131.57</f>
        <v>263.14</v>
      </c>
      <c r="E13" s="148">
        <f>131.57+131.57</f>
        <v>263.14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33">
        <f t="shared" si="1"/>
        <v>789.42</v>
      </c>
      <c r="P13" s="6"/>
      <c r="Q13" s="120" t="s">
        <v>398</v>
      </c>
    </row>
    <row r="14" spans="1:17">
      <c r="B14" s="136">
        <v>135</v>
      </c>
      <c r="C14" s="148">
        <f>172.92+172.92</f>
        <v>345.84</v>
      </c>
      <c r="D14" s="148">
        <f>172.92+172.92</f>
        <v>345.84</v>
      </c>
      <c r="E14" s="148">
        <f>172.92+172.92</f>
        <v>345.84</v>
      </c>
      <c r="F14" s="148">
        <f>172.92+172.92</f>
        <v>345.84</v>
      </c>
      <c r="G14" s="148">
        <f>172.92+172.92+172.92</f>
        <v>518.76</v>
      </c>
      <c r="H14" s="148">
        <f>172.92+172.92</f>
        <v>345.84</v>
      </c>
      <c r="I14" s="148">
        <f>172.92+172.92</f>
        <v>345.84</v>
      </c>
      <c r="J14" s="148">
        <f>172.92+172.92</f>
        <v>345.84</v>
      </c>
      <c r="K14" s="148">
        <f>172.92+172.92</f>
        <v>345.84</v>
      </c>
      <c r="L14" s="148">
        <f>172.92+172.92+172.92</f>
        <v>518.76</v>
      </c>
      <c r="M14" s="148">
        <f>172.92+172.92</f>
        <v>345.84</v>
      </c>
      <c r="N14" s="148">
        <f>172.92+172.92</f>
        <v>345.84</v>
      </c>
      <c r="O14" s="133">
        <f t="shared" si="1"/>
        <v>4495.920000000001</v>
      </c>
      <c r="P14" s="6"/>
    </row>
    <row r="15" spans="1:17">
      <c r="B15" s="136">
        <v>131</v>
      </c>
      <c r="C15" s="148">
        <f>63.2+63.2</f>
        <v>126.4</v>
      </c>
      <c r="D15" s="148">
        <f>63.2+63.2</f>
        <v>126.4</v>
      </c>
      <c r="E15" s="148">
        <f>63.2+63.2</f>
        <v>126.4</v>
      </c>
      <c r="F15" s="148">
        <f>63.2+63.2</f>
        <v>126.4</v>
      </c>
      <c r="G15" s="148">
        <f>63.2+63.2+63.2</f>
        <v>189.60000000000002</v>
      </c>
      <c r="H15" s="148">
        <f>63.19+63.2</f>
        <v>126.39</v>
      </c>
      <c r="I15" s="148">
        <f>63.19+63.2</f>
        <v>126.39</v>
      </c>
      <c r="J15" s="148">
        <f>63.2+63.2</f>
        <v>126.4</v>
      </c>
      <c r="K15" s="148">
        <f>63.2+63.2</f>
        <v>126.4</v>
      </c>
      <c r="L15" s="148">
        <f>63.2+63.2+63.2</f>
        <v>189.60000000000002</v>
      </c>
      <c r="M15" s="148">
        <f>63.2+63.2</f>
        <v>126.4</v>
      </c>
      <c r="N15" s="148">
        <f>63.2+63.19</f>
        <v>126.39</v>
      </c>
      <c r="O15" s="133">
        <f t="shared" si="1"/>
        <v>1643.1700000000003</v>
      </c>
      <c r="P15" s="6"/>
    </row>
    <row r="16" spans="1:17">
      <c r="B16" s="136">
        <v>136</v>
      </c>
      <c r="C16" s="148">
        <f>96+96</f>
        <v>192</v>
      </c>
      <c r="D16" s="148">
        <f>96+96</f>
        <v>192</v>
      </c>
      <c r="E16" s="148">
        <f>96+104.5</f>
        <v>200.5</v>
      </c>
      <c r="F16" s="148">
        <f>104.5+104.5</f>
        <v>209</v>
      </c>
      <c r="G16" s="148">
        <f>104.5+104.5+104.5</f>
        <v>313.5</v>
      </c>
      <c r="H16" s="148">
        <f>104.5+104.5</f>
        <v>209</v>
      </c>
      <c r="I16" s="148">
        <f>104.5+104.5</f>
        <v>209</v>
      </c>
      <c r="J16" s="148">
        <f>104.5+104.5</f>
        <v>209</v>
      </c>
      <c r="K16" s="148">
        <f>104.5+104.5</f>
        <v>209</v>
      </c>
      <c r="L16" s="148">
        <f>104.5+104.5+104.5</f>
        <v>313.5</v>
      </c>
      <c r="M16" s="148">
        <f>104.5+104.5</f>
        <v>209</v>
      </c>
      <c r="N16" s="148">
        <f>104.5+104.5</f>
        <v>209</v>
      </c>
      <c r="O16" s="133">
        <f t="shared" si="1"/>
        <v>2674.5</v>
      </c>
      <c r="P16" s="6"/>
    </row>
    <row r="17" spans="1:53">
      <c r="B17" s="136">
        <v>127</v>
      </c>
      <c r="C17" s="148">
        <f>80.76+80.76</f>
        <v>161.52000000000001</v>
      </c>
      <c r="D17" s="148">
        <f>80.76+80.76</f>
        <v>161.52000000000001</v>
      </c>
      <c r="E17" s="148">
        <f>80.76+80.76</f>
        <v>161.52000000000001</v>
      </c>
      <c r="F17" s="148">
        <f>80.76+80.76</f>
        <v>161.52000000000001</v>
      </c>
      <c r="G17" s="148">
        <f>80.76+80.76+80.76</f>
        <v>242.28000000000003</v>
      </c>
      <c r="H17" s="148">
        <f>80.76+80.76</f>
        <v>161.52000000000001</v>
      </c>
      <c r="I17" s="148">
        <f>80.76+80.76</f>
        <v>161.52000000000001</v>
      </c>
      <c r="J17" s="148">
        <f>80.76+80.76</f>
        <v>161.52000000000001</v>
      </c>
      <c r="K17" s="148">
        <f>80.76+80.76</f>
        <v>161.52000000000001</v>
      </c>
      <c r="L17" s="148">
        <f>80.76+80.76+80.76</f>
        <v>242.28000000000003</v>
      </c>
      <c r="M17" s="148">
        <f>80.76+80.76</f>
        <v>161.52000000000001</v>
      </c>
      <c r="N17" s="148">
        <f>80.76+80.76</f>
        <v>161.52000000000001</v>
      </c>
      <c r="O17" s="133">
        <f t="shared" si="1"/>
        <v>2099.7600000000002</v>
      </c>
      <c r="P17" s="6"/>
    </row>
    <row r="18" spans="1:53">
      <c r="B18" s="136">
        <v>122</v>
      </c>
      <c r="C18" s="148">
        <f>77.26+77.26</f>
        <v>154.52000000000001</v>
      </c>
      <c r="D18" s="148">
        <f>77.26+77.26</f>
        <v>154.52000000000001</v>
      </c>
      <c r="E18" s="148">
        <f>77.26+77.26</f>
        <v>154.52000000000001</v>
      </c>
      <c r="F18" s="148">
        <f>77.26+77.26</f>
        <v>154.52000000000001</v>
      </c>
      <c r="G18" s="148">
        <f>77.26+77.26+77.26</f>
        <v>231.78000000000003</v>
      </c>
      <c r="H18" s="148">
        <f>77.26+77.26</f>
        <v>154.52000000000001</v>
      </c>
      <c r="I18" s="148">
        <f>77.26+77.26</f>
        <v>154.52000000000001</v>
      </c>
      <c r="J18" s="148">
        <f>77.26+77.26</f>
        <v>154.52000000000001</v>
      </c>
      <c r="K18" s="148">
        <f>77.26+77.26</f>
        <v>154.52000000000001</v>
      </c>
      <c r="L18" s="148">
        <f>77.26+77.26+77.26</f>
        <v>231.78000000000003</v>
      </c>
      <c r="M18" s="148">
        <f>77.26+77.26</f>
        <v>154.52000000000001</v>
      </c>
      <c r="N18" s="148">
        <f>77.26+77.26</f>
        <v>154.52000000000001</v>
      </c>
      <c r="O18" s="133">
        <f t="shared" si="1"/>
        <v>2008.76</v>
      </c>
      <c r="P18" s="6"/>
    </row>
    <row r="19" spans="1:53">
      <c r="B19" s="136">
        <v>134</v>
      </c>
      <c r="C19" s="265">
        <f>102.96+102.96</f>
        <v>205.92</v>
      </c>
      <c r="D19" s="265">
        <f>102.96+102.96</f>
        <v>205.92</v>
      </c>
      <c r="E19" s="265">
        <f>102.96+102.96</f>
        <v>205.92</v>
      </c>
      <c r="F19" s="265">
        <f>102.96+102.96</f>
        <v>205.92</v>
      </c>
      <c r="G19" s="265">
        <f>102.96+102.96+102.96</f>
        <v>308.88</v>
      </c>
      <c r="H19" s="265">
        <f>102.96+102.96</f>
        <v>205.92</v>
      </c>
      <c r="I19" s="265">
        <f>102.96+102.96</f>
        <v>205.92</v>
      </c>
      <c r="J19" s="265">
        <f>102.96+102.96</f>
        <v>205.92</v>
      </c>
      <c r="K19" s="265">
        <f>102.96+102.96</f>
        <v>205.92</v>
      </c>
      <c r="L19" s="265">
        <f>102.96+102.96+102.96</f>
        <v>308.88</v>
      </c>
      <c r="M19" s="265">
        <f>102.96+102.96</f>
        <v>205.92</v>
      </c>
      <c r="N19" s="265">
        <f>102.96+102.96</f>
        <v>205.92</v>
      </c>
      <c r="O19" s="266">
        <f t="shared" si="1"/>
        <v>2676.9600000000005</v>
      </c>
      <c r="P19" s="6"/>
    </row>
    <row r="20" spans="1:53">
      <c r="A20" s="267" t="s">
        <v>44</v>
      </c>
      <c r="B20" s="267" t="s">
        <v>44</v>
      </c>
      <c r="C20" s="268">
        <f t="shared" ref="C20:O20" si="2">SUM(C11:C19)</f>
        <v>1897.78</v>
      </c>
      <c r="D20" s="268">
        <f t="shared" si="2"/>
        <v>1900.64</v>
      </c>
      <c r="E20" s="268">
        <f t="shared" si="2"/>
        <v>1909.14</v>
      </c>
      <c r="F20" s="268">
        <f t="shared" si="2"/>
        <v>1654.5</v>
      </c>
      <c r="G20" s="268">
        <f t="shared" si="2"/>
        <v>2387.67</v>
      </c>
      <c r="H20" s="268">
        <f t="shared" si="2"/>
        <v>1654.4899999999998</v>
      </c>
      <c r="I20" s="268">
        <f t="shared" si="2"/>
        <v>1654.4899999999998</v>
      </c>
      <c r="J20" s="268">
        <f t="shared" si="2"/>
        <v>1654.5</v>
      </c>
      <c r="K20" s="268">
        <f t="shared" si="2"/>
        <v>1654.5</v>
      </c>
      <c r="L20" s="268">
        <f t="shared" si="2"/>
        <v>2481.75</v>
      </c>
      <c r="M20" s="268">
        <f t="shared" si="2"/>
        <v>1654.5</v>
      </c>
      <c r="N20" s="268">
        <f t="shared" si="2"/>
        <v>1466.3300000000002</v>
      </c>
      <c r="O20" s="268">
        <f t="shared" si="2"/>
        <v>21970.289999999997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6"/>
    </row>
    <row r="22" spans="1:53"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53">
      <c r="C23" s="134"/>
      <c r="D23" s="134"/>
      <c r="E23" s="134"/>
      <c r="F23" s="134"/>
      <c r="G23" s="134"/>
      <c r="H23" s="134"/>
      <c r="I23" s="134"/>
      <c r="J23" s="134"/>
      <c r="K23" s="134" t="s">
        <v>292</v>
      </c>
      <c r="M23" s="134"/>
      <c r="N23" s="134"/>
      <c r="O23" s="134">
        <f>O20</f>
        <v>21970.289999999997</v>
      </c>
    </row>
    <row r="24" spans="1:53">
      <c r="C24" s="134"/>
      <c r="D24" s="134"/>
      <c r="E24" s="134"/>
      <c r="F24" s="134"/>
      <c r="G24" s="134"/>
      <c r="H24" s="134"/>
      <c r="I24" s="134"/>
      <c r="J24" s="134"/>
      <c r="K24" s="134" t="s">
        <v>293</v>
      </c>
      <c r="M24" s="134"/>
      <c r="N24" s="134"/>
      <c r="O24" s="148">
        <v>0</v>
      </c>
    </row>
    <row r="25" spans="1:53">
      <c r="C25" s="134"/>
      <c r="D25" s="134"/>
      <c r="E25" s="134"/>
      <c r="F25" s="134"/>
      <c r="G25" s="134"/>
      <c r="H25" s="134"/>
      <c r="I25" s="134"/>
      <c r="J25" s="134"/>
      <c r="K25" s="149" t="s">
        <v>15</v>
      </c>
      <c r="L25" s="150"/>
      <c r="M25" s="149"/>
      <c r="N25" s="149"/>
      <c r="O25" s="149">
        <f>O24-O23</f>
        <v>-21970.289999999997</v>
      </c>
    </row>
    <row r="27" spans="1:53" ht="27.75" customHeight="1">
      <c r="A27" s="317" t="s">
        <v>399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</row>
    <row r="28" spans="1:53">
      <c r="A28" s="120"/>
      <c r="B28" s="317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</row>
    <row r="29" spans="1:53">
      <c r="A29" s="151"/>
      <c r="B29" s="151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</sheetData>
  <mergeCells count="5">
    <mergeCell ref="B4:O4"/>
    <mergeCell ref="B5:O5"/>
    <mergeCell ref="B7:O7"/>
    <mergeCell ref="B28:O28"/>
    <mergeCell ref="A27:O27"/>
  </mergeCells>
  <pageMargins left="0.7" right="0.7" top="0.75" bottom="0.75" header="0.3" footer="0.3"/>
  <pageSetup scale="96" orientation="landscape" r:id="rId1"/>
  <headerFooter>
    <oddFooter>&amp;R&amp;"Times New Roman,Regular"Exhibit JW-2
Page &amp;P of &amp;N</oddFooter>
  </headerFooter>
  <ignoredErrors>
    <ignoredError sqref="D12:L12 L11 L13:L19 G18:G1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EC97-41D6-4B17-8CD4-0100464F14D7}">
  <dimension ref="A1:O82"/>
  <sheetViews>
    <sheetView view="pageBreakPreview" topLeftCell="A4" zoomScaleNormal="100" zoomScaleSheetLayoutView="100" workbookViewId="0">
      <selection activeCell="F17" sqref="F17:G17"/>
    </sheetView>
  </sheetViews>
  <sheetFormatPr defaultRowHeight="14.6"/>
  <sheetData>
    <row r="1" spans="1:15">
      <c r="E1" s="5"/>
      <c r="F1" s="5"/>
      <c r="G1" s="5"/>
      <c r="M1" s="5" t="s">
        <v>420</v>
      </c>
    </row>
    <row r="2" spans="1:15">
      <c r="G2" s="5"/>
      <c r="H2" s="5"/>
    </row>
    <row r="3" spans="1:15">
      <c r="A3" s="318" t="s">
        <v>254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7"/>
      <c r="O3" s="7"/>
    </row>
    <row r="4" spans="1:15">
      <c r="A4" s="318" t="s">
        <v>337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</row>
    <row r="6" spans="1:15">
      <c r="A6" s="315" t="s">
        <v>297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6"/>
      <c r="O6" s="6"/>
    </row>
    <row r="8" spans="1:15">
      <c r="A8" s="152" t="s">
        <v>298</v>
      </c>
      <c r="B8" s="88"/>
      <c r="C8" s="88"/>
      <c r="D8" s="323" t="s">
        <v>299</v>
      </c>
      <c r="E8" s="323"/>
      <c r="F8" s="324" t="s">
        <v>300</v>
      </c>
      <c r="G8" s="324"/>
      <c r="H8" s="324" t="s">
        <v>301</v>
      </c>
      <c r="I8" s="324"/>
      <c r="J8" s="324" t="s">
        <v>302</v>
      </c>
      <c r="K8" s="324"/>
      <c r="L8" s="324" t="s">
        <v>303</v>
      </c>
      <c r="M8" s="324"/>
      <c r="N8" s="2"/>
    </row>
    <row r="9" spans="1:15">
      <c r="A9" s="153" t="s">
        <v>18</v>
      </c>
      <c r="B9" s="189"/>
      <c r="C9" s="189"/>
      <c r="D9" s="321" t="s">
        <v>20</v>
      </c>
      <c r="E9" s="321"/>
      <c r="F9" s="321" t="s">
        <v>19</v>
      </c>
      <c r="G9" s="321"/>
      <c r="H9" s="321" t="s">
        <v>25</v>
      </c>
      <c r="I9" s="321"/>
      <c r="J9" s="321" t="s">
        <v>48</v>
      </c>
      <c r="K9" s="321"/>
      <c r="L9" s="321" t="s">
        <v>49</v>
      </c>
      <c r="M9" s="321"/>
      <c r="N9" s="2"/>
    </row>
    <row r="10" spans="1:15">
      <c r="A10" s="2"/>
      <c r="B10" s="2"/>
      <c r="C10" s="2"/>
      <c r="D10" s="322"/>
      <c r="E10" s="322"/>
      <c r="F10" s="2"/>
      <c r="G10" s="2"/>
      <c r="H10" s="2"/>
      <c r="I10" s="2"/>
      <c r="J10" s="2"/>
      <c r="K10" s="2"/>
      <c r="L10" s="154"/>
      <c r="M10" s="2"/>
      <c r="N10" s="2"/>
    </row>
    <row r="11" spans="1:15">
      <c r="A11" s="155" t="s">
        <v>304</v>
      </c>
      <c r="B11" s="2"/>
      <c r="C11" s="2"/>
      <c r="D11" s="258"/>
      <c r="E11" s="258"/>
      <c r="F11" s="1"/>
      <c r="G11" s="2"/>
      <c r="H11" s="141"/>
      <c r="I11" s="2"/>
      <c r="J11" s="156"/>
      <c r="K11" s="2"/>
      <c r="L11" s="154"/>
      <c r="M11" s="2"/>
      <c r="N11" s="2"/>
    </row>
    <row r="12" spans="1:15">
      <c r="A12" s="155"/>
      <c r="B12" s="2"/>
      <c r="C12" s="2"/>
      <c r="D12" s="259"/>
      <c r="E12" s="28"/>
      <c r="F12" s="259"/>
      <c r="G12" s="28"/>
      <c r="H12" s="259"/>
      <c r="I12" s="28"/>
      <c r="J12" s="260"/>
      <c r="K12" s="28"/>
      <c r="L12" s="157"/>
      <c r="M12" s="2"/>
      <c r="N12" s="2"/>
    </row>
    <row r="13" spans="1:15">
      <c r="A13" s="2" t="s">
        <v>305</v>
      </c>
      <c r="B13" s="2"/>
      <c r="C13" s="2"/>
      <c r="D13" s="325">
        <v>506708.5</v>
      </c>
      <c r="E13" s="325"/>
      <c r="F13" s="326">
        <v>0</v>
      </c>
      <c r="G13" s="326"/>
      <c r="H13" s="325">
        <f>D13*F13</f>
        <v>0</v>
      </c>
      <c r="I13" s="325"/>
      <c r="J13" s="326">
        <v>1</v>
      </c>
      <c r="K13" s="326"/>
      <c r="L13" s="325">
        <f>D13*J13</f>
        <v>506708.5</v>
      </c>
      <c r="M13" s="325"/>
      <c r="N13" s="2"/>
    </row>
    <row r="14" spans="1:15">
      <c r="A14" s="2" t="s">
        <v>306</v>
      </c>
      <c r="B14" s="2"/>
      <c r="C14" s="2"/>
      <c r="D14" s="325">
        <v>10208.51</v>
      </c>
      <c r="E14" s="325"/>
      <c r="F14" s="326">
        <v>0.5</v>
      </c>
      <c r="G14" s="326"/>
      <c r="H14" s="325">
        <f t="shared" ref="H14:H16" si="0">D14*F14</f>
        <v>5104.2550000000001</v>
      </c>
      <c r="I14" s="325"/>
      <c r="J14" s="326">
        <v>0.5</v>
      </c>
      <c r="K14" s="326"/>
      <c r="L14" s="325">
        <f t="shared" ref="L14:L16" si="1">D14*J14</f>
        <v>5104.2550000000001</v>
      </c>
      <c r="M14" s="325"/>
      <c r="N14" s="2"/>
    </row>
    <row r="15" spans="1:15">
      <c r="A15" s="2" t="s">
        <v>307</v>
      </c>
      <c r="B15" s="2"/>
      <c r="C15" s="2"/>
      <c r="D15" s="325">
        <v>62990.400000000001</v>
      </c>
      <c r="E15" s="325"/>
      <c r="F15" s="326">
        <v>0.5</v>
      </c>
      <c r="G15" s="326"/>
      <c r="H15" s="325">
        <f t="shared" si="0"/>
        <v>31495.200000000001</v>
      </c>
      <c r="I15" s="325"/>
      <c r="J15" s="326">
        <v>0.5</v>
      </c>
      <c r="K15" s="326"/>
      <c r="L15" s="325">
        <f t="shared" si="1"/>
        <v>31495.200000000001</v>
      </c>
      <c r="M15" s="325"/>
      <c r="N15" s="2"/>
    </row>
    <row r="16" spans="1:15">
      <c r="A16" s="2" t="s">
        <v>308</v>
      </c>
      <c r="B16" s="2"/>
      <c r="C16" s="2"/>
      <c r="D16" s="325">
        <v>227184.32</v>
      </c>
      <c r="E16" s="325"/>
      <c r="F16" s="326">
        <v>0.5</v>
      </c>
      <c r="G16" s="326"/>
      <c r="H16" s="325">
        <f t="shared" si="0"/>
        <v>113592.16</v>
      </c>
      <c r="I16" s="325"/>
      <c r="J16" s="326">
        <v>0.5</v>
      </c>
      <c r="K16" s="326"/>
      <c r="L16" s="325">
        <f t="shared" si="1"/>
        <v>113592.16</v>
      </c>
      <c r="M16" s="325"/>
      <c r="N16" s="2"/>
    </row>
    <row r="17" spans="1:15">
      <c r="A17" s="37" t="s">
        <v>44</v>
      </c>
      <c r="B17" s="37"/>
      <c r="C17" s="37"/>
      <c r="D17" s="327">
        <f>SUM(D13:E16)</f>
        <v>807091.73</v>
      </c>
      <c r="E17" s="327"/>
      <c r="F17" s="327"/>
      <c r="G17" s="327"/>
      <c r="H17" s="327">
        <f>SUM(H13:I16)</f>
        <v>150191.61499999999</v>
      </c>
      <c r="I17" s="327"/>
      <c r="J17" s="327"/>
      <c r="K17" s="327"/>
      <c r="L17" s="327">
        <f>SUM(L13:M16)</f>
        <v>656900.11499999999</v>
      </c>
      <c r="M17" s="327"/>
      <c r="N17" s="2"/>
      <c r="O17">
        <f>H17/D17</f>
        <v>0.18608989463936149</v>
      </c>
    </row>
    <row r="18" spans="1:15">
      <c r="A18" s="2"/>
      <c r="B18" s="2"/>
      <c r="C18" s="2"/>
      <c r="D18" s="261"/>
      <c r="E18" s="28"/>
      <c r="F18" s="28"/>
      <c r="G18" s="28"/>
      <c r="H18" s="28"/>
      <c r="I18" s="28"/>
      <c r="J18" s="28"/>
      <c r="K18" s="28"/>
      <c r="L18" s="157"/>
      <c r="M18" s="2"/>
      <c r="N18" s="2"/>
      <c r="O18">
        <f>L17/D17</f>
        <v>0.81391010536063846</v>
      </c>
    </row>
    <row r="19" spans="1:15">
      <c r="A19" s="158" t="s">
        <v>309</v>
      </c>
      <c r="B19" s="2"/>
      <c r="C19" s="2"/>
      <c r="D19" s="261"/>
      <c r="E19" s="28"/>
      <c r="F19" s="28"/>
      <c r="G19" s="28"/>
      <c r="H19" s="28"/>
      <c r="I19" s="28"/>
      <c r="J19" s="28"/>
      <c r="K19" s="28"/>
      <c r="L19" s="157"/>
      <c r="M19" s="2"/>
      <c r="N19" s="2"/>
    </row>
    <row r="20" spans="1:15">
      <c r="A20" s="158"/>
      <c r="B20" s="2"/>
      <c r="C20" s="2"/>
      <c r="D20" s="261"/>
      <c r="E20" s="28"/>
      <c r="F20" s="28"/>
      <c r="G20" s="28"/>
      <c r="H20" s="28"/>
      <c r="I20" s="28"/>
      <c r="J20" s="28"/>
      <c r="K20" s="28"/>
      <c r="L20" s="157"/>
      <c r="M20" s="2"/>
      <c r="N20" s="2"/>
    </row>
    <row r="21" spans="1:15">
      <c r="A21" s="2" t="s">
        <v>305</v>
      </c>
      <c r="B21" s="2"/>
      <c r="C21" s="2"/>
      <c r="D21" s="325">
        <v>506708.5</v>
      </c>
      <c r="E21" s="325"/>
      <c r="F21" s="326">
        <v>0.2</v>
      </c>
      <c r="G21" s="326"/>
      <c r="H21" s="325">
        <f>D21*F21</f>
        <v>101341.70000000001</v>
      </c>
      <c r="I21" s="325"/>
      <c r="J21" s="326">
        <v>0.8</v>
      </c>
      <c r="K21" s="326"/>
      <c r="L21" s="325">
        <f>D21*J21</f>
        <v>405366.80000000005</v>
      </c>
      <c r="M21" s="325"/>
      <c r="N21" s="2"/>
    </row>
    <row r="22" spans="1:15">
      <c r="A22" s="2" t="s">
        <v>306</v>
      </c>
      <c r="B22" s="2"/>
      <c r="C22" s="2"/>
      <c r="D22" s="325">
        <v>10208.51</v>
      </c>
      <c r="E22" s="325"/>
      <c r="F22" s="326">
        <v>0.32</v>
      </c>
      <c r="G22" s="326"/>
      <c r="H22" s="325">
        <f>D22*F22</f>
        <v>3266.7232000000004</v>
      </c>
      <c r="I22" s="325"/>
      <c r="J22" s="326">
        <v>0.68</v>
      </c>
      <c r="K22" s="326"/>
      <c r="L22" s="325">
        <f>D22*J22</f>
        <v>6941.7868000000008</v>
      </c>
      <c r="M22" s="325"/>
      <c r="N22" s="2"/>
    </row>
    <row r="23" spans="1:15">
      <c r="A23" s="2" t="s">
        <v>307</v>
      </c>
      <c r="B23" s="2"/>
      <c r="C23" s="2"/>
      <c r="D23" s="325">
        <v>62990.400000000001</v>
      </c>
      <c r="E23" s="325"/>
      <c r="F23" s="326">
        <v>0.32</v>
      </c>
      <c r="G23" s="326"/>
      <c r="H23" s="325">
        <f>D23*F23</f>
        <v>20156.928</v>
      </c>
      <c r="I23" s="325"/>
      <c r="J23" s="326">
        <v>0.68</v>
      </c>
      <c r="K23" s="326"/>
      <c r="L23" s="325">
        <f>D23*J23</f>
        <v>42833.472000000002</v>
      </c>
      <c r="M23" s="325"/>
      <c r="N23" s="2"/>
    </row>
    <row r="24" spans="1:15">
      <c r="A24" s="2" t="s">
        <v>308</v>
      </c>
      <c r="B24" s="2"/>
      <c r="C24" s="2"/>
      <c r="D24" s="325">
        <v>227184.32</v>
      </c>
      <c r="E24" s="325"/>
      <c r="F24" s="326">
        <v>0.32</v>
      </c>
      <c r="G24" s="326"/>
      <c r="H24" s="325">
        <f>D24*F24</f>
        <v>72698.982400000008</v>
      </c>
      <c r="I24" s="325"/>
      <c r="J24" s="326">
        <v>0.68</v>
      </c>
      <c r="K24" s="326"/>
      <c r="L24" s="325">
        <f>D24*J24</f>
        <v>154485.33760000003</v>
      </c>
      <c r="M24" s="325"/>
      <c r="N24" s="2"/>
    </row>
    <row r="25" spans="1:15">
      <c r="A25" s="37" t="s">
        <v>44</v>
      </c>
      <c r="B25" s="37"/>
      <c r="C25" s="37"/>
      <c r="D25" s="327">
        <f>SUM(D21:E24)</f>
        <v>807091.73</v>
      </c>
      <c r="E25" s="327"/>
      <c r="F25" s="327"/>
      <c r="G25" s="327"/>
      <c r="H25" s="327">
        <f>SUM(H21:I24)</f>
        <v>197464.33360000001</v>
      </c>
      <c r="I25" s="327"/>
      <c r="J25" s="327"/>
      <c r="K25" s="327"/>
      <c r="L25" s="327">
        <f>SUM(L21:M24)</f>
        <v>609627.39640000009</v>
      </c>
      <c r="M25" s="327"/>
      <c r="N25" s="2"/>
      <c r="O25">
        <f>H25/D25</f>
        <v>0.24466157471344679</v>
      </c>
    </row>
    <row r="26" spans="1:15">
      <c r="A26" s="2"/>
      <c r="B26" s="2"/>
      <c r="C26" s="2"/>
      <c r="D26" s="28"/>
      <c r="E26" s="28"/>
      <c r="F26" s="28"/>
      <c r="G26" s="28"/>
      <c r="H26" s="28"/>
      <c r="I26" s="28"/>
      <c r="J26" s="28"/>
      <c r="K26" s="28"/>
      <c r="L26" s="28"/>
      <c r="M26" s="2"/>
      <c r="N26" s="2"/>
      <c r="O26">
        <f>L25/D25</f>
        <v>0.75533842528655337</v>
      </c>
    </row>
    <row r="27" spans="1:15" ht="15" thickBot="1">
      <c r="A27" s="3"/>
      <c r="B27" s="159" t="s">
        <v>15</v>
      </c>
      <c r="C27" s="44"/>
      <c r="D27" s="44"/>
      <c r="E27" s="44"/>
      <c r="F27" s="44"/>
      <c r="G27" s="44"/>
      <c r="H27" s="44"/>
      <c r="I27" s="44"/>
      <c r="J27" s="44"/>
      <c r="K27" s="3"/>
      <c r="L27" s="328">
        <f>L25-L17</f>
        <v>-47272.718599999906</v>
      </c>
      <c r="M27" s="328"/>
      <c r="N27" s="2"/>
    </row>
    <row r="28" spans="1:15" ht="15" thickTop="1"/>
    <row r="30" spans="1:15">
      <c r="A30" s="315" t="s">
        <v>310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6"/>
      <c r="O30" s="6"/>
    </row>
    <row r="32" spans="1:15">
      <c r="A32" s="152" t="s">
        <v>298</v>
      </c>
      <c r="B32" s="88"/>
      <c r="C32" s="88"/>
      <c r="D32" s="323" t="s">
        <v>299</v>
      </c>
      <c r="E32" s="323"/>
      <c r="F32" s="324" t="s">
        <v>300</v>
      </c>
      <c r="G32" s="324"/>
      <c r="H32" s="324" t="s">
        <v>301</v>
      </c>
      <c r="I32" s="324"/>
      <c r="J32" s="324" t="s">
        <v>302</v>
      </c>
      <c r="K32" s="324"/>
      <c r="L32" s="324" t="s">
        <v>303</v>
      </c>
      <c r="M32" s="324"/>
      <c r="N32" s="2"/>
    </row>
    <row r="33" spans="1:14">
      <c r="A33" s="153" t="s">
        <v>18</v>
      </c>
      <c r="B33" s="189"/>
      <c r="C33" s="189"/>
      <c r="D33" s="321" t="s">
        <v>20</v>
      </c>
      <c r="E33" s="321"/>
      <c r="F33" s="321" t="s">
        <v>19</v>
      </c>
      <c r="G33" s="321"/>
      <c r="H33" s="321" t="s">
        <v>25</v>
      </c>
      <c r="I33" s="321"/>
      <c r="J33" s="321" t="s">
        <v>48</v>
      </c>
      <c r="K33" s="321"/>
      <c r="L33" s="321" t="s">
        <v>49</v>
      </c>
      <c r="M33" s="321"/>
      <c r="N33" s="2"/>
    </row>
    <row r="34" spans="1:14">
      <c r="A34" s="2"/>
      <c r="B34" s="2"/>
      <c r="C34" s="2"/>
      <c r="D34" s="322"/>
      <c r="E34" s="322"/>
      <c r="F34" s="2"/>
      <c r="G34" s="2"/>
      <c r="H34" s="2"/>
      <c r="I34" s="2"/>
      <c r="J34" s="2"/>
      <c r="K34" s="2"/>
      <c r="L34" s="154"/>
      <c r="M34" s="2"/>
      <c r="N34" s="2"/>
    </row>
    <row r="35" spans="1:14">
      <c r="A35" s="155" t="s">
        <v>304</v>
      </c>
      <c r="B35" s="2"/>
      <c r="C35" s="2"/>
      <c r="D35" s="258"/>
      <c r="E35" s="258"/>
      <c r="F35" s="1"/>
      <c r="G35" s="2"/>
      <c r="H35" s="141"/>
      <c r="I35" s="2"/>
      <c r="J35" s="156"/>
      <c r="K35" s="2"/>
      <c r="L35" s="154"/>
      <c r="M35" s="2"/>
      <c r="N35" s="2"/>
    </row>
    <row r="36" spans="1:14">
      <c r="A36" s="155"/>
      <c r="B36" s="2"/>
      <c r="C36" s="2"/>
      <c r="D36" s="259"/>
      <c r="E36" s="28"/>
      <c r="F36" s="259"/>
      <c r="G36" s="28"/>
      <c r="H36" s="259"/>
      <c r="I36" s="28"/>
      <c r="J36" s="260"/>
      <c r="K36" s="28"/>
      <c r="L36" s="157"/>
      <c r="M36" s="2"/>
      <c r="N36" s="2"/>
    </row>
    <row r="37" spans="1:14">
      <c r="A37" s="2" t="s">
        <v>305</v>
      </c>
      <c r="B37" s="2"/>
      <c r="C37" s="2"/>
      <c r="D37" s="325">
        <v>24741.99</v>
      </c>
      <c r="E37" s="325"/>
      <c r="F37" s="326">
        <v>0</v>
      </c>
      <c r="G37" s="326"/>
      <c r="H37" s="325">
        <f>D37*F37</f>
        <v>0</v>
      </c>
      <c r="I37" s="325"/>
      <c r="J37" s="326">
        <v>1</v>
      </c>
      <c r="K37" s="326"/>
      <c r="L37" s="325">
        <f>D37*J37</f>
        <v>24741.99</v>
      </c>
      <c r="M37" s="325"/>
      <c r="N37" s="2"/>
    </row>
    <row r="38" spans="1:14">
      <c r="A38" s="2" t="s">
        <v>306</v>
      </c>
      <c r="B38" s="2"/>
      <c r="C38" s="2"/>
      <c r="D38" s="325">
        <v>2443.0500000000002</v>
      </c>
      <c r="E38" s="325"/>
      <c r="F38" s="326">
        <v>1</v>
      </c>
      <c r="G38" s="326"/>
      <c r="H38" s="325">
        <f t="shared" ref="H38:H40" si="2">D38*F38</f>
        <v>2443.0500000000002</v>
      </c>
      <c r="I38" s="325"/>
      <c r="J38" s="326">
        <v>0</v>
      </c>
      <c r="K38" s="326"/>
      <c r="L38" s="325">
        <f t="shared" ref="L38:L40" si="3">D38*J38</f>
        <v>0</v>
      </c>
      <c r="M38" s="325"/>
      <c r="N38" s="2"/>
    </row>
    <row r="39" spans="1:14">
      <c r="A39" s="2" t="s">
        <v>307</v>
      </c>
      <c r="B39" s="2"/>
      <c r="C39" s="2"/>
      <c r="D39" s="325">
        <v>3501.36</v>
      </c>
      <c r="E39" s="325"/>
      <c r="F39" s="326">
        <v>1</v>
      </c>
      <c r="G39" s="326"/>
      <c r="H39" s="325">
        <f t="shared" si="2"/>
        <v>3501.36</v>
      </c>
      <c r="I39" s="325"/>
      <c r="J39" s="326">
        <v>0</v>
      </c>
      <c r="K39" s="326"/>
      <c r="L39" s="325">
        <f t="shared" si="3"/>
        <v>0</v>
      </c>
      <c r="M39" s="325"/>
      <c r="N39" s="2"/>
    </row>
    <row r="40" spans="1:14">
      <c r="A40" s="2" t="s">
        <v>308</v>
      </c>
      <c r="B40" s="2"/>
      <c r="C40" s="2"/>
      <c r="D40" s="325">
        <v>16675.599999999999</v>
      </c>
      <c r="E40" s="325"/>
      <c r="F40" s="326">
        <v>1</v>
      </c>
      <c r="G40" s="326"/>
      <c r="H40" s="325">
        <f t="shared" si="2"/>
        <v>16675.599999999999</v>
      </c>
      <c r="I40" s="325"/>
      <c r="J40" s="326">
        <v>0</v>
      </c>
      <c r="K40" s="326"/>
      <c r="L40" s="325">
        <f t="shared" si="3"/>
        <v>0</v>
      </c>
      <c r="M40" s="325"/>
      <c r="N40" s="2"/>
    </row>
    <row r="41" spans="1:14">
      <c r="A41" s="37" t="s">
        <v>44</v>
      </c>
      <c r="B41" s="37"/>
      <c r="C41" s="37"/>
      <c r="D41" s="327">
        <f>SUM(D37:E40)</f>
        <v>47362</v>
      </c>
      <c r="E41" s="327"/>
      <c r="F41" s="327"/>
      <c r="G41" s="327"/>
      <c r="H41" s="327">
        <f>SUM(H37:I40)</f>
        <v>22620.01</v>
      </c>
      <c r="I41" s="327"/>
      <c r="J41" s="327"/>
      <c r="K41" s="327"/>
      <c r="L41" s="327">
        <f>SUM(L37:M40)</f>
        <v>24741.99</v>
      </c>
      <c r="M41" s="327"/>
      <c r="N41" s="2"/>
    </row>
    <row r="42" spans="1:14">
      <c r="A42" s="2"/>
      <c r="B42" s="2"/>
      <c r="C42" s="2"/>
      <c r="D42" s="261"/>
      <c r="E42" s="28"/>
      <c r="F42" s="28"/>
      <c r="G42" s="28"/>
      <c r="H42" s="28"/>
      <c r="I42" s="28"/>
      <c r="J42" s="28"/>
      <c r="K42" s="28"/>
      <c r="L42" s="157"/>
      <c r="M42" s="2"/>
      <c r="N42" s="2"/>
    </row>
    <row r="43" spans="1:14">
      <c r="A43" s="158" t="s">
        <v>309</v>
      </c>
      <c r="B43" s="2"/>
      <c r="C43" s="2"/>
      <c r="D43" s="261"/>
      <c r="E43" s="28"/>
      <c r="F43" s="28"/>
      <c r="G43" s="28"/>
      <c r="H43" s="28"/>
      <c r="I43" s="28"/>
      <c r="J43" s="28"/>
      <c r="K43" s="28"/>
      <c r="L43" s="157"/>
      <c r="M43" s="2"/>
      <c r="N43" s="2"/>
    </row>
    <row r="44" spans="1:14">
      <c r="A44" s="158"/>
      <c r="B44" s="2"/>
      <c r="C44" s="2"/>
      <c r="D44" s="261"/>
      <c r="E44" s="28"/>
      <c r="F44" s="28"/>
      <c r="G44" s="28"/>
      <c r="H44" s="28"/>
      <c r="I44" s="28"/>
      <c r="J44" s="28"/>
      <c r="K44" s="28"/>
      <c r="L44" s="157"/>
      <c r="M44" s="2"/>
      <c r="N44" s="2"/>
    </row>
    <row r="45" spans="1:14">
      <c r="A45" s="2" t="s">
        <v>305</v>
      </c>
      <c r="B45" s="2"/>
      <c r="C45" s="2"/>
      <c r="D45" s="325">
        <v>24741.99</v>
      </c>
      <c r="E45" s="325"/>
      <c r="F45" s="326">
        <v>0.2</v>
      </c>
      <c r="G45" s="326"/>
      <c r="H45" s="325">
        <f>D45*F45</f>
        <v>4948.398000000001</v>
      </c>
      <c r="I45" s="325"/>
      <c r="J45" s="326">
        <v>0.8</v>
      </c>
      <c r="K45" s="326"/>
      <c r="L45" s="325">
        <f>D45*J45</f>
        <v>19793.592000000004</v>
      </c>
      <c r="M45" s="325"/>
      <c r="N45" s="2"/>
    </row>
    <row r="46" spans="1:14">
      <c r="A46" s="2" t="s">
        <v>306</v>
      </c>
      <c r="B46" s="2"/>
      <c r="C46" s="2"/>
      <c r="D46" s="325">
        <v>2443.0500000000002</v>
      </c>
      <c r="E46" s="325"/>
      <c r="F46" s="326">
        <v>0.32</v>
      </c>
      <c r="G46" s="326"/>
      <c r="H46" s="325">
        <f>D46*F46</f>
        <v>781.77600000000007</v>
      </c>
      <c r="I46" s="325"/>
      <c r="J46" s="326">
        <v>0.68</v>
      </c>
      <c r="K46" s="326"/>
      <c r="L46" s="325">
        <f>D46*J46</f>
        <v>1661.2740000000003</v>
      </c>
      <c r="M46" s="325"/>
      <c r="N46" s="2"/>
    </row>
    <row r="47" spans="1:14">
      <c r="A47" s="2" t="s">
        <v>307</v>
      </c>
      <c r="B47" s="2"/>
      <c r="C47" s="2"/>
      <c r="D47" s="325">
        <v>3501.36</v>
      </c>
      <c r="E47" s="325"/>
      <c r="F47" s="326">
        <v>0.32</v>
      </c>
      <c r="G47" s="326"/>
      <c r="H47" s="325">
        <f>D47*F47</f>
        <v>1120.4352000000001</v>
      </c>
      <c r="I47" s="325"/>
      <c r="J47" s="326">
        <v>0.68</v>
      </c>
      <c r="K47" s="326"/>
      <c r="L47" s="325">
        <f>D47*J47</f>
        <v>2380.9248000000002</v>
      </c>
      <c r="M47" s="325"/>
      <c r="N47" s="2"/>
    </row>
    <row r="48" spans="1:14">
      <c r="A48" s="2" t="s">
        <v>308</v>
      </c>
      <c r="B48" s="2"/>
      <c r="C48" s="2"/>
      <c r="D48" s="325">
        <v>16675.599999999999</v>
      </c>
      <c r="E48" s="325"/>
      <c r="F48" s="326">
        <v>0.32</v>
      </c>
      <c r="G48" s="326"/>
      <c r="H48" s="325">
        <f>D48*F48</f>
        <v>5336.192</v>
      </c>
      <c r="I48" s="325"/>
      <c r="J48" s="326">
        <v>0.68</v>
      </c>
      <c r="K48" s="326"/>
      <c r="L48" s="325">
        <f>D48*J48</f>
        <v>11339.407999999999</v>
      </c>
      <c r="M48" s="325"/>
      <c r="N48" s="2"/>
    </row>
    <row r="49" spans="1:15">
      <c r="A49" s="37" t="s">
        <v>44</v>
      </c>
      <c r="B49" s="37"/>
      <c r="C49" s="37"/>
      <c r="D49" s="327">
        <f>SUM(D45:E48)</f>
        <v>47362</v>
      </c>
      <c r="E49" s="327"/>
      <c r="F49" s="327"/>
      <c r="G49" s="327"/>
      <c r="H49" s="327">
        <f>SUM(H45:I48)</f>
        <v>12186.801200000002</v>
      </c>
      <c r="I49" s="327"/>
      <c r="J49" s="327"/>
      <c r="K49" s="327"/>
      <c r="L49" s="327">
        <f>SUM(L45:M48)</f>
        <v>35175.198800000006</v>
      </c>
      <c r="M49" s="327"/>
      <c r="N49" s="2"/>
    </row>
    <row r="50" spans="1:15">
      <c r="A50" s="2"/>
      <c r="B50" s="2"/>
      <c r="C50" s="2"/>
      <c r="D50" s="28"/>
      <c r="E50" s="28"/>
      <c r="F50" s="28"/>
      <c r="G50" s="28"/>
      <c r="H50" s="28"/>
      <c r="I50" s="28"/>
      <c r="J50" s="28"/>
      <c r="K50" s="28"/>
      <c r="L50" s="28"/>
      <c r="M50" s="2"/>
      <c r="N50" s="2"/>
    </row>
    <row r="51" spans="1:15" ht="15" thickBot="1">
      <c r="A51" s="3"/>
      <c r="B51" s="159" t="s">
        <v>15</v>
      </c>
      <c r="C51" s="44"/>
      <c r="D51" s="44"/>
      <c r="E51" s="44"/>
      <c r="F51" s="44"/>
      <c r="G51" s="44"/>
      <c r="H51" s="44"/>
      <c r="I51" s="44"/>
      <c r="J51" s="44"/>
      <c r="K51" s="3"/>
      <c r="L51" s="328">
        <f>L49-L41</f>
        <v>10433.208800000004</v>
      </c>
      <c r="M51" s="328"/>
      <c r="N51" s="2"/>
    </row>
    <row r="52" spans="1:15" ht="15" thickTop="1"/>
    <row r="54" spans="1:15">
      <c r="A54" s="315" t="s">
        <v>311</v>
      </c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6"/>
      <c r="O54" s="6"/>
    </row>
    <row r="56" spans="1:15">
      <c r="A56" s="152" t="s">
        <v>298</v>
      </c>
      <c r="B56" s="88"/>
      <c r="C56" s="88"/>
      <c r="D56" s="323" t="s">
        <v>299</v>
      </c>
      <c r="E56" s="323"/>
      <c r="F56" s="324" t="s">
        <v>300</v>
      </c>
      <c r="G56" s="324"/>
      <c r="H56" s="324" t="s">
        <v>301</v>
      </c>
      <c r="I56" s="324"/>
      <c r="J56" s="324" t="s">
        <v>302</v>
      </c>
      <c r="K56" s="324"/>
      <c r="L56" s="324" t="s">
        <v>303</v>
      </c>
      <c r="M56" s="324"/>
      <c r="N56" s="2"/>
    </row>
    <row r="57" spans="1:15">
      <c r="A57" s="153" t="s">
        <v>18</v>
      </c>
      <c r="B57" s="189"/>
      <c r="C57" s="189"/>
      <c r="D57" s="321" t="s">
        <v>20</v>
      </c>
      <c r="E57" s="321"/>
      <c r="F57" s="321" t="s">
        <v>19</v>
      </c>
      <c r="G57" s="321"/>
      <c r="H57" s="321" t="s">
        <v>25</v>
      </c>
      <c r="I57" s="321"/>
      <c r="J57" s="321" t="s">
        <v>48</v>
      </c>
      <c r="K57" s="321"/>
      <c r="L57" s="321" t="s">
        <v>49</v>
      </c>
      <c r="M57" s="321"/>
      <c r="N57" s="2"/>
    </row>
    <row r="58" spans="1:15">
      <c r="A58" s="2"/>
      <c r="B58" s="2"/>
      <c r="C58" s="2"/>
      <c r="D58" s="322"/>
      <c r="E58" s="322"/>
      <c r="F58" s="2"/>
      <c r="G58" s="2"/>
      <c r="H58" s="2"/>
      <c r="I58" s="2"/>
      <c r="J58" s="2"/>
      <c r="K58" s="2"/>
      <c r="L58" s="154"/>
      <c r="M58" s="2"/>
      <c r="N58" s="2"/>
    </row>
    <row r="59" spans="1:15">
      <c r="A59" s="155" t="s">
        <v>304</v>
      </c>
      <c r="B59" s="2"/>
      <c r="C59" s="2"/>
      <c r="D59" s="258"/>
      <c r="E59" s="258"/>
      <c r="F59" s="1"/>
      <c r="G59" s="2"/>
      <c r="H59" s="141"/>
      <c r="I59" s="2"/>
      <c r="J59" s="156"/>
      <c r="K59" s="2"/>
      <c r="L59" s="154"/>
      <c r="M59" s="2"/>
      <c r="N59" s="2"/>
    </row>
    <row r="60" spans="1:15">
      <c r="A60" s="155"/>
      <c r="B60" s="2"/>
      <c r="C60" s="2"/>
      <c r="D60" s="259"/>
      <c r="E60" s="28"/>
      <c r="F60" s="259"/>
      <c r="G60" s="28"/>
      <c r="H60" s="259"/>
      <c r="I60" s="28"/>
      <c r="J60" s="260"/>
      <c r="K60" s="28"/>
      <c r="L60" s="157"/>
      <c r="M60" s="2"/>
      <c r="N60" s="2"/>
    </row>
    <row r="61" spans="1:15">
      <c r="A61" s="2" t="s">
        <v>305</v>
      </c>
      <c r="B61" s="2"/>
      <c r="C61" s="2"/>
      <c r="D61" s="325">
        <v>1475.74</v>
      </c>
      <c r="E61" s="325"/>
      <c r="F61" s="326">
        <v>0.5</v>
      </c>
      <c r="G61" s="326"/>
      <c r="H61" s="325">
        <f>D61*F61</f>
        <v>737.87</v>
      </c>
      <c r="I61" s="325"/>
      <c r="J61" s="326">
        <v>0.5</v>
      </c>
      <c r="K61" s="326"/>
      <c r="L61" s="325">
        <f>D61*J61</f>
        <v>737.87</v>
      </c>
      <c r="M61" s="325"/>
      <c r="N61" s="2"/>
    </row>
    <row r="62" spans="1:15">
      <c r="A62" s="2" t="s">
        <v>306</v>
      </c>
      <c r="B62" s="2"/>
      <c r="C62" s="2"/>
      <c r="D62" s="325">
        <v>540.96</v>
      </c>
      <c r="E62" s="325"/>
      <c r="F62" s="326">
        <v>0.5</v>
      </c>
      <c r="G62" s="326"/>
      <c r="H62" s="325">
        <f t="shared" ref="H62:H64" si="4">D62*F62</f>
        <v>270.48</v>
      </c>
      <c r="I62" s="325"/>
      <c r="J62" s="326">
        <v>0.5</v>
      </c>
      <c r="K62" s="326"/>
      <c r="L62" s="325">
        <f t="shared" ref="L62:L64" si="5">D62*J62</f>
        <v>270.48</v>
      </c>
      <c r="M62" s="325"/>
      <c r="N62" s="2"/>
    </row>
    <row r="63" spans="1:15">
      <c r="A63" s="2" t="s">
        <v>307</v>
      </c>
      <c r="B63" s="2"/>
      <c r="C63" s="2"/>
      <c r="D63" s="325">
        <v>418.32</v>
      </c>
      <c r="E63" s="325"/>
      <c r="F63" s="326">
        <v>0.5</v>
      </c>
      <c r="G63" s="326"/>
      <c r="H63" s="325">
        <f t="shared" si="4"/>
        <v>209.16</v>
      </c>
      <c r="I63" s="325"/>
      <c r="J63" s="326">
        <v>0.5</v>
      </c>
      <c r="K63" s="326"/>
      <c r="L63" s="325">
        <f t="shared" si="5"/>
        <v>209.16</v>
      </c>
      <c r="M63" s="325"/>
      <c r="N63" s="2"/>
    </row>
    <row r="64" spans="1:15">
      <c r="A64" s="2" t="s">
        <v>308</v>
      </c>
      <c r="B64" s="2"/>
      <c r="C64" s="2"/>
      <c r="D64" s="325">
        <v>3825.92</v>
      </c>
      <c r="E64" s="325"/>
      <c r="F64" s="326">
        <v>0.5</v>
      </c>
      <c r="G64" s="326"/>
      <c r="H64" s="325">
        <f t="shared" si="4"/>
        <v>1912.96</v>
      </c>
      <c r="I64" s="325"/>
      <c r="J64" s="326">
        <v>0.5</v>
      </c>
      <c r="K64" s="326"/>
      <c r="L64" s="325">
        <f t="shared" si="5"/>
        <v>1912.96</v>
      </c>
      <c r="M64" s="325"/>
      <c r="N64" s="2"/>
    </row>
    <row r="65" spans="1:14">
      <c r="A65" s="37" t="s">
        <v>44</v>
      </c>
      <c r="B65" s="37"/>
      <c r="C65" s="37"/>
      <c r="D65" s="327">
        <f>SUM(D61:E64)</f>
        <v>6260.9400000000005</v>
      </c>
      <c r="E65" s="327"/>
      <c r="F65" s="327"/>
      <c r="G65" s="327"/>
      <c r="H65" s="327">
        <f>SUM(H61:I64)</f>
        <v>3130.4700000000003</v>
      </c>
      <c r="I65" s="327"/>
      <c r="J65" s="327"/>
      <c r="K65" s="327"/>
      <c r="L65" s="327">
        <f>SUM(L61:M64)</f>
        <v>3130.4700000000003</v>
      </c>
      <c r="M65" s="327"/>
      <c r="N65" s="2"/>
    </row>
    <row r="66" spans="1:14">
      <c r="A66" s="2"/>
      <c r="B66" s="2"/>
      <c r="C66" s="2"/>
      <c r="D66" s="261"/>
      <c r="E66" s="28"/>
      <c r="F66" s="28"/>
      <c r="G66" s="28"/>
      <c r="H66" s="28"/>
      <c r="I66" s="28"/>
      <c r="J66" s="28"/>
      <c r="K66" s="28"/>
      <c r="L66" s="157"/>
      <c r="M66" s="2"/>
      <c r="N66" s="2"/>
    </row>
    <row r="67" spans="1:14">
      <c r="A67" s="158" t="s">
        <v>309</v>
      </c>
      <c r="B67" s="2"/>
      <c r="C67" s="2"/>
      <c r="D67" s="261"/>
      <c r="E67" s="28"/>
      <c r="F67" s="28"/>
      <c r="G67" s="28"/>
      <c r="H67" s="28"/>
      <c r="I67" s="28"/>
      <c r="J67" s="28"/>
      <c r="K67" s="28"/>
      <c r="L67" s="157"/>
      <c r="M67" s="2"/>
      <c r="N67" s="2"/>
    </row>
    <row r="68" spans="1:14">
      <c r="A68" s="158"/>
      <c r="B68" s="2"/>
      <c r="C68" s="2"/>
      <c r="D68" s="261"/>
      <c r="E68" s="28"/>
      <c r="F68" s="28"/>
      <c r="G68" s="28"/>
      <c r="H68" s="28"/>
      <c r="I68" s="28"/>
      <c r="J68" s="28"/>
      <c r="K68" s="28"/>
      <c r="L68" s="157"/>
      <c r="M68" s="2"/>
      <c r="N68" s="2"/>
    </row>
    <row r="69" spans="1:14">
      <c r="A69" s="2" t="s">
        <v>305</v>
      </c>
      <c r="B69" s="2"/>
      <c r="C69" s="2"/>
      <c r="D69" s="325">
        <v>1475.74</v>
      </c>
      <c r="E69" s="325"/>
      <c r="F69" s="326">
        <v>0.2</v>
      </c>
      <c r="G69" s="326"/>
      <c r="H69" s="325">
        <f>D69*F69</f>
        <v>295.14800000000002</v>
      </c>
      <c r="I69" s="325"/>
      <c r="J69" s="326">
        <v>0.8</v>
      </c>
      <c r="K69" s="326"/>
      <c r="L69" s="325">
        <f>D69*J69</f>
        <v>1180.5920000000001</v>
      </c>
      <c r="M69" s="325"/>
      <c r="N69" s="2"/>
    </row>
    <row r="70" spans="1:14">
      <c r="A70" s="2" t="s">
        <v>306</v>
      </c>
      <c r="B70" s="2"/>
      <c r="C70" s="2"/>
      <c r="D70" s="325">
        <v>540.96</v>
      </c>
      <c r="E70" s="325"/>
      <c r="F70" s="326">
        <v>0.32</v>
      </c>
      <c r="G70" s="326"/>
      <c r="H70" s="325">
        <f>D70*F70</f>
        <v>173.10720000000001</v>
      </c>
      <c r="I70" s="325"/>
      <c r="J70" s="326">
        <v>0.68</v>
      </c>
      <c r="K70" s="326"/>
      <c r="L70" s="325">
        <f>D70*J70</f>
        <v>367.85280000000006</v>
      </c>
      <c r="M70" s="325"/>
      <c r="N70" s="2"/>
    </row>
    <row r="71" spans="1:14">
      <c r="A71" s="2" t="s">
        <v>307</v>
      </c>
      <c r="B71" s="2"/>
      <c r="C71" s="2"/>
      <c r="D71" s="325">
        <v>418.32</v>
      </c>
      <c r="E71" s="325"/>
      <c r="F71" s="326">
        <v>0.32</v>
      </c>
      <c r="G71" s="326"/>
      <c r="H71" s="325">
        <f>D71*F71</f>
        <v>133.86240000000001</v>
      </c>
      <c r="I71" s="325"/>
      <c r="J71" s="326">
        <v>0.68</v>
      </c>
      <c r="K71" s="326"/>
      <c r="L71" s="325">
        <f>D71*J71</f>
        <v>284.45760000000001</v>
      </c>
      <c r="M71" s="325"/>
      <c r="N71" s="2"/>
    </row>
    <row r="72" spans="1:14">
      <c r="A72" s="2" t="s">
        <v>308</v>
      </c>
      <c r="B72" s="2"/>
      <c r="C72" s="2"/>
      <c r="D72" s="325">
        <v>3825.92</v>
      </c>
      <c r="E72" s="325"/>
      <c r="F72" s="326">
        <v>0.32</v>
      </c>
      <c r="G72" s="326"/>
      <c r="H72" s="325">
        <f>D72*F72</f>
        <v>1224.2944</v>
      </c>
      <c r="I72" s="325"/>
      <c r="J72" s="326">
        <v>0.68</v>
      </c>
      <c r="K72" s="326"/>
      <c r="L72" s="325">
        <f>D72*J72</f>
        <v>2601.6256000000003</v>
      </c>
      <c r="M72" s="325"/>
      <c r="N72" s="2"/>
    </row>
    <row r="73" spans="1:14">
      <c r="A73" s="37" t="s">
        <v>44</v>
      </c>
      <c r="B73" s="37"/>
      <c r="C73" s="37"/>
      <c r="D73" s="327">
        <f>SUM(D69:E72)</f>
        <v>6260.9400000000005</v>
      </c>
      <c r="E73" s="327"/>
      <c r="F73" s="327"/>
      <c r="G73" s="327"/>
      <c r="H73" s="327">
        <f>SUM(H69:I72)</f>
        <v>1826.412</v>
      </c>
      <c r="I73" s="327"/>
      <c r="J73" s="327"/>
      <c r="K73" s="327"/>
      <c r="L73" s="327">
        <f>SUM(L69:M72)</f>
        <v>4434.5280000000002</v>
      </c>
      <c r="M73" s="327"/>
      <c r="N73" s="2"/>
    </row>
    <row r="74" spans="1:14">
      <c r="A74" s="2"/>
      <c r="B74" s="2"/>
      <c r="C74" s="2"/>
      <c r="D74" s="28"/>
      <c r="E74" s="28"/>
      <c r="F74" s="28"/>
      <c r="G74" s="28"/>
      <c r="H74" s="28"/>
      <c r="I74" s="28"/>
      <c r="J74" s="28"/>
      <c r="K74" s="28"/>
      <c r="L74" s="28"/>
      <c r="M74" s="2"/>
      <c r="N74" s="2"/>
    </row>
    <row r="75" spans="1:14" ht="15" thickBot="1">
      <c r="A75" s="3"/>
      <c r="B75" s="159" t="s">
        <v>15</v>
      </c>
      <c r="C75" s="44"/>
      <c r="D75" s="44"/>
      <c r="E75" s="44"/>
      <c r="F75" s="44"/>
      <c r="G75" s="44"/>
      <c r="H75" s="44"/>
      <c r="I75" s="44"/>
      <c r="J75" s="44"/>
      <c r="K75" s="3"/>
      <c r="L75" s="328">
        <f>L73-L65</f>
        <v>1304.058</v>
      </c>
      <c r="M75" s="328"/>
      <c r="N75" s="2"/>
    </row>
    <row r="76" spans="1:14" ht="15" thickTop="1"/>
    <row r="77" spans="1:14" ht="15" thickBot="1">
      <c r="A77" s="3"/>
      <c r="B77" s="159" t="s">
        <v>312</v>
      </c>
      <c r="C77" s="44"/>
      <c r="D77" s="44"/>
      <c r="E77" s="44"/>
      <c r="F77" s="44"/>
      <c r="G77" s="44"/>
      <c r="H77" s="44"/>
      <c r="I77" s="44"/>
      <c r="J77" s="44"/>
      <c r="K77" s="3"/>
      <c r="L77" s="328">
        <f>L27+L51+L75</f>
        <v>-35535.451799999901</v>
      </c>
      <c r="M77" s="328"/>
      <c r="N77" s="2"/>
    </row>
    <row r="78" spans="1:14" ht="15" thickTop="1"/>
    <row r="80" spans="1:14" ht="45" customHeight="1">
      <c r="B80" s="316" t="s">
        <v>419</v>
      </c>
      <c r="C80" s="316"/>
      <c r="D80" s="316"/>
      <c r="E80" s="316"/>
      <c r="F80" s="316"/>
      <c r="G80" s="316"/>
      <c r="H80" s="316"/>
      <c r="I80" s="316"/>
      <c r="J80" s="316"/>
      <c r="K80" s="316"/>
      <c r="L80" s="316"/>
    </row>
    <row r="81" spans="2:7">
      <c r="B81" s="162"/>
      <c r="C81" s="160"/>
      <c r="D81" s="161"/>
      <c r="E81" s="161"/>
      <c r="F81" s="161"/>
      <c r="G81" s="161"/>
    </row>
    <row r="82" spans="2:7">
      <c r="B82" s="9"/>
      <c r="C82" s="160"/>
      <c r="D82" s="161"/>
      <c r="E82" s="161"/>
      <c r="F82" s="161"/>
      <c r="G82" s="161"/>
    </row>
  </sheetData>
  <mergeCells count="193">
    <mergeCell ref="L75:M75"/>
    <mergeCell ref="L77:M77"/>
    <mergeCell ref="B80:L80"/>
    <mergeCell ref="D72:E72"/>
    <mergeCell ref="F72:G72"/>
    <mergeCell ref="H72:I72"/>
    <mergeCell ref="J72:K72"/>
    <mergeCell ref="L72:M72"/>
    <mergeCell ref="D73:E73"/>
    <mergeCell ref="F73:G73"/>
    <mergeCell ref="H73:I73"/>
    <mergeCell ref="J73:K73"/>
    <mergeCell ref="L73:M73"/>
    <mergeCell ref="D70:E70"/>
    <mergeCell ref="F70:G70"/>
    <mergeCell ref="H70:I70"/>
    <mergeCell ref="J70:K70"/>
    <mergeCell ref="L70:M70"/>
    <mergeCell ref="D71:E71"/>
    <mergeCell ref="F71:G71"/>
    <mergeCell ref="H71:I71"/>
    <mergeCell ref="J71:K71"/>
    <mergeCell ref="L71:M71"/>
    <mergeCell ref="D65:E65"/>
    <mergeCell ref="F65:G65"/>
    <mergeCell ref="H65:I65"/>
    <mergeCell ref="J65:K65"/>
    <mergeCell ref="L65:M65"/>
    <mergeCell ref="D69:E69"/>
    <mergeCell ref="F69:G69"/>
    <mergeCell ref="H69:I69"/>
    <mergeCell ref="J69:K69"/>
    <mergeCell ref="L69:M69"/>
    <mergeCell ref="D63:E63"/>
    <mergeCell ref="F63:G63"/>
    <mergeCell ref="H63:I63"/>
    <mergeCell ref="J63:K63"/>
    <mergeCell ref="L63:M63"/>
    <mergeCell ref="D64:E64"/>
    <mergeCell ref="F64:G64"/>
    <mergeCell ref="H64:I64"/>
    <mergeCell ref="J64:K64"/>
    <mergeCell ref="L64:M64"/>
    <mergeCell ref="D61:E61"/>
    <mergeCell ref="F61:G61"/>
    <mergeCell ref="H61:I61"/>
    <mergeCell ref="J61:K61"/>
    <mergeCell ref="L61:M61"/>
    <mergeCell ref="D62:E62"/>
    <mergeCell ref="F62:G62"/>
    <mergeCell ref="H62:I62"/>
    <mergeCell ref="J62:K62"/>
    <mergeCell ref="L62:M62"/>
    <mergeCell ref="D57:E57"/>
    <mergeCell ref="F57:G57"/>
    <mergeCell ref="H57:I57"/>
    <mergeCell ref="J57:K57"/>
    <mergeCell ref="L57:M57"/>
    <mergeCell ref="D58:E58"/>
    <mergeCell ref="L51:M51"/>
    <mergeCell ref="A54:M54"/>
    <mergeCell ref="D56:E56"/>
    <mergeCell ref="F56:G56"/>
    <mergeCell ref="H56:I56"/>
    <mergeCell ref="J56:K56"/>
    <mergeCell ref="L56:M56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D46:E46"/>
    <mergeCell ref="F46:G46"/>
    <mergeCell ref="H46:I46"/>
    <mergeCell ref="J46:K46"/>
    <mergeCell ref="L46:M46"/>
    <mergeCell ref="D47:E47"/>
    <mergeCell ref="F47:G47"/>
    <mergeCell ref="H47:I47"/>
    <mergeCell ref="J47:K47"/>
    <mergeCell ref="L47:M47"/>
    <mergeCell ref="D41:E41"/>
    <mergeCell ref="F41:G41"/>
    <mergeCell ref="H41:I41"/>
    <mergeCell ref="J41:K41"/>
    <mergeCell ref="L41:M41"/>
    <mergeCell ref="D45:E45"/>
    <mergeCell ref="F45:G45"/>
    <mergeCell ref="H45:I45"/>
    <mergeCell ref="J45:K45"/>
    <mergeCell ref="L45:M45"/>
    <mergeCell ref="D39:E39"/>
    <mergeCell ref="F39:G39"/>
    <mergeCell ref="H39:I39"/>
    <mergeCell ref="J39:K39"/>
    <mergeCell ref="L39:M39"/>
    <mergeCell ref="D40:E40"/>
    <mergeCell ref="F40:G40"/>
    <mergeCell ref="H40:I40"/>
    <mergeCell ref="J40:K40"/>
    <mergeCell ref="L40:M40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D33:E33"/>
    <mergeCell ref="F33:G33"/>
    <mergeCell ref="H33:I33"/>
    <mergeCell ref="J33:K33"/>
    <mergeCell ref="L33:M33"/>
    <mergeCell ref="D34:E34"/>
    <mergeCell ref="L27:M27"/>
    <mergeCell ref="A30:M30"/>
    <mergeCell ref="D32:E32"/>
    <mergeCell ref="F32:G32"/>
    <mergeCell ref="H32:I32"/>
    <mergeCell ref="J32:K32"/>
    <mergeCell ref="L32:M32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D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17:E17"/>
    <mergeCell ref="F17:G17"/>
    <mergeCell ref="H17:I17"/>
    <mergeCell ref="J17:K17"/>
    <mergeCell ref="L17:M17"/>
    <mergeCell ref="D21:E21"/>
    <mergeCell ref="F21:G21"/>
    <mergeCell ref="H21:I21"/>
    <mergeCell ref="J21:K21"/>
    <mergeCell ref="L21:M21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3:E13"/>
    <mergeCell ref="F13:G13"/>
    <mergeCell ref="H13:I13"/>
    <mergeCell ref="J13:K13"/>
    <mergeCell ref="L13:M13"/>
    <mergeCell ref="D14:E14"/>
    <mergeCell ref="F14:G14"/>
    <mergeCell ref="H14:I14"/>
    <mergeCell ref="J14:K14"/>
    <mergeCell ref="L14:M14"/>
    <mergeCell ref="D9:E9"/>
    <mergeCell ref="F9:G9"/>
    <mergeCell ref="H9:I9"/>
    <mergeCell ref="J9:K9"/>
    <mergeCell ref="L9:M9"/>
    <mergeCell ref="D10:E10"/>
    <mergeCell ref="A3:M3"/>
    <mergeCell ref="A4:M4"/>
    <mergeCell ref="A6:M6"/>
    <mergeCell ref="D8:E8"/>
    <mergeCell ref="F8:G8"/>
    <mergeCell ref="H8:I8"/>
    <mergeCell ref="J8:K8"/>
    <mergeCell ref="L8:M8"/>
  </mergeCells>
  <pageMargins left="0.7" right="0.7" top="0.75" bottom="0.75" header="0.3" footer="0.3"/>
  <pageSetup scale="76" orientation="portrait" r:id="rId1"/>
  <headerFooter>
    <oddFooter>&amp;RExhibit JW-2
Page &amp;P of &amp;N</oddFooter>
  </headerFooter>
  <rowBreaks count="1" manualBreakCount="1">
    <brk id="53" max="12" man="1"/>
  </rowBreaks>
  <colBreaks count="1" manualBreakCount="1">
    <brk id="13" max="1048575" man="1"/>
  </colBreaks>
  <ignoredErrors>
    <ignoredError sqref="A9:M9 A33:M33 A57:M5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66BB-8467-40CA-B958-D205A8E19BC8}">
  <sheetPr>
    <pageSetUpPr fitToPage="1"/>
  </sheetPr>
  <dimension ref="A1:AL107"/>
  <sheetViews>
    <sheetView view="pageBreakPreview" zoomScaleNormal="100" zoomScaleSheetLayoutView="100" workbookViewId="0">
      <pane ySplit="10" topLeftCell="A11" activePane="bottomLeft" state="frozen"/>
      <selection activeCell="C85" sqref="C85"/>
      <selection pane="bottomLeft" activeCell="C45" sqref="C45"/>
    </sheetView>
  </sheetViews>
  <sheetFormatPr defaultColWidth="9.15234375" defaultRowHeight="12.45"/>
  <cols>
    <col min="1" max="1" width="5.84375" style="142" customWidth="1"/>
    <col min="2" max="2" width="1.3046875" style="2" customWidth="1"/>
    <col min="3" max="3" width="8.84375" style="1" customWidth="1"/>
    <col min="4" max="4" width="8.84375" style="1" hidden="1" customWidth="1"/>
    <col min="5" max="5" width="1.3828125" style="1" customWidth="1"/>
    <col min="6" max="6" width="11.15234375" style="2" customWidth="1"/>
    <col min="7" max="7" width="8.3046875" style="2" bestFit="1" customWidth="1"/>
    <col min="8" max="8" width="10.3046875" style="2" bestFit="1" customWidth="1"/>
    <col min="9" max="9" width="9.3046875" style="2" bestFit="1" customWidth="1"/>
    <col min="10" max="10" width="1.3046875" style="2" customWidth="1"/>
    <col min="11" max="11" width="9.69140625" style="2" bestFit="1" customWidth="1"/>
    <col min="12" max="12" width="8.69140625" style="2" bestFit="1" customWidth="1"/>
    <col min="13" max="13" width="10.3046875" style="2" bestFit="1" customWidth="1"/>
    <col min="14" max="14" width="9.69140625" style="2" bestFit="1" customWidth="1"/>
    <col min="15" max="15" width="1.15234375" style="2" customWidth="1"/>
    <col min="16" max="16" width="11.3046875" style="2" customWidth="1"/>
    <col min="17" max="17" width="0.84375" style="2" customWidth="1"/>
    <col min="18" max="18" width="9.69140625" style="2" bestFit="1" customWidth="1"/>
    <col min="19" max="19" width="8.69140625" style="2" bestFit="1" customWidth="1"/>
    <col min="20" max="20" width="10.3046875" style="2" bestFit="1" customWidth="1"/>
    <col min="21" max="21" width="9.69140625" style="177" bestFit="1" customWidth="1"/>
    <col min="22" max="22" width="1" style="2" customWidth="1"/>
    <col min="23" max="23" width="11.53515625" style="2" customWidth="1"/>
    <col min="24" max="24" width="5.3828125" style="1" bestFit="1" customWidth="1"/>
    <col min="25" max="16384" width="9.15234375" style="2"/>
  </cols>
  <sheetData>
    <row r="1" spans="1:38">
      <c r="W1" s="5" t="s">
        <v>330</v>
      </c>
    </row>
    <row r="2" spans="1:38">
      <c r="K2" s="139"/>
    </row>
    <row r="3" spans="1:38">
      <c r="A3" s="314" t="s">
        <v>254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</row>
    <row r="4" spans="1:38">
      <c r="A4" s="318" t="s">
        <v>337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</row>
    <row r="6" spans="1:38" s="140" customFormat="1">
      <c r="A6" s="315" t="s">
        <v>252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225"/>
    </row>
    <row r="7" spans="1:38">
      <c r="V7" s="140"/>
    </row>
    <row r="8" spans="1:38">
      <c r="C8" s="32"/>
      <c r="D8" s="32"/>
      <c r="F8" s="336" t="s">
        <v>283</v>
      </c>
      <c r="G8" s="336"/>
      <c r="H8" s="336"/>
      <c r="I8" s="32"/>
      <c r="K8" s="336" t="s">
        <v>284</v>
      </c>
      <c r="L8" s="336"/>
      <c r="M8" s="336"/>
      <c r="N8" s="336"/>
      <c r="O8" s="1"/>
      <c r="P8" s="337" t="s">
        <v>402</v>
      </c>
      <c r="R8" s="336" t="s">
        <v>285</v>
      </c>
      <c r="S8" s="336"/>
      <c r="T8" s="336"/>
      <c r="U8" s="336"/>
      <c r="V8" s="140"/>
      <c r="W8" s="337" t="s">
        <v>286</v>
      </c>
    </row>
    <row r="9" spans="1:38" ht="37.299999999999997">
      <c r="A9" s="142" t="s">
        <v>0</v>
      </c>
      <c r="C9" s="1" t="s">
        <v>287</v>
      </c>
      <c r="D9" s="1" t="s">
        <v>287</v>
      </c>
      <c r="F9" s="31" t="s">
        <v>288</v>
      </c>
      <c r="G9" s="31" t="s">
        <v>289</v>
      </c>
      <c r="H9" s="31" t="s">
        <v>403</v>
      </c>
      <c r="I9" s="31" t="s">
        <v>404</v>
      </c>
      <c r="J9" s="1"/>
      <c r="K9" s="31" t="s">
        <v>288</v>
      </c>
      <c r="L9" s="31" t="s">
        <v>289</v>
      </c>
      <c r="M9" s="31" t="s">
        <v>403</v>
      </c>
      <c r="N9" s="31" t="s">
        <v>44</v>
      </c>
      <c r="O9" s="31"/>
      <c r="P9" s="337"/>
      <c r="Q9" s="31"/>
      <c r="R9" s="31" t="s">
        <v>288</v>
      </c>
      <c r="S9" s="31" t="s">
        <v>289</v>
      </c>
      <c r="T9" s="31" t="s">
        <v>403</v>
      </c>
      <c r="U9" s="224" t="s">
        <v>44</v>
      </c>
      <c r="V9" s="225"/>
      <c r="W9" s="337"/>
      <c r="X9" s="224" t="s">
        <v>295</v>
      </c>
    </row>
    <row r="10" spans="1:38">
      <c r="A10" s="269" t="s">
        <v>21</v>
      </c>
      <c r="C10" s="33">
        <v>1</v>
      </c>
      <c r="D10" s="33">
        <v>1</v>
      </c>
      <c r="F10" s="33">
        <f>D10+1</f>
        <v>2</v>
      </c>
      <c r="G10" s="33">
        <f>F10+1</f>
        <v>3</v>
      </c>
      <c r="H10" s="33"/>
      <c r="I10" s="33"/>
      <c r="J10" s="1"/>
      <c r="K10" s="33"/>
      <c r="L10" s="33"/>
      <c r="M10" s="33"/>
      <c r="N10" s="33"/>
      <c r="O10" s="31"/>
      <c r="P10" s="33"/>
      <c r="Q10" s="31"/>
      <c r="R10" s="33"/>
      <c r="S10" s="33"/>
      <c r="T10" s="33"/>
      <c r="U10" s="226"/>
      <c r="V10" s="225"/>
      <c r="W10" s="33"/>
    </row>
    <row r="11" spans="1:38">
      <c r="J11" s="1"/>
      <c r="O11" s="31"/>
      <c r="Q11" s="31"/>
      <c r="V11" s="225"/>
    </row>
    <row r="12" spans="1:38" ht="13.3" hidden="1" thickTop="1" thickBot="1">
      <c r="G12" s="227"/>
      <c r="H12" s="227"/>
      <c r="I12" s="227"/>
      <c r="J12" s="227"/>
      <c r="K12" s="228" t="s">
        <v>284</v>
      </c>
      <c r="L12" s="229"/>
      <c r="M12" s="229"/>
      <c r="N12" s="230"/>
      <c r="O12" s="31"/>
      <c r="P12" s="31" t="s">
        <v>405</v>
      </c>
      <c r="Q12" s="31"/>
      <c r="R12" s="329" t="s">
        <v>406</v>
      </c>
      <c r="S12" s="330"/>
      <c r="T12" s="330"/>
      <c r="U12" s="331"/>
      <c r="V12" s="225"/>
      <c r="AJ12" s="232"/>
      <c r="AL12" s="232"/>
    </row>
    <row r="13" spans="1:38" ht="13.3" hidden="1" thickTop="1" thickBot="1">
      <c r="C13" s="233"/>
      <c r="D13" s="233"/>
      <c r="E13" s="233"/>
      <c r="F13" s="332" t="s">
        <v>283</v>
      </c>
      <c r="G13" s="333"/>
      <c r="H13" s="1"/>
      <c r="I13" s="1"/>
      <c r="J13" s="1"/>
      <c r="K13" s="234"/>
      <c r="N13" s="235"/>
      <c r="O13" s="31"/>
      <c r="P13" s="31" t="s">
        <v>92</v>
      </c>
      <c r="Q13" s="31"/>
      <c r="R13" s="334" t="s">
        <v>407</v>
      </c>
      <c r="S13" s="335"/>
      <c r="T13" s="236"/>
      <c r="U13" s="237"/>
      <c r="V13" s="225"/>
      <c r="Y13" s="1"/>
      <c r="Z13" s="1"/>
      <c r="AA13" s="1"/>
      <c r="AB13" s="1"/>
      <c r="AC13" s="1"/>
      <c r="AD13" s="1"/>
      <c r="AE13" s="1"/>
      <c r="AF13" s="1"/>
      <c r="AJ13" s="232"/>
      <c r="AL13" s="232"/>
    </row>
    <row r="14" spans="1:38" s="1" customFormat="1" ht="12.9" hidden="1" thickBot="1">
      <c r="A14" s="142"/>
      <c r="C14" s="1" t="s">
        <v>408</v>
      </c>
      <c r="D14" s="1" t="s">
        <v>408</v>
      </c>
      <c r="F14" s="238" t="s">
        <v>409</v>
      </c>
      <c r="G14" s="239" t="s">
        <v>410</v>
      </c>
      <c r="H14" s="240"/>
      <c r="I14" s="240"/>
      <c r="J14" s="231"/>
      <c r="K14" s="238" t="s">
        <v>288</v>
      </c>
      <c r="L14" s="241" t="s">
        <v>289</v>
      </c>
      <c r="M14" s="242"/>
      <c r="N14" s="243" t="s">
        <v>44</v>
      </c>
      <c r="O14" s="31"/>
      <c r="P14" s="141" t="s">
        <v>411</v>
      </c>
      <c r="Q14" s="31"/>
      <c r="R14" s="244" t="s">
        <v>288</v>
      </c>
      <c r="S14" s="244" t="s">
        <v>289</v>
      </c>
      <c r="T14" s="244"/>
      <c r="U14" s="245" t="s">
        <v>44</v>
      </c>
      <c r="V14" s="225"/>
      <c r="X14" s="233"/>
      <c r="Y14" s="233"/>
      <c r="Z14" s="233"/>
      <c r="AA14" s="233"/>
      <c r="AB14" s="233"/>
      <c r="AC14" s="233"/>
      <c r="AD14" s="233"/>
      <c r="AE14" s="233"/>
      <c r="AF14" s="233"/>
      <c r="AI14" s="246"/>
      <c r="AK14" s="247"/>
    </row>
    <row r="15" spans="1:38">
      <c r="A15" s="142">
        <v>1</v>
      </c>
      <c r="D15" s="1">
        <v>81</v>
      </c>
      <c r="F15" s="91">
        <v>2072</v>
      </c>
      <c r="G15" s="91">
        <v>21.5</v>
      </c>
      <c r="H15" s="91">
        <v>11</v>
      </c>
      <c r="I15" s="91">
        <v>8</v>
      </c>
      <c r="J15" s="91"/>
      <c r="K15" s="177">
        <f>F15*25.87</f>
        <v>53602.64</v>
      </c>
      <c r="L15" s="177">
        <f>(G15*25.87)*1.5</f>
        <v>834.30750000000012</v>
      </c>
      <c r="M15" s="177">
        <f>(H15*25.87)*2</f>
        <v>569.14</v>
      </c>
      <c r="N15" s="177">
        <f>SUM(K15:M15)</f>
        <v>55006.087500000001</v>
      </c>
      <c r="O15" s="31"/>
      <c r="P15" s="248">
        <v>27.55</v>
      </c>
      <c r="Q15" s="31"/>
      <c r="R15" s="177">
        <f>2080*P15</f>
        <v>57304</v>
      </c>
      <c r="S15" s="177">
        <f>(P15*1.5)*(G15-I15)</f>
        <v>557.88750000000005</v>
      </c>
      <c r="T15" s="177">
        <f>(P15*2)*H15</f>
        <v>606.1</v>
      </c>
      <c r="U15" s="177">
        <f>SUM(R15:T15)</f>
        <v>58467.987499999996</v>
      </c>
      <c r="V15" s="225"/>
      <c r="W15" s="177">
        <f>U15-N15</f>
        <v>3461.8999999999942</v>
      </c>
      <c r="Z15" s="270"/>
    </row>
    <row r="16" spans="1:38">
      <c r="A16" s="142">
        <f>A15+1</f>
        <v>2</v>
      </c>
      <c r="D16" s="1">
        <v>86</v>
      </c>
      <c r="F16" s="91">
        <v>2080</v>
      </c>
      <c r="G16" s="91"/>
      <c r="H16" s="91"/>
      <c r="I16" s="91"/>
      <c r="J16" s="91"/>
      <c r="K16" s="177">
        <f>F16*60</f>
        <v>124800</v>
      </c>
      <c r="L16" s="177"/>
      <c r="M16" s="177"/>
      <c r="N16" s="177">
        <f>SUM(K16:M16)</f>
        <v>124800</v>
      </c>
      <c r="O16" s="31"/>
      <c r="P16" s="248">
        <v>64.400000000000006</v>
      </c>
      <c r="Q16" s="31"/>
      <c r="R16" s="177">
        <f t="shared" ref="R16:R84" si="0">2080*P16</f>
        <v>133952</v>
      </c>
      <c r="S16" s="177"/>
      <c r="T16" s="177"/>
      <c r="U16" s="177">
        <f t="shared" ref="U16:U84" si="1">SUM(R16:T16)</f>
        <v>133952</v>
      </c>
      <c r="V16" s="225"/>
      <c r="W16" s="177">
        <f t="shared" ref="W16:W84" si="2">U16-N16</f>
        <v>9152</v>
      </c>
      <c r="Z16" s="270"/>
    </row>
    <row r="17" spans="1:26">
      <c r="A17" s="142">
        <f t="shared" ref="A17:A80" si="3">A16+1</f>
        <v>3</v>
      </c>
      <c r="D17" s="1">
        <v>107</v>
      </c>
      <c r="F17" s="91">
        <v>2072</v>
      </c>
      <c r="G17" s="91">
        <v>12</v>
      </c>
      <c r="H17" s="91">
        <v>12</v>
      </c>
      <c r="I17" s="91">
        <v>8</v>
      </c>
      <c r="J17" s="91"/>
      <c r="K17" s="177">
        <f>F17*39.2</f>
        <v>81222.400000000009</v>
      </c>
      <c r="L17" s="177">
        <f>(G17*39.2)*1.5</f>
        <v>705.6</v>
      </c>
      <c r="M17" s="177">
        <f>(H17*39.2)*2</f>
        <v>940.80000000000007</v>
      </c>
      <c r="N17" s="177">
        <f t="shared" ref="N17:N80" si="4">SUM(K17:M17)</f>
        <v>82868.800000000017</v>
      </c>
      <c r="O17" s="31"/>
      <c r="P17" s="248">
        <v>41.55</v>
      </c>
      <c r="Q17" s="31"/>
      <c r="R17" s="177">
        <f>2080*P17</f>
        <v>86424</v>
      </c>
      <c r="S17" s="177">
        <f>(P17*1.5)*(G17-I17)</f>
        <v>249.29999999999998</v>
      </c>
      <c r="T17" s="177">
        <f>(P17*2)*H17</f>
        <v>997.19999999999993</v>
      </c>
      <c r="U17" s="177">
        <f t="shared" si="1"/>
        <v>87670.5</v>
      </c>
      <c r="V17" s="225"/>
      <c r="W17" s="177">
        <f t="shared" si="2"/>
        <v>4801.6999999999825</v>
      </c>
      <c r="Z17" s="270"/>
    </row>
    <row r="18" spans="1:26">
      <c r="A18" s="142">
        <f t="shared" si="3"/>
        <v>4</v>
      </c>
      <c r="D18" s="1">
        <v>110</v>
      </c>
      <c r="F18" s="91">
        <v>2080</v>
      </c>
      <c r="G18" s="91"/>
      <c r="H18" s="91"/>
      <c r="I18" s="91"/>
      <c r="J18" s="91"/>
      <c r="K18" s="177">
        <f>F18*54.82</f>
        <v>114025.60000000001</v>
      </c>
      <c r="L18" s="177"/>
      <c r="M18" s="177"/>
      <c r="N18" s="177">
        <f t="shared" si="4"/>
        <v>114025.60000000001</v>
      </c>
      <c r="O18" s="31"/>
      <c r="P18" s="248">
        <v>57.56</v>
      </c>
      <c r="Q18" s="31"/>
      <c r="R18" s="177">
        <f t="shared" si="0"/>
        <v>119724.8</v>
      </c>
      <c r="S18" s="177"/>
      <c r="T18" s="177"/>
      <c r="U18" s="177">
        <f t="shared" si="1"/>
        <v>119724.8</v>
      </c>
      <c r="V18" s="225"/>
      <c r="W18" s="177">
        <f t="shared" si="2"/>
        <v>5699.1999999999971</v>
      </c>
      <c r="Z18" s="270"/>
    </row>
    <row r="19" spans="1:26">
      <c r="A19" s="142">
        <f t="shared" si="3"/>
        <v>5</v>
      </c>
      <c r="D19" s="1">
        <v>120</v>
      </c>
      <c r="F19" s="91">
        <v>2080</v>
      </c>
      <c r="G19" s="91"/>
      <c r="H19" s="91"/>
      <c r="I19" s="91"/>
      <c r="J19" s="91"/>
      <c r="K19" s="177">
        <f>F19*54.82</f>
        <v>114025.60000000001</v>
      </c>
      <c r="L19" s="177"/>
      <c r="M19" s="177"/>
      <c r="N19" s="177">
        <f t="shared" si="4"/>
        <v>114025.60000000001</v>
      </c>
      <c r="O19" s="31"/>
      <c r="P19" s="248">
        <v>57.56</v>
      </c>
      <c r="Q19" s="31"/>
      <c r="R19" s="177">
        <f t="shared" si="0"/>
        <v>119724.8</v>
      </c>
      <c r="S19" s="177"/>
      <c r="T19" s="177"/>
      <c r="U19" s="177">
        <f t="shared" si="1"/>
        <v>119724.8</v>
      </c>
      <c r="V19" s="225"/>
      <c r="W19" s="177">
        <f t="shared" si="2"/>
        <v>5699.1999999999971</v>
      </c>
      <c r="Z19" s="270"/>
    </row>
    <row r="20" spans="1:26">
      <c r="A20" s="142">
        <f t="shared" si="3"/>
        <v>6</v>
      </c>
      <c r="D20" s="1">
        <v>122</v>
      </c>
      <c r="F20" s="91">
        <v>2072</v>
      </c>
      <c r="G20" s="91">
        <v>33.5</v>
      </c>
      <c r="H20" s="91">
        <v>15</v>
      </c>
      <c r="I20" s="91">
        <v>8</v>
      </c>
      <c r="J20" s="91"/>
      <c r="K20" s="177">
        <f>F20*32.19</f>
        <v>66697.679999999993</v>
      </c>
      <c r="L20" s="177">
        <f>(G20*32.19)*1.5</f>
        <v>1617.5475000000001</v>
      </c>
      <c r="M20" s="177">
        <f>(H20*32.19)*2</f>
        <v>965.69999999999993</v>
      </c>
      <c r="N20" s="177">
        <f t="shared" si="4"/>
        <v>69280.927499999991</v>
      </c>
      <c r="O20" s="31"/>
      <c r="P20" s="248">
        <v>33.799999999999997</v>
      </c>
      <c r="Q20" s="31"/>
      <c r="R20" s="177">
        <f t="shared" si="0"/>
        <v>70304</v>
      </c>
      <c r="S20" s="177">
        <f>(P20*1.5)*(G20-I20)</f>
        <v>1292.8499999999999</v>
      </c>
      <c r="T20" s="177">
        <f>(P20*2)*H20</f>
        <v>1013.9999999999999</v>
      </c>
      <c r="U20" s="177">
        <f t="shared" si="1"/>
        <v>72610.850000000006</v>
      </c>
      <c r="V20" s="225"/>
      <c r="W20" s="177">
        <f t="shared" si="2"/>
        <v>3329.9225000000151</v>
      </c>
      <c r="Z20" s="270"/>
    </row>
    <row r="21" spans="1:26">
      <c r="A21" s="142">
        <f t="shared" si="3"/>
        <v>7</v>
      </c>
      <c r="D21" s="1">
        <v>127</v>
      </c>
      <c r="F21" s="91">
        <v>2072</v>
      </c>
      <c r="G21" s="91">
        <v>33.5</v>
      </c>
      <c r="H21" s="91">
        <v>17</v>
      </c>
      <c r="I21" s="91">
        <v>8</v>
      </c>
      <c r="J21" s="91"/>
      <c r="K21" s="177">
        <f>F21*33.65</f>
        <v>69722.8</v>
      </c>
      <c r="L21" s="177">
        <f>(G21*33.65)*1.5</f>
        <v>1690.9124999999999</v>
      </c>
      <c r="M21" s="177">
        <f>(H21*33.65)*2</f>
        <v>1144.0999999999999</v>
      </c>
      <c r="N21" s="177">
        <f t="shared" si="4"/>
        <v>72557.812500000015</v>
      </c>
      <c r="O21" s="31"/>
      <c r="P21" s="248">
        <v>35.33</v>
      </c>
      <c r="Q21" s="31"/>
      <c r="R21" s="177">
        <f t="shared" si="0"/>
        <v>73486.399999999994</v>
      </c>
      <c r="S21" s="177">
        <f>(P21*1.5)*(G21-I21)</f>
        <v>1351.3724999999999</v>
      </c>
      <c r="T21" s="177">
        <f>(P21*2)*H21</f>
        <v>1201.22</v>
      </c>
      <c r="U21" s="177">
        <f t="shared" si="1"/>
        <v>76038.992499999993</v>
      </c>
      <c r="V21" s="225"/>
      <c r="W21" s="177">
        <f t="shared" si="2"/>
        <v>3481.1799999999785</v>
      </c>
      <c r="Z21" s="270"/>
    </row>
    <row r="22" spans="1:26">
      <c r="A22" s="142">
        <f t="shared" si="3"/>
        <v>8</v>
      </c>
      <c r="D22" s="1">
        <v>131</v>
      </c>
      <c r="F22" s="91">
        <v>2072</v>
      </c>
      <c r="G22" s="91">
        <v>38</v>
      </c>
      <c r="H22" s="91">
        <v>11.5</v>
      </c>
      <c r="I22" s="91">
        <v>8</v>
      </c>
      <c r="J22" s="91"/>
      <c r="K22" s="177">
        <f>F22*26.33</f>
        <v>54555.759999999995</v>
      </c>
      <c r="L22" s="177">
        <f>(G22*26.33)*1.5</f>
        <v>1500.81</v>
      </c>
      <c r="M22" s="177">
        <f>(H22*26.33)*2</f>
        <v>605.58999999999992</v>
      </c>
      <c r="N22" s="177">
        <f t="shared" si="4"/>
        <v>56662.159999999989</v>
      </c>
      <c r="O22" s="31"/>
      <c r="P22" s="248">
        <v>28.04</v>
      </c>
      <c r="Q22" s="31"/>
      <c r="R22" s="177">
        <f t="shared" si="0"/>
        <v>58323.199999999997</v>
      </c>
      <c r="S22" s="177">
        <f>(P22*1.5)*(G22-I22)</f>
        <v>1261.8000000000002</v>
      </c>
      <c r="T22" s="177">
        <f>(P22*2)*H22</f>
        <v>644.91999999999996</v>
      </c>
      <c r="U22" s="177">
        <f t="shared" si="1"/>
        <v>60229.919999999998</v>
      </c>
      <c r="V22" s="225"/>
      <c r="W22" s="177">
        <f t="shared" si="2"/>
        <v>3567.7600000000093</v>
      </c>
      <c r="Z22" s="270"/>
    </row>
    <row r="23" spans="1:26">
      <c r="A23" s="142">
        <f t="shared" si="3"/>
        <v>9</v>
      </c>
      <c r="D23" s="1">
        <v>133</v>
      </c>
      <c r="F23" s="91">
        <v>2072</v>
      </c>
      <c r="G23" s="91">
        <v>199</v>
      </c>
      <c r="H23" s="91">
        <v>22</v>
      </c>
      <c r="I23" s="91">
        <v>8</v>
      </c>
      <c r="J23" s="91"/>
      <c r="K23" s="177">
        <f>F23*45.59</f>
        <v>94462.48000000001</v>
      </c>
      <c r="L23" s="177">
        <f>(G23*45.59)*1.5</f>
        <v>13608.615</v>
      </c>
      <c r="M23" s="177">
        <f>(H23*45.59)*2</f>
        <v>2005.96</v>
      </c>
      <c r="N23" s="177">
        <f t="shared" si="4"/>
        <v>110077.05500000002</v>
      </c>
      <c r="O23" s="31"/>
      <c r="P23" s="248">
        <v>47.87</v>
      </c>
      <c r="Q23" s="31"/>
      <c r="R23" s="177">
        <f t="shared" si="0"/>
        <v>99569.599999999991</v>
      </c>
      <c r="S23" s="177">
        <f>(P23*1.5)*(G23-I23)</f>
        <v>13714.754999999999</v>
      </c>
      <c r="T23" s="177">
        <f>(P23*2)*H23</f>
        <v>2106.2799999999997</v>
      </c>
      <c r="U23" s="177">
        <f t="shared" si="1"/>
        <v>115390.63499999999</v>
      </c>
      <c r="V23" s="225"/>
      <c r="W23" s="177">
        <f t="shared" si="2"/>
        <v>5313.5799999999726</v>
      </c>
      <c r="Z23" s="270"/>
    </row>
    <row r="24" spans="1:26">
      <c r="A24" s="142">
        <f t="shared" si="3"/>
        <v>10</v>
      </c>
      <c r="D24" s="1">
        <v>134</v>
      </c>
      <c r="F24" s="91">
        <v>2080</v>
      </c>
      <c r="G24" s="91"/>
      <c r="H24" s="91"/>
      <c r="I24" s="91"/>
      <c r="J24" s="91"/>
      <c r="K24" s="177">
        <f>F24*42.9</f>
        <v>89232</v>
      </c>
      <c r="L24" s="177"/>
      <c r="M24" s="177"/>
      <c r="N24" s="177">
        <f t="shared" si="4"/>
        <v>89232</v>
      </c>
      <c r="O24" s="31"/>
      <c r="P24" s="248">
        <v>45.05</v>
      </c>
      <c r="Q24" s="31"/>
      <c r="R24" s="177">
        <f t="shared" si="0"/>
        <v>93704</v>
      </c>
      <c r="S24" s="177"/>
      <c r="T24" s="177"/>
      <c r="U24" s="177">
        <f t="shared" si="1"/>
        <v>93704</v>
      </c>
      <c r="V24" s="225"/>
      <c r="W24" s="177">
        <f t="shared" si="2"/>
        <v>4472</v>
      </c>
      <c r="Z24" s="270"/>
    </row>
    <row r="25" spans="1:26">
      <c r="A25" s="142">
        <f t="shared" si="3"/>
        <v>11</v>
      </c>
      <c r="D25" s="1">
        <v>135</v>
      </c>
      <c r="F25" s="91">
        <v>2080</v>
      </c>
      <c r="G25" s="91"/>
      <c r="H25" s="91"/>
      <c r="I25" s="91"/>
      <c r="J25" s="91"/>
      <c r="K25" s="177">
        <f>F25*72.05</f>
        <v>149864</v>
      </c>
      <c r="L25" s="177"/>
      <c r="M25" s="177"/>
      <c r="N25" s="177">
        <f t="shared" si="4"/>
        <v>149864</v>
      </c>
      <c r="O25" s="31"/>
      <c r="P25" s="248">
        <v>75.97</v>
      </c>
      <c r="Q25" s="31"/>
      <c r="R25" s="177">
        <f t="shared" si="0"/>
        <v>158017.60000000001</v>
      </c>
      <c r="S25" s="177"/>
      <c r="T25" s="177"/>
      <c r="U25" s="177">
        <f t="shared" si="1"/>
        <v>158017.60000000001</v>
      </c>
      <c r="V25" s="225"/>
      <c r="W25" s="177">
        <f t="shared" si="2"/>
        <v>8153.6000000000058</v>
      </c>
      <c r="Z25" s="270"/>
    </row>
    <row r="26" spans="1:26">
      <c r="A26" s="142">
        <f t="shared" si="3"/>
        <v>12</v>
      </c>
      <c r="D26" s="1">
        <v>136</v>
      </c>
      <c r="F26" s="91">
        <v>2080</v>
      </c>
      <c r="G26" s="91">
        <v>13</v>
      </c>
      <c r="H26" s="91">
        <v>16</v>
      </c>
      <c r="I26" s="91"/>
      <c r="J26" s="91"/>
      <c r="K26" s="177">
        <f>F26*43.54</f>
        <v>90563.199999999997</v>
      </c>
      <c r="L26" s="177">
        <f>(G26*43.54)*1.5</f>
        <v>849.03</v>
      </c>
      <c r="M26" s="177">
        <f>(H26*43.54)*2</f>
        <v>1393.28</v>
      </c>
      <c r="N26" s="177">
        <f t="shared" si="4"/>
        <v>92805.51</v>
      </c>
      <c r="O26" s="31"/>
      <c r="P26" s="248">
        <v>45.72</v>
      </c>
      <c r="Q26" s="31"/>
      <c r="R26" s="177">
        <f t="shared" si="0"/>
        <v>95097.599999999991</v>
      </c>
      <c r="S26" s="177">
        <f>(P26*1.5)*(G26-I26)</f>
        <v>891.54</v>
      </c>
      <c r="T26" s="177">
        <f>(P26*2)*H26</f>
        <v>1463.04</v>
      </c>
      <c r="U26" s="177">
        <f t="shared" si="1"/>
        <v>97452.179999999978</v>
      </c>
      <c r="V26" s="225"/>
      <c r="W26" s="177">
        <f t="shared" si="2"/>
        <v>4646.6699999999837</v>
      </c>
      <c r="Z26" s="270"/>
    </row>
    <row r="27" spans="1:26">
      <c r="A27" s="142">
        <f t="shared" si="3"/>
        <v>13</v>
      </c>
      <c r="D27" s="1">
        <v>143</v>
      </c>
      <c r="F27" s="91">
        <v>2080</v>
      </c>
      <c r="G27" s="91"/>
      <c r="H27" s="91"/>
      <c r="I27" s="91"/>
      <c r="J27" s="91"/>
      <c r="K27" s="177">
        <f>F27*54.82</f>
        <v>114025.60000000001</v>
      </c>
      <c r="L27" s="177"/>
      <c r="M27" s="177"/>
      <c r="N27" s="177">
        <f t="shared" si="4"/>
        <v>114025.60000000001</v>
      </c>
      <c r="O27" s="31"/>
      <c r="P27" s="248">
        <v>57.56</v>
      </c>
      <c r="Q27" s="31"/>
      <c r="R27" s="177">
        <f t="shared" si="0"/>
        <v>119724.8</v>
      </c>
      <c r="S27" s="177"/>
      <c r="T27" s="177"/>
      <c r="U27" s="177">
        <f t="shared" si="1"/>
        <v>119724.8</v>
      </c>
      <c r="V27" s="225"/>
      <c r="W27" s="177">
        <f t="shared" si="2"/>
        <v>5699.1999999999971</v>
      </c>
      <c r="Z27" s="270"/>
    </row>
    <row r="28" spans="1:26">
      <c r="A28" s="142">
        <f t="shared" si="3"/>
        <v>14</v>
      </c>
      <c r="D28" s="1">
        <v>145</v>
      </c>
      <c r="F28" s="91">
        <v>2072</v>
      </c>
      <c r="G28" s="91">
        <v>157</v>
      </c>
      <c r="H28" s="91">
        <v>16</v>
      </c>
      <c r="I28" s="91">
        <v>8</v>
      </c>
      <c r="J28" s="91"/>
      <c r="K28" s="177">
        <f>F28*45.59</f>
        <v>94462.48000000001</v>
      </c>
      <c r="L28" s="177">
        <f>(G28*45.59)*1.5</f>
        <v>10736.445</v>
      </c>
      <c r="M28" s="177">
        <f>(H28*45.59)*2</f>
        <v>1458.88</v>
      </c>
      <c r="N28" s="177">
        <f t="shared" si="4"/>
        <v>106657.80500000002</v>
      </c>
      <c r="O28" s="31"/>
      <c r="P28" s="248">
        <v>47.87</v>
      </c>
      <c r="Q28" s="31"/>
      <c r="R28" s="177">
        <f t="shared" si="0"/>
        <v>99569.599999999991</v>
      </c>
      <c r="S28" s="177">
        <f>(P28*1.5)*(G28-I28)</f>
        <v>10698.945</v>
      </c>
      <c r="T28" s="177">
        <f>(P28*2)*H28</f>
        <v>1531.84</v>
      </c>
      <c r="U28" s="177">
        <f t="shared" si="1"/>
        <v>111800.38499999998</v>
      </c>
      <c r="V28" s="225"/>
      <c r="W28" s="177">
        <f t="shared" si="2"/>
        <v>5142.5799999999581</v>
      </c>
      <c r="Z28" s="270"/>
    </row>
    <row r="29" spans="1:26">
      <c r="A29" s="142">
        <f t="shared" si="3"/>
        <v>15</v>
      </c>
      <c r="D29" s="1">
        <v>146</v>
      </c>
      <c r="F29" s="91">
        <v>2080</v>
      </c>
      <c r="G29" s="91"/>
      <c r="H29" s="91"/>
      <c r="I29" s="91"/>
      <c r="J29" s="91"/>
      <c r="K29" s="177">
        <f>F29*82.7</f>
        <v>172016</v>
      </c>
      <c r="L29" s="177"/>
      <c r="M29" s="177"/>
      <c r="N29" s="177">
        <f t="shared" si="4"/>
        <v>172016</v>
      </c>
      <c r="O29" s="31"/>
      <c r="P29" s="248">
        <v>86.84</v>
      </c>
      <c r="Q29" s="31"/>
      <c r="R29" s="177">
        <f t="shared" si="0"/>
        <v>180627.20000000001</v>
      </c>
      <c r="S29" s="177"/>
      <c r="T29" s="177"/>
      <c r="U29" s="177">
        <f t="shared" si="1"/>
        <v>180627.20000000001</v>
      </c>
      <c r="V29" s="225"/>
      <c r="W29" s="177">
        <f t="shared" si="2"/>
        <v>8611.2000000000116</v>
      </c>
      <c r="Z29" s="270"/>
    </row>
    <row r="30" spans="1:26">
      <c r="A30" s="142">
        <f t="shared" si="3"/>
        <v>16</v>
      </c>
      <c r="D30" s="1">
        <v>148</v>
      </c>
      <c r="F30" s="91">
        <v>2080</v>
      </c>
      <c r="G30" s="91"/>
      <c r="H30" s="91"/>
      <c r="I30" s="91"/>
      <c r="J30" s="91"/>
      <c r="K30" s="177">
        <f>F30*39.2</f>
        <v>81536</v>
      </c>
      <c r="L30" s="177"/>
      <c r="M30" s="177"/>
      <c r="N30" s="177">
        <f t="shared" si="4"/>
        <v>81536</v>
      </c>
      <c r="O30" s="31"/>
      <c r="P30" s="248">
        <v>41.16</v>
      </c>
      <c r="Q30" s="31"/>
      <c r="R30" s="177">
        <f t="shared" si="0"/>
        <v>85612.799999999988</v>
      </c>
      <c r="S30" s="177"/>
      <c r="T30" s="177"/>
      <c r="U30" s="177">
        <f t="shared" si="1"/>
        <v>85612.799999999988</v>
      </c>
      <c r="V30" s="225"/>
      <c r="W30" s="177">
        <f t="shared" si="2"/>
        <v>4076.7999999999884</v>
      </c>
      <c r="Z30" s="270"/>
    </row>
    <row r="31" spans="1:26">
      <c r="A31" s="142">
        <f t="shared" si="3"/>
        <v>17</v>
      </c>
      <c r="D31" s="1">
        <v>149</v>
      </c>
      <c r="F31" s="91">
        <v>2072</v>
      </c>
      <c r="G31" s="91">
        <v>482.5</v>
      </c>
      <c r="H31" s="91">
        <v>20</v>
      </c>
      <c r="I31" s="91">
        <v>8</v>
      </c>
      <c r="J31" s="91"/>
      <c r="K31" s="177">
        <f>F31*43.54</f>
        <v>90214.88</v>
      </c>
      <c r="L31" s="177">
        <f>(G31*43.54)*1.5</f>
        <v>31512.074999999997</v>
      </c>
      <c r="M31" s="177">
        <f>(H31*43.54)*2</f>
        <v>1741.6</v>
      </c>
      <c r="N31" s="177">
        <f t="shared" si="4"/>
        <v>123468.55500000001</v>
      </c>
      <c r="O31" s="31"/>
      <c r="P31" s="248">
        <v>45.72</v>
      </c>
      <c r="Q31" s="31"/>
      <c r="R31" s="177">
        <f t="shared" si="0"/>
        <v>95097.599999999991</v>
      </c>
      <c r="S31" s="177">
        <f>(P31*1.5)*(G31-I31)</f>
        <v>32541.21</v>
      </c>
      <c r="T31" s="177">
        <f>(P31*2)*H31</f>
        <v>1828.8</v>
      </c>
      <c r="U31" s="177">
        <f t="shared" si="1"/>
        <v>129467.61</v>
      </c>
      <c r="V31" s="225"/>
      <c r="W31" s="177">
        <f t="shared" si="2"/>
        <v>5999.054999999993</v>
      </c>
      <c r="Z31" s="270"/>
    </row>
    <row r="32" spans="1:26">
      <c r="A32" s="142">
        <f t="shared" si="3"/>
        <v>18</v>
      </c>
      <c r="D32" s="1">
        <v>152</v>
      </c>
      <c r="F32" s="91">
        <v>2072</v>
      </c>
      <c r="G32" s="91">
        <v>64</v>
      </c>
      <c r="H32" s="91">
        <v>16</v>
      </c>
      <c r="I32" s="91">
        <v>8</v>
      </c>
      <c r="J32" s="91"/>
      <c r="K32" s="177">
        <f>F32*32.19</f>
        <v>66697.679999999993</v>
      </c>
      <c r="L32" s="177">
        <f>(G32*32.19)*1.5</f>
        <v>3090.24</v>
      </c>
      <c r="M32" s="177">
        <f>(H32*32.19)*2</f>
        <v>1030.08</v>
      </c>
      <c r="N32" s="177">
        <f t="shared" si="4"/>
        <v>70818</v>
      </c>
      <c r="O32" s="31"/>
      <c r="P32" s="248">
        <v>34.82</v>
      </c>
      <c r="Q32" s="31"/>
      <c r="R32" s="177">
        <f t="shared" si="0"/>
        <v>72425.600000000006</v>
      </c>
      <c r="S32" s="177">
        <f>(P32*1.5)*(G32-I32)</f>
        <v>2924.88</v>
      </c>
      <c r="T32" s="177">
        <f>(P32*2)*H32</f>
        <v>1114.24</v>
      </c>
      <c r="U32" s="177">
        <f t="shared" si="1"/>
        <v>76464.720000000016</v>
      </c>
      <c r="V32" s="225"/>
      <c r="W32" s="177">
        <f t="shared" si="2"/>
        <v>5646.7200000000157</v>
      </c>
      <c r="Z32" s="270"/>
    </row>
    <row r="33" spans="1:26">
      <c r="A33" s="142">
        <f t="shared" si="3"/>
        <v>19</v>
      </c>
      <c r="D33" s="1">
        <v>158</v>
      </c>
      <c r="F33" s="91">
        <v>2080</v>
      </c>
      <c r="G33" s="91"/>
      <c r="H33" s="91"/>
      <c r="I33" s="91"/>
      <c r="J33" s="91"/>
      <c r="K33" s="177">
        <f>F33*25.72</f>
        <v>53497.599999999999</v>
      </c>
      <c r="L33" s="177">
        <f>(G33*25.72)*1.5</f>
        <v>0</v>
      </c>
      <c r="M33" s="177">
        <f>(H33*25.72)*2</f>
        <v>0</v>
      </c>
      <c r="N33" s="177">
        <f t="shared" si="4"/>
        <v>53497.599999999999</v>
      </c>
      <c r="O33" s="31"/>
      <c r="P33" s="248">
        <v>27</v>
      </c>
      <c r="Q33" s="31"/>
      <c r="R33" s="177">
        <f t="shared" si="0"/>
        <v>56160</v>
      </c>
      <c r="S33" s="177">
        <f>(P33*1.5)*(G33-I33)</f>
        <v>0</v>
      </c>
      <c r="T33" s="177">
        <f>(P33*2)*H33</f>
        <v>0</v>
      </c>
      <c r="U33" s="177">
        <f t="shared" si="1"/>
        <v>56160</v>
      </c>
      <c r="V33" s="225"/>
      <c r="W33" s="177">
        <f t="shared" si="2"/>
        <v>2662.4000000000015</v>
      </c>
      <c r="Z33" s="270"/>
    </row>
    <row r="34" spans="1:26">
      <c r="A34" s="142">
        <f t="shared" si="3"/>
        <v>20</v>
      </c>
      <c r="D34" s="1">
        <v>160</v>
      </c>
      <c r="F34" s="91">
        <v>2080</v>
      </c>
      <c r="G34" s="91"/>
      <c r="H34" s="91"/>
      <c r="I34" s="91"/>
      <c r="J34" s="91"/>
      <c r="K34" s="177">
        <f>F34*52.34</f>
        <v>108867.20000000001</v>
      </c>
      <c r="L34" s="177"/>
      <c r="M34" s="177"/>
      <c r="N34" s="177">
        <f t="shared" si="4"/>
        <v>108867.20000000001</v>
      </c>
      <c r="O34" s="31"/>
      <c r="P34" s="248">
        <v>54.96</v>
      </c>
      <c r="Q34" s="31"/>
      <c r="R34" s="177">
        <f t="shared" si="0"/>
        <v>114316.8</v>
      </c>
      <c r="S34" s="177"/>
      <c r="T34" s="177"/>
      <c r="U34" s="177">
        <f t="shared" si="1"/>
        <v>114316.8</v>
      </c>
      <c r="V34" s="225"/>
      <c r="W34" s="177">
        <f t="shared" si="2"/>
        <v>5449.5999999999913</v>
      </c>
      <c r="Z34" s="270"/>
    </row>
    <row r="35" spans="1:26">
      <c r="A35" s="142">
        <f t="shared" si="3"/>
        <v>21</v>
      </c>
      <c r="D35" s="1">
        <v>162</v>
      </c>
      <c r="F35" s="91">
        <v>2072</v>
      </c>
      <c r="G35" s="91">
        <v>29.5</v>
      </c>
      <c r="H35" s="91">
        <v>16</v>
      </c>
      <c r="I35" s="91">
        <v>8</v>
      </c>
      <c r="J35" s="91"/>
      <c r="K35" s="177">
        <f>F35*45.59</f>
        <v>94462.48000000001</v>
      </c>
      <c r="L35" s="177">
        <f>(G35*45.59)*1.5</f>
        <v>2017.3575000000003</v>
      </c>
      <c r="M35" s="177">
        <f>(H35*45.59)*2</f>
        <v>1458.88</v>
      </c>
      <c r="N35" s="177">
        <f t="shared" si="4"/>
        <v>97938.717500000013</v>
      </c>
      <c r="O35" s="31"/>
      <c r="P35" s="248">
        <v>47.87</v>
      </c>
      <c r="Q35" s="31"/>
      <c r="R35" s="177">
        <f t="shared" si="0"/>
        <v>99569.599999999991</v>
      </c>
      <c r="S35" s="177">
        <f>(P35*1.5)*(G35-I35)</f>
        <v>1543.8074999999999</v>
      </c>
      <c r="T35" s="177">
        <f>(P35*2)*H35</f>
        <v>1531.84</v>
      </c>
      <c r="U35" s="177">
        <f t="shared" si="1"/>
        <v>102645.24749999998</v>
      </c>
      <c r="V35" s="225"/>
      <c r="W35" s="177">
        <f t="shared" si="2"/>
        <v>4706.5299999999697</v>
      </c>
      <c r="Z35" s="270"/>
    </row>
    <row r="36" spans="1:26">
      <c r="A36" s="142">
        <f t="shared" si="3"/>
        <v>22</v>
      </c>
      <c r="D36" s="1">
        <v>164</v>
      </c>
      <c r="F36" s="91">
        <v>453.6</v>
      </c>
      <c r="G36" s="91"/>
      <c r="H36" s="91"/>
      <c r="I36" s="91"/>
      <c r="J36" s="91"/>
      <c r="K36" s="177">
        <f>F36*14.36</f>
        <v>6513.6959999999999</v>
      </c>
      <c r="L36" s="177"/>
      <c r="M36" s="177"/>
      <c r="N36" s="177">
        <f t="shared" si="4"/>
        <v>6513.6959999999999</v>
      </c>
      <c r="O36" s="31"/>
      <c r="P36" s="248">
        <v>15.07</v>
      </c>
      <c r="Q36" s="31"/>
      <c r="R36" s="177">
        <f>F36*P36</f>
        <v>6835.7520000000004</v>
      </c>
      <c r="S36" s="177">
        <f>(P36*1.5)*(G36-I36)</f>
        <v>0</v>
      </c>
      <c r="T36" s="177">
        <f>(P36*2)*H36</f>
        <v>0</v>
      </c>
      <c r="U36" s="177">
        <f t="shared" ref="U36:U37" si="5">SUM(R36:T36)</f>
        <v>6835.7520000000004</v>
      </c>
      <c r="V36" s="225"/>
      <c r="W36" s="177">
        <f t="shared" si="2"/>
        <v>322.05600000000049</v>
      </c>
      <c r="X36" s="1" t="s">
        <v>128</v>
      </c>
      <c r="Z36" s="270"/>
    </row>
    <row r="37" spans="1:26">
      <c r="A37" s="142">
        <f t="shared" si="3"/>
        <v>23</v>
      </c>
      <c r="D37" s="1">
        <v>165</v>
      </c>
      <c r="F37" s="91">
        <v>756</v>
      </c>
      <c r="G37" s="91"/>
      <c r="H37" s="91"/>
      <c r="I37" s="91"/>
      <c r="J37" s="91"/>
      <c r="K37" s="177">
        <f>F37*14.36</f>
        <v>10856.16</v>
      </c>
      <c r="L37" s="177"/>
      <c r="M37" s="177"/>
      <c r="N37" s="177">
        <f t="shared" si="4"/>
        <v>10856.16</v>
      </c>
      <c r="O37" s="31"/>
      <c r="P37" s="248">
        <v>15.07</v>
      </c>
      <c r="Q37" s="31"/>
      <c r="R37" s="177">
        <f>F37*P37</f>
        <v>11392.92</v>
      </c>
      <c r="S37" s="177">
        <f>(P37*1.5)*(G37-I37)</f>
        <v>0</v>
      </c>
      <c r="T37" s="177">
        <f>(P37*2)*H37</f>
        <v>0</v>
      </c>
      <c r="U37" s="177">
        <f t="shared" si="5"/>
        <v>11392.92</v>
      </c>
      <c r="V37" s="225"/>
      <c r="W37" s="177">
        <f t="shared" si="2"/>
        <v>536.76000000000022</v>
      </c>
      <c r="X37" s="1" t="s">
        <v>128</v>
      </c>
      <c r="Z37" s="270"/>
    </row>
    <row r="38" spans="1:26">
      <c r="A38" s="142">
        <f t="shared" si="3"/>
        <v>24</v>
      </c>
      <c r="D38" s="1">
        <v>167</v>
      </c>
      <c r="F38" s="91">
        <v>2080</v>
      </c>
      <c r="G38" s="91"/>
      <c r="H38" s="91"/>
      <c r="I38" s="91"/>
      <c r="J38" s="91"/>
      <c r="K38" s="177">
        <f>F38*39.2</f>
        <v>81536</v>
      </c>
      <c r="L38" s="177"/>
      <c r="M38" s="177"/>
      <c r="N38" s="177">
        <f t="shared" si="4"/>
        <v>81536</v>
      </c>
      <c r="O38" s="31"/>
      <c r="P38" s="248">
        <v>41.16</v>
      </c>
      <c r="Q38" s="31"/>
      <c r="R38" s="177">
        <f t="shared" si="0"/>
        <v>85612.799999999988</v>
      </c>
      <c r="S38" s="177"/>
      <c r="T38" s="177"/>
      <c r="U38" s="177">
        <f t="shared" si="1"/>
        <v>85612.799999999988</v>
      </c>
      <c r="V38" s="225"/>
      <c r="W38" s="177">
        <f t="shared" si="2"/>
        <v>4076.7999999999884</v>
      </c>
      <c r="Z38" s="270"/>
    </row>
    <row r="39" spans="1:26">
      <c r="A39" s="142">
        <f t="shared" si="3"/>
        <v>25</v>
      </c>
      <c r="D39" s="1">
        <v>168</v>
      </c>
      <c r="F39" s="91">
        <v>2072</v>
      </c>
      <c r="G39" s="91">
        <v>27.75</v>
      </c>
      <c r="H39" s="91">
        <v>12</v>
      </c>
      <c r="I39" s="91">
        <v>8</v>
      </c>
      <c r="J39" s="91"/>
      <c r="K39" s="177">
        <f>F39*44.25</f>
        <v>91686</v>
      </c>
      <c r="L39" s="177">
        <f>(G39*44.25)*1.5</f>
        <v>1841.90625</v>
      </c>
      <c r="M39" s="177">
        <f>(H39*44.25)*2</f>
        <v>1062</v>
      </c>
      <c r="N39" s="177">
        <f t="shared" si="4"/>
        <v>94589.90625</v>
      </c>
      <c r="O39" s="31"/>
      <c r="P39" s="248">
        <v>46.46</v>
      </c>
      <c r="Q39" s="31"/>
      <c r="R39" s="177">
        <f t="shared" si="0"/>
        <v>96636.800000000003</v>
      </c>
      <c r="S39" s="177">
        <f>(P39*1.5)*(G39-I39)</f>
        <v>1376.3775000000001</v>
      </c>
      <c r="T39" s="177">
        <f>(P39*2)*H39</f>
        <v>1115.04</v>
      </c>
      <c r="U39" s="177">
        <f t="shared" si="1"/>
        <v>99128.217499999999</v>
      </c>
      <c r="V39" s="225"/>
      <c r="W39" s="177">
        <f t="shared" si="2"/>
        <v>4538.3112499999988</v>
      </c>
      <c r="Z39" s="270"/>
    </row>
    <row r="40" spans="1:26">
      <c r="A40" s="142">
        <f t="shared" si="3"/>
        <v>26</v>
      </c>
      <c r="D40" s="1">
        <v>169</v>
      </c>
      <c r="F40" s="91">
        <v>2072</v>
      </c>
      <c r="G40" s="91">
        <v>125</v>
      </c>
      <c r="H40" s="91">
        <v>20</v>
      </c>
      <c r="I40" s="91">
        <v>8</v>
      </c>
      <c r="J40" s="91"/>
      <c r="K40" s="177">
        <f>F40*45.59</f>
        <v>94462.48000000001</v>
      </c>
      <c r="L40" s="177">
        <f>(G40*45.59)*1.5</f>
        <v>8548.125</v>
      </c>
      <c r="M40" s="177">
        <f>(H40*45.59)*2</f>
        <v>1823.6000000000001</v>
      </c>
      <c r="N40" s="177">
        <f t="shared" si="4"/>
        <v>104834.20500000002</v>
      </c>
      <c r="O40" s="31"/>
      <c r="P40" s="248">
        <v>47.87</v>
      </c>
      <c r="Q40" s="31"/>
      <c r="R40" s="177">
        <f t="shared" si="0"/>
        <v>99569.599999999991</v>
      </c>
      <c r="S40" s="177">
        <f>(P40*1.5)*(G40-I40)</f>
        <v>8401.1849999999995</v>
      </c>
      <c r="T40" s="177">
        <f>(P40*2)*H40</f>
        <v>1914.8</v>
      </c>
      <c r="U40" s="177">
        <f t="shared" si="1"/>
        <v>109885.58499999999</v>
      </c>
      <c r="V40" s="225"/>
      <c r="W40" s="177">
        <f t="shared" si="2"/>
        <v>5051.3799999999756</v>
      </c>
      <c r="Z40" s="270"/>
    </row>
    <row r="41" spans="1:26">
      <c r="A41" s="142">
        <f t="shared" si="3"/>
        <v>27</v>
      </c>
      <c r="D41" s="1">
        <v>180</v>
      </c>
      <c r="F41" s="91">
        <v>2036</v>
      </c>
      <c r="G41" s="91">
        <v>237.5</v>
      </c>
      <c r="H41" s="91">
        <v>16</v>
      </c>
      <c r="I41" s="91">
        <v>44</v>
      </c>
      <c r="J41" s="91"/>
      <c r="K41" s="177">
        <f>F41*42.45</f>
        <v>86428.200000000012</v>
      </c>
      <c r="L41" s="177">
        <f>(G41*42.45)*1.5</f>
        <v>15122.8125</v>
      </c>
      <c r="M41" s="177">
        <f>(H41*42.45)*2</f>
        <v>1358.4</v>
      </c>
      <c r="N41" s="177">
        <f t="shared" si="4"/>
        <v>102909.41250000001</v>
      </c>
      <c r="O41" s="31"/>
      <c r="P41" s="248">
        <v>45.72</v>
      </c>
      <c r="Q41" s="31"/>
      <c r="R41" s="177">
        <f t="shared" si="0"/>
        <v>95097.599999999991</v>
      </c>
      <c r="S41" s="177">
        <f>(P41*1.5)*(G41-I41)</f>
        <v>13270.23</v>
      </c>
      <c r="T41" s="177">
        <f>(P41*2)*H41</f>
        <v>1463.04</v>
      </c>
      <c r="U41" s="177">
        <f t="shared" si="1"/>
        <v>109830.86999999998</v>
      </c>
      <c r="V41" s="225"/>
      <c r="W41" s="177">
        <f t="shared" si="2"/>
        <v>6921.457499999975</v>
      </c>
      <c r="Z41" s="270"/>
    </row>
    <row r="42" spans="1:26">
      <c r="A42" s="142">
        <f t="shared" si="3"/>
        <v>28</v>
      </c>
      <c r="D42" s="1">
        <v>182</v>
      </c>
      <c r="F42" s="91">
        <v>2072</v>
      </c>
      <c r="G42" s="91">
        <v>138</v>
      </c>
      <c r="H42" s="91">
        <v>34</v>
      </c>
      <c r="I42" s="91">
        <v>8</v>
      </c>
      <c r="J42" s="91"/>
      <c r="K42" s="177">
        <f>F42*45.59</f>
        <v>94462.48000000001</v>
      </c>
      <c r="L42" s="177">
        <f>(G42*45.59)*1.5</f>
        <v>9437.130000000001</v>
      </c>
      <c r="M42" s="177">
        <f>(H42*45.59)*2</f>
        <v>3100.1200000000003</v>
      </c>
      <c r="N42" s="177">
        <f t="shared" si="4"/>
        <v>106999.73000000001</v>
      </c>
      <c r="O42" s="31"/>
      <c r="P42" s="248">
        <v>47.87</v>
      </c>
      <c r="Q42" s="31"/>
      <c r="R42" s="177">
        <f t="shared" si="0"/>
        <v>99569.599999999991</v>
      </c>
      <c r="S42" s="177">
        <f>(P42*1.5)*(G42-I42)</f>
        <v>9334.65</v>
      </c>
      <c r="T42" s="177">
        <f>(P42*2)*H42</f>
        <v>3255.16</v>
      </c>
      <c r="U42" s="177">
        <f t="shared" si="1"/>
        <v>112159.40999999999</v>
      </c>
      <c r="V42" s="225"/>
      <c r="W42" s="177">
        <f t="shared" si="2"/>
        <v>5159.6799999999785</v>
      </c>
      <c r="Z42" s="270"/>
    </row>
    <row r="43" spans="1:26">
      <c r="A43" s="142">
        <f t="shared" si="3"/>
        <v>29</v>
      </c>
      <c r="D43" s="1">
        <v>189</v>
      </c>
      <c r="F43" s="91">
        <v>2080</v>
      </c>
      <c r="G43" s="91"/>
      <c r="H43" s="91"/>
      <c r="I43" s="91"/>
      <c r="J43" s="91"/>
      <c r="K43" s="177">
        <f>F43*44.25</f>
        <v>92040</v>
      </c>
      <c r="L43" s="177"/>
      <c r="M43" s="177"/>
      <c r="N43" s="177">
        <f t="shared" si="4"/>
        <v>92040</v>
      </c>
      <c r="O43" s="31"/>
      <c r="P43" s="248">
        <v>47.87</v>
      </c>
      <c r="Q43" s="31"/>
      <c r="R43" s="177">
        <f t="shared" si="0"/>
        <v>99569.599999999991</v>
      </c>
      <c r="S43" s="177"/>
      <c r="T43" s="177"/>
      <c r="U43" s="177">
        <f t="shared" si="1"/>
        <v>99569.599999999991</v>
      </c>
      <c r="V43" s="225"/>
      <c r="W43" s="177">
        <f t="shared" si="2"/>
        <v>7529.5999999999913</v>
      </c>
      <c r="Z43" s="270"/>
    </row>
    <row r="44" spans="1:26">
      <c r="A44" s="142">
        <f t="shared" si="3"/>
        <v>30</v>
      </c>
      <c r="D44" s="1">
        <v>192</v>
      </c>
      <c r="F44" s="91">
        <v>2080</v>
      </c>
      <c r="G44" s="91"/>
      <c r="H44" s="91"/>
      <c r="I44" s="91"/>
      <c r="J44" s="91"/>
      <c r="K44" s="177">
        <f>F44*42.45</f>
        <v>88296</v>
      </c>
      <c r="L44" s="177"/>
      <c r="M44" s="177"/>
      <c r="N44" s="177">
        <f t="shared" si="4"/>
        <v>88296</v>
      </c>
      <c r="O44" s="31"/>
      <c r="P44" s="248">
        <v>44.57</v>
      </c>
      <c r="Q44" s="31"/>
      <c r="R44" s="177">
        <f t="shared" si="0"/>
        <v>92705.600000000006</v>
      </c>
      <c r="S44" s="177"/>
      <c r="T44" s="177"/>
      <c r="U44" s="177">
        <f t="shared" si="1"/>
        <v>92705.600000000006</v>
      </c>
      <c r="V44" s="225"/>
      <c r="W44" s="177">
        <f t="shared" si="2"/>
        <v>4409.6000000000058</v>
      </c>
      <c r="Z44" s="270"/>
    </row>
    <row r="45" spans="1:26">
      <c r="A45" s="142">
        <f t="shared" si="3"/>
        <v>31</v>
      </c>
      <c r="D45" s="1">
        <v>193</v>
      </c>
      <c r="F45" s="91">
        <v>2080</v>
      </c>
      <c r="G45" s="91">
        <v>7.5</v>
      </c>
      <c r="H45" s="91"/>
      <c r="I45" s="91"/>
      <c r="J45" s="91"/>
      <c r="K45" s="177">
        <f>F45*26.48</f>
        <v>55078.400000000001</v>
      </c>
      <c r="L45" s="177">
        <f>(G45*26.48)*1.5</f>
        <v>297.89999999999998</v>
      </c>
      <c r="M45" s="177">
        <f>(H45*26.48)*2</f>
        <v>0</v>
      </c>
      <c r="N45" s="177">
        <f t="shared" si="4"/>
        <v>55376.3</v>
      </c>
      <c r="O45" s="31"/>
      <c r="P45" s="248">
        <v>27.8</v>
      </c>
      <c r="Q45" s="31"/>
      <c r="R45" s="177">
        <f t="shared" si="0"/>
        <v>57824</v>
      </c>
      <c r="S45" s="177">
        <f t="shared" ref="S45:S51" si="6">(P45*1.5)*(G45-I45)</f>
        <v>312.75</v>
      </c>
      <c r="T45" s="177">
        <f t="shared" ref="T45:T51" si="7">(P45*2)*H45</f>
        <v>0</v>
      </c>
      <c r="U45" s="177">
        <f t="shared" si="1"/>
        <v>58136.75</v>
      </c>
      <c r="V45" s="225"/>
      <c r="W45" s="177">
        <f t="shared" si="2"/>
        <v>2760.4499999999971</v>
      </c>
      <c r="Z45" s="270"/>
    </row>
    <row r="46" spans="1:26">
      <c r="A46" s="142">
        <f t="shared" si="3"/>
        <v>32</v>
      </c>
      <c r="D46" s="1">
        <v>195</v>
      </c>
      <c r="F46" s="91">
        <v>2072</v>
      </c>
      <c r="G46" s="91">
        <v>35.5</v>
      </c>
      <c r="H46" s="91">
        <v>16</v>
      </c>
      <c r="I46" s="91">
        <v>8</v>
      </c>
      <c r="J46" s="91"/>
      <c r="K46" s="177">
        <f>F46*29.76</f>
        <v>61662.720000000001</v>
      </c>
      <c r="L46" s="177">
        <f>(G46*29.76)*1.5</f>
        <v>1584.72</v>
      </c>
      <c r="M46" s="177">
        <f>(H46*29.76)*2</f>
        <v>952.32</v>
      </c>
      <c r="N46" s="177">
        <f t="shared" si="4"/>
        <v>64199.76</v>
      </c>
      <c r="O46" s="31"/>
      <c r="P46" s="248">
        <v>31.25</v>
      </c>
      <c r="Q46" s="31"/>
      <c r="R46" s="177">
        <f t="shared" si="0"/>
        <v>65000</v>
      </c>
      <c r="S46" s="177">
        <f t="shared" si="6"/>
        <v>1289.0625</v>
      </c>
      <c r="T46" s="177">
        <f t="shared" si="7"/>
        <v>1000</v>
      </c>
      <c r="U46" s="177">
        <f t="shared" si="1"/>
        <v>67289.0625</v>
      </c>
      <c r="V46" s="225"/>
      <c r="W46" s="177">
        <f t="shared" si="2"/>
        <v>3089.302499999998</v>
      </c>
      <c r="Z46" s="270"/>
    </row>
    <row r="47" spans="1:26">
      <c r="A47" s="142">
        <f t="shared" si="3"/>
        <v>33</v>
      </c>
      <c r="D47" s="1">
        <v>198</v>
      </c>
      <c r="F47" s="91">
        <v>2080</v>
      </c>
      <c r="G47" s="91">
        <v>12.5</v>
      </c>
      <c r="H47" s="91"/>
      <c r="I47" s="91"/>
      <c r="J47" s="91"/>
      <c r="K47" s="177">
        <f>F47*27.23</f>
        <v>56638.400000000001</v>
      </c>
      <c r="L47" s="177">
        <f>(G47*27.23)*1.5</f>
        <v>510.5625</v>
      </c>
      <c r="M47" s="177">
        <f>(H47*27.23)*2</f>
        <v>0</v>
      </c>
      <c r="N47" s="177">
        <f t="shared" si="4"/>
        <v>57148.962500000001</v>
      </c>
      <c r="O47" s="31"/>
      <c r="P47" s="248">
        <v>28.59</v>
      </c>
      <c r="Q47" s="31"/>
      <c r="R47" s="177">
        <f t="shared" si="0"/>
        <v>59467.199999999997</v>
      </c>
      <c r="S47" s="177">
        <f t="shared" si="6"/>
        <v>536.0625</v>
      </c>
      <c r="T47" s="177">
        <f t="shared" si="7"/>
        <v>0</v>
      </c>
      <c r="U47" s="177">
        <f t="shared" si="1"/>
        <v>60003.262499999997</v>
      </c>
      <c r="V47" s="225"/>
      <c r="W47" s="177">
        <f t="shared" si="2"/>
        <v>2854.2999999999956</v>
      </c>
      <c r="Z47" s="270"/>
    </row>
    <row r="48" spans="1:26">
      <c r="A48" s="142">
        <f t="shared" si="3"/>
        <v>34</v>
      </c>
      <c r="D48" s="1">
        <v>199</v>
      </c>
      <c r="F48" s="91">
        <v>2032</v>
      </c>
      <c r="G48" s="91">
        <v>312</v>
      </c>
      <c r="H48" s="91">
        <v>20</v>
      </c>
      <c r="I48" s="91">
        <v>48</v>
      </c>
      <c r="J48" s="91"/>
      <c r="K48" s="177">
        <f>F48*42.45</f>
        <v>86258.400000000009</v>
      </c>
      <c r="L48" s="177">
        <f>(G48*42.45)*1.5</f>
        <v>19866.600000000002</v>
      </c>
      <c r="M48" s="177">
        <f>(H48*42.45)*2</f>
        <v>1698</v>
      </c>
      <c r="N48" s="177">
        <f t="shared" si="4"/>
        <v>107823.00000000001</v>
      </c>
      <c r="O48" s="31"/>
      <c r="P48" s="248">
        <v>45.72</v>
      </c>
      <c r="Q48" s="31"/>
      <c r="R48" s="177">
        <f t="shared" si="0"/>
        <v>95097.599999999991</v>
      </c>
      <c r="S48" s="177">
        <f t="shared" si="6"/>
        <v>18105.12</v>
      </c>
      <c r="T48" s="177">
        <f t="shared" si="7"/>
        <v>1828.8</v>
      </c>
      <c r="U48" s="177">
        <f t="shared" si="1"/>
        <v>115031.51999999999</v>
      </c>
      <c r="V48" s="225"/>
      <c r="W48" s="177">
        <f t="shared" si="2"/>
        <v>7208.519999999975</v>
      </c>
      <c r="Z48" s="270"/>
    </row>
    <row r="49" spans="1:26">
      <c r="A49" s="142">
        <f t="shared" si="3"/>
        <v>35</v>
      </c>
      <c r="D49" s="1">
        <v>201</v>
      </c>
      <c r="F49" s="91">
        <v>2072</v>
      </c>
      <c r="G49" s="91">
        <v>449.5</v>
      </c>
      <c r="H49" s="91">
        <v>18</v>
      </c>
      <c r="I49" s="91">
        <v>8</v>
      </c>
      <c r="J49" s="91"/>
      <c r="K49" s="177">
        <f>F49*39.2</f>
        <v>81222.400000000009</v>
      </c>
      <c r="L49" s="177">
        <f>(G49*39.2)*1.5</f>
        <v>26430.600000000002</v>
      </c>
      <c r="M49" s="177">
        <f>(H49*39.2)*2</f>
        <v>1411.2</v>
      </c>
      <c r="N49" s="177">
        <f t="shared" si="4"/>
        <v>109064.20000000001</v>
      </c>
      <c r="O49" s="31"/>
      <c r="P49" s="248">
        <v>42.43</v>
      </c>
      <c r="Q49" s="31"/>
      <c r="R49" s="177">
        <f t="shared" si="0"/>
        <v>88254.399999999994</v>
      </c>
      <c r="S49" s="177">
        <f t="shared" si="6"/>
        <v>28099.267499999998</v>
      </c>
      <c r="T49" s="177">
        <f t="shared" si="7"/>
        <v>1527.48</v>
      </c>
      <c r="U49" s="177">
        <f t="shared" si="1"/>
        <v>117881.14749999999</v>
      </c>
      <c r="V49" s="225"/>
      <c r="W49" s="177">
        <f t="shared" si="2"/>
        <v>8816.9474999999802</v>
      </c>
      <c r="Z49" s="270"/>
    </row>
    <row r="50" spans="1:26">
      <c r="A50" s="142">
        <f t="shared" si="3"/>
        <v>36</v>
      </c>
      <c r="D50" s="1">
        <v>202</v>
      </c>
      <c r="F50" s="91">
        <v>2080</v>
      </c>
      <c r="G50" s="91">
        <v>4.5</v>
      </c>
      <c r="H50" s="91"/>
      <c r="I50" s="91"/>
      <c r="J50" s="91"/>
      <c r="K50" s="177">
        <f>F50*34.13</f>
        <v>70990.400000000009</v>
      </c>
      <c r="L50" s="177">
        <f>(G50*34.13)*1.5</f>
        <v>230.3775</v>
      </c>
      <c r="M50" s="177">
        <f>(H50*34.13)*2</f>
        <v>0</v>
      </c>
      <c r="N50" s="177">
        <f t="shared" si="4"/>
        <v>71220.777500000011</v>
      </c>
      <c r="O50" s="31"/>
      <c r="P50" s="248">
        <v>36.56</v>
      </c>
      <c r="Q50" s="31"/>
      <c r="R50" s="177">
        <f t="shared" si="0"/>
        <v>76044.800000000003</v>
      </c>
      <c r="S50" s="177">
        <f t="shared" si="6"/>
        <v>246.78000000000003</v>
      </c>
      <c r="T50" s="177">
        <f t="shared" si="7"/>
        <v>0</v>
      </c>
      <c r="U50" s="177">
        <f t="shared" si="1"/>
        <v>76291.58</v>
      </c>
      <c r="V50" s="225"/>
      <c r="W50" s="177">
        <f t="shared" si="2"/>
        <v>5070.8024999999907</v>
      </c>
      <c r="Z50" s="270"/>
    </row>
    <row r="51" spans="1:26">
      <c r="A51" s="142">
        <f t="shared" si="3"/>
        <v>37</v>
      </c>
      <c r="D51" s="1">
        <v>204</v>
      </c>
      <c r="F51" s="91">
        <v>2074</v>
      </c>
      <c r="G51" s="91">
        <v>14</v>
      </c>
      <c r="H51" s="91"/>
      <c r="I51" s="91">
        <v>6</v>
      </c>
      <c r="J51" s="91"/>
      <c r="K51" s="177">
        <f>F51*32.19</f>
        <v>66762.06</v>
      </c>
      <c r="L51" s="177">
        <f>(G51*32.19)*1.5</f>
        <v>675.99</v>
      </c>
      <c r="M51" s="177">
        <f>(H51*32.19)*2</f>
        <v>0</v>
      </c>
      <c r="N51" s="177">
        <f t="shared" si="4"/>
        <v>67438.05</v>
      </c>
      <c r="O51" s="31"/>
      <c r="P51" s="248">
        <v>33.799999999999997</v>
      </c>
      <c r="Q51" s="31"/>
      <c r="R51" s="177">
        <f t="shared" si="0"/>
        <v>70304</v>
      </c>
      <c r="S51" s="177">
        <f t="shared" si="6"/>
        <v>405.59999999999997</v>
      </c>
      <c r="T51" s="177">
        <f t="shared" si="7"/>
        <v>0</v>
      </c>
      <c r="U51" s="177">
        <f t="shared" si="1"/>
        <v>70709.600000000006</v>
      </c>
      <c r="V51" s="225"/>
      <c r="W51" s="177">
        <f t="shared" si="2"/>
        <v>3271.5500000000029</v>
      </c>
      <c r="Z51" s="270"/>
    </row>
    <row r="52" spans="1:26">
      <c r="A52" s="142">
        <f t="shared" si="3"/>
        <v>38</v>
      </c>
      <c r="D52" s="1">
        <v>209</v>
      </c>
      <c r="F52" s="91">
        <v>2080</v>
      </c>
      <c r="G52" s="91"/>
      <c r="H52" s="91"/>
      <c r="I52" s="91"/>
      <c r="J52" s="91"/>
      <c r="K52" s="177">
        <f>F52*166.11</f>
        <v>345508.80000000005</v>
      </c>
      <c r="L52" s="177"/>
      <c r="M52" s="177"/>
      <c r="N52" s="177">
        <f t="shared" si="4"/>
        <v>345508.80000000005</v>
      </c>
      <c r="O52" s="31"/>
      <c r="P52" s="248">
        <v>174.42</v>
      </c>
      <c r="Q52" s="31"/>
      <c r="R52" s="177">
        <f t="shared" si="0"/>
        <v>362793.6</v>
      </c>
      <c r="S52" s="177"/>
      <c r="T52" s="177"/>
      <c r="U52" s="177">
        <f t="shared" si="1"/>
        <v>362793.6</v>
      </c>
      <c r="V52" s="225"/>
      <c r="W52" s="177">
        <f t="shared" si="2"/>
        <v>17284.79999999993</v>
      </c>
      <c r="Y52" s="270"/>
      <c r="Z52" s="270"/>
    </row>
    <row r="53" spans="1:26">
      <c r="A53" s="142">
        <f t="shared" si="3"/>
        <v>39</v>
      </c>
      <c r="D53" s="1">
        <v>211</v>
      </c>
      <c r="F53" s="91">
        <v>2080</v>
      </c>
      <c r="G53" s="91"/>
      <c r="H53" s="91"/>
      <c r="I53" s="91"/>
      <c r="J53" s="91"/>
      <c r="K53" s="177">
        <f>F53*61.33</f>
        <v>127566.39999999999</v>
      </c>
      <c r="L53" s="177"/>
      <c r="M53" s="177"/>
      <c r="N53" s="177">
        <f t="shared" si="4"/>
        <v>127566.39999999999</v>
      </c>
      <c r="O53" s="31"/>
      <c r="P53" s="248">
        <v>64.400000000000006</v>
      </c>
      <c r="Q53" s="31"/>
      <c r="R53" s="177">
        <f t="shared" si="0"/>
        <v>133952</v>
      </c>
      <c r="S53" s="177"/>
      <c r="T53" s="177"/>
      <c r="U53" s="177">
        <f t="shared" si="1"/>
        <v>133952</v>
      </c>
      <c r="V53" s="225"/>
      <c r="W53" s="177">
        <f t="shared" si="2"/>
        <v>6385.6000000000058</v>
      </c>
      <c r="Z53" s="270"/>
    </row>
    <row r="54" spans="1:26">
      <c r="A54" s="142">
        <f t="shared" si="3"/>
        <v>40</v>
      </c>
      <c r="D54" s="1">
        <v>212</v>
      </c>
      <c r="F54" s="91">
        <v>2032</v>
      </c>
      <c r="G54" s="91">
        <v>599.5</v>
      </c>
      <c r="H54" s="91">
        <v>39.5</v>
      </c>
      <c r="I54" s="91">
        <v>48</v>
      </c>
      <c r="J54" s="91"/>
      <c r="K54" s="177">
        <f>F54*42.45</f>
        <v>86258.400000000009</v>
      </c>
      <c r="L54" s="177">
        <f>(G54*42.45)*1.5</f>
        <v>38173.162500000006</v>
      </c>
      <c r="M54" s="177">
        <f>(H54*42.45)*2</f>
        <v>3353.55</v>
      </c>
      <c r="N54" s="177">
        <f t="shared" si="4"/>
        <v>127785.11250000002</v>
      </c>
      <c r="O54" s="31"/>
      <c r="P54" s="248">
        <v>45.72</v>
      </c>
      <c r="Q54" s="31"/>
      <c r="R54" s="177">
        <f t="shared" si="0"/>
        <v>95097.599999999991</v>
      </c>
      <c r="S54" s="177">
        <f t="shared" ref="S54:S59" si="8">(P54*1.5)*(G54-I54)</f>
        <v>37821.870000000003</v>
      </c>
      <c r="T54" s="177">
        <f t="shared" ref="T54:T59" si="9">(P54*2)*H54</f>
        <v>3611.88</v>
      </c>
      <c r="U54" s="177">
        <f t="shared" si="1"/>
        <v>136531.35</v>
      </c>
      <c r="V54" s="225"/>
      <c r="W54" s="177">
        <f t="shared" si="2"/>
        <v>8746.2374999999884</v>
      </c>
      <c r="Z54" s="270"/>
    </row>
    <row r="55" spans="1:26">
      <c r="A55" s="142">
        <f t="shared" si="3"/>
        <v>41</v>
      </c>
      <c r="D55" s="1">
        <v>215</v>
      </c>
      <c r="F55" s="91">
        <v>2036</v>
      </c>
      <c r="G55" s="91">
        <v>601.5</v>
      </c>
      <c r="H55" s="91">
        <v>24</v>
      </c>
      <c r="I55" s="91">
        <v>44</v>
      </c>
      <c r="J55" s="91"/>
      <c r="K55" s="177">
        <f>F55*36.77</f>
        <v>74863.72</v>
      </c>
      <c r="L55" s="177">
        <f>(G55*36.77)*1.5</f>
        <v>33175.732500000006</v>
      </c>
      <c r="M55" s="177">
        <f>(H55*36.77)*2</f>
        <v>1764.96</v>
      </c>
      <c r="N55" s="177">
        <f t="shared" si="4"/>
        <v>109804.41250000002</v>
      </c>
      <c r="O55" s="31"/>
      <c r="P55" s="248">
        <v>39.89</v>
      </c>
      <c r="Q55" s="31"/>
      <c r="R55" s="177">
        <f t="shared" si="0"/>
        <v>82971.199999999997</v>
      </c>
      <c r="S55" s="177">
        <f t="shared" si="8"/>
        <v>33358.012499999997</v>
      </c>
      <c r="T55" s="177">
        <f t="shared" si="9"/>
        <v>1914.72</v>
      </c>
      <c r="U55" s="177">
        <f t="shared" si="1"/>
        <v>118243.9325</v>
      </c>
      <c r="V55" s="225"/>
      <c r="W55" s="177">
        <f t="shared" si="2"/>
        <v>8439.519999999975</v>
      </c>
      <c r="Z55" s="270"/>
    </row>
    <row r="56" spans="1:26">
      <c r="A56" s="142">
        <f t="shared" si="3"/>
        <v>42</v>
      </c>
      <c r="D56" s="1">
        <v>216</v>
      </c>
      <c r="F56" s="91">
        <v>2032</v>
      </c>
      <c r="G56" s="91">
        <v>516</v>
      </c>
      <c r="H56" s="91">
        <v>37.5</v>
      </c>
      <c r="I56" s="91">
        <v>48</v>
      </c>
      <c r="J56" s="91"/>
      <c r="K56" s="177">
        <f>F56*45.59</f>
        <v>92638.88</v>
      </c>
      <c r="L56" s="177">
        <f>(G56*45.59)*1.5</f>
        <v>35286.660000000003</v>
      </c>
      <c r="M56" s="177">
        <f>(H56*45.59)*2</f>
        <v>3419.2500000000005</v>
      </c>
      <c r="N56" s="177">
        <f t="shared" si="4"/>
        <v>131344.79</v>
      </c>
      <c r="O56" s="31"/>
      <c r="P56" s="248">
        <v>47.87</v>
      </c>
      <c r="Q56" s="31"/>
      <c r="R56" s="177">
        <f t="shared" si="0"/>
        <v>99569.599999999991</v>
      </c>
      <c r="S56" s="177">
        <f t="shared" si="8"/>
        <v>33604.74</v>
      </c>
      <c r="T56" s="177">
        <f t="shared" si="9"/>
        <v>3590.25</v>
      </c>
      <c r="U56" s="177">
        <f t="shared" si="1"/>
        <v>136764.59</v>
      </c>
      <c r="V56" s="225"/>
      <c r="W56" s="177">
        <f t="shared" si="2"/>
        <v>5419.7999999999884</v>
      </c>
      <c r="Z56" s="270"/>
    </row>
    <row r="57" spans="1:26">
      <c r="A57" s="142">
        <f t="shared" si="3"/>
        <v>43</v>
      </c>
      <c r="D57" s="1">
        <v>217</v>
      </c>
      <c r="F57" s="91">
        <v>2072</v>
      </c>
      <c r="G57" s="91">
        <v>26.5</v>
      </c>
      <c r="H57" s="91">
        <v>17.5</v>
      </c>
      <c r="I57" s="91">
        <v>8</v>
      </c>
      <c r="J57" s="91"/>
      <c r="K57" s="177">
        <f>F57*32.19</f>
        <v>66697.679999999993</v>
      </c>
      <c r="L57" s="177">
        <f>(G57*32.19)*1.5</f>
        <v>1279.5525</v>
      </c>
      <c r="M57" s="177">
        <f>(H57*32.19)*2</f>
        <v>1126.6499999999999</v>
      </c>
      <c r="N57" s="177">
        <f t="shared" si="4"/>
        <v>69103.882499999992</v>
      </c>
      <c r="O57" s="31"/>
      <c r="P57" s="248">
        <v>33.79</v>
      </c>
      <c r="Q57" s="31"/>
      <c r="R57" s="177">
        <f t="shared" si="0"/>
        <v>70283.199999999997</v>
      </c>
      <c r="S57" s="177">
        <f t="shared" si="8"/>
        <v>937.67250000000001</v>
      </c>
      <c r="T57" s="177">
        <f t="shared" si="9"/>
        <v>1182.6499999999999</v>
      </c>
      <c r="U57" s="177">
        <f t="shared" si="1"/>
        <v>72403.522499999992</v>
      </c>
      <c r="V57" s="225"/>
      <c r="W57" s="177">
        <f t="shared" si="2"/>
        <v>3299.6399999999994</v>
      </c>
      <c r="Z57" s="270"/>
    </row>
    <row r="58" spans="1:26">
      <c r="A58" s="142">
        <f t="shared" si="3"/>
        <v>44</v>
      </c>
      <c r="D58" s="1">
        <v>219</v>
      </c>
      <c r="F58" s="91">
        <v>2036</v>
      </c>
      <c r="G58" s="91">
        <v>571.5</v>
      </c>
      <c r="H58" s="91">
        <v>26.5</v>
      </c>
      <c r="I58" s="91">
        <v>44</v>
      </c>
      <c r="J58" s="91"/>
      <c r="K58" s="177">
        <f>F58*36.77</f>
        <v>74863.72</v>
      </c>
      <c r="L58" s="177">
        <f>(G58*36.77)*1.5</f>
        <v>31521.0825</v>
      </c>
      <c r="M58" s="177">
        <f>(H58*36.77)*2</f>
        <v>1948.8100000000002</v>
      </c>
      <c r="N58" s="177">
        <f t="shared" si="4"/>
        <v>108333.6125</v>
      </c>
      <c r="O58" s="31"/>
      <c r="P58" s="248">
        <v>39.89</v>
      </c>
      <c r="Q58" s="31"/>
      <c r="R58" s="177">
        <f t="shared" si="0"/>
        <v>82971.199999999997</v>
      </c>
      <c r="S58" s="177">
        <f t="shared" si="8"/>
        <v>31562.962500000001</v>
      </c>
      <c r="T58" s="177">
        <f t="shared" si="9"/>
        <v>2114.17</v>
      </c>
      <c r="U58" s="177">
        <f t="shared" si="1"/>
        <v>116648.3325</v>
      </c>
      <c r="V58" s="225"/>
      <c r="W58" s="177">
        <f t="shared" si="2"/>
        <v>8314.7200000000012</v>
      </c>
      <c r="Z58" s="270"/>
    </row>
    <row r="59" spans="1:26">
      <c r="A59" s="142">
        <f t="shared" si="3"/>
        <v>45</v>
      </c>
      <c r="D59" s="1">
        <v>223</v>
      </c>
      <c r="F59" s="91">
        <v>2080</v>
      </c>
      <c r="G59" s="91">
        <v>3</v>
      </c>
      <c r="H59" s="91"/>
      <c r="I59" s="91"/>
      <c r="J59" s="91"/>
      <c r="K59" s="177">
        <f>F59*24.2</f>
        <v>50336</v>
      </c>
      <c r="L59" s="177">
        <f>(G59*24.2)*1.5</f>
        <v>108.89999999999999</v>
      </c>
      <c r="M59" s="177">
        <f>(H59*24.2)*2</f>
        <v>0</v>
      </c>
      <c r="N59" s="177">
        <f t="shared" si="4"/>
        <v>50444.9</v>
      </c>
      <c r="O59" s="31"/>
      <c r="P59" s="248">
        <v>27</v>
      </c>
      <c r="Q59" s="31"/>
      <c r="R59" s="177">
        <f t="shared" si="0"/>
        <v>56160</v>
      </c>
      <c r="S59" s="177">
        <f t="shared" si="8"/>
        <v>121.5</v>
      </c>
      <c r="T59" s="177">
        <f t="shared" si="9"/>
        <v>0</v>
      </c>
      <c r="U59" s="177">
        <f t="shared" si="1"/>
        <v>56281.5</v>
      </c>
      <c r="V59" s="225"/>
      <c r="W59" s="177">
        <f t="shared" si="2"/>
        <v>5836.5999999999985</v>
      </c>
      <c r="Z59" s="270"/>
    </row>
    <row r="60" spans="1:26">
      <c r="A60" s="142">
        <f t="shared" si="3"/>
        <v>46</v>
      </c>
      <c r="D60" s="1">
        <v>226</v>
      </c>
      <c r="F60" s="91">
        <v>1500</v>
      </c>
      <c r="G60" s="91">
        <v>22</v>
      </c>
      <c r="H60" s="91">
        <v>16</v>
      </c>
      <c r="I60" s="91"/>
      <c r="J60" s="91"/>
      <c r="K60" s="177">
        <f>F60*22.68</f>
        <v>34020</v>
      </c>
      <c r="L60" s="177">
        <f>(G60*22.68)*1.5</f>
        <v>748.43999999999994</v>
      </c>
      <c r="M60" s="177">
        <f>(H60*22.68)*2</f>
        <v>725.76</v>
      </c>
      <c r="N60" s="177">
        <f t="shared" si="4"/>
        <v>35494.200000000004</v>
      </c>
      <c r="O60" s="31"/>
      <c r="P60" s="248">
        <v>36.58</v>
      </c>
      <c r="Q60" s="31"/>
      <c r="R60" s="177">
        <f>(23.81*880)+(1200*P60)</f>
        <v>64848.800000000003</v>
      </c>
      <c r="S60" s="177"/>
      <c r="T60" s="177"/>
      <c r="U60" s="177">
        <f t="shared" si="1"/>
        <v>64848.800000000003</v>
      </c>
      <c r="V60" s="225"/>
      <c r="W60" s="177">
        <f t="shared" si="2"/>
        <v>29354.6</v>
      </c>
      <c r="X60" s="1" t="s">
        <v>129</v>
      </c>
      <c r="Z60" s="270"/>
    </row>
    <row r="61" spans="1:26">
      <c r="A61" s="142">
        <f t="shared" si="3"/>
        <v>47</v>
      </c>
      <c r="D61" s="1">
        <v>227</v>
      </c>
      <c r="F61" s="91">
        <v>2080</v>
      </c>
      <c r="G61" s="91">
        <v>62.5</v>
      </c>
      <c r="H61" s="91">
        <v>1.5</v>
      </c>
      <c r="I61" s="91"/>
      <c r="J61" s="91"/>
      <c r="K61" s="177">
        <f>F61*39.2</f>
        <v>81536</v>
      </c>
      <c r="L61" s="177">
        <f>(G61*39.2)*1.5</f>
        <v>3675</v>
      </c>
      <c r="M61" s="177">
        <f>(H61*39.2)*2</f>
        <v>117.60000000000001</v>
      </c>
      <c r="N61" s="177">
        <f t="shared" si="4"/>
        <v>85328.6</v>
      </c>
      <c r="O61" s="31"/>
      <c r="P61" s="248">
        <v>41.16</v>
      </c>
      <c r="Q61" s="31"/>
      <c r="R61" s="177">
        <f t="shared" si="0"/>
        <v>85612.799999999988</v>
      </c>
      <c r="S61" s="177">
        <f t="shared" ref="S61:S71" si="10">(P61*1.5)*(G61-I61)</f>
        <v>3858.7499999999995</v>
      </c>
      <c r="T61" s="177">
        <f t="shared" ref="T61:T71" si="11">(P61*2)*H61</f>
        <v>123.47999999999999</v>
      </c>
      <c r="U61" s="177">
        <f t="shared" si="1"/>
        <v>89595.029999999984</v>
      </c>
      <c r="V61" s="225"/>
      <c r="W61" s="177">
        <f t="shared" si="2"/>
        <v>4266.4299999999785</v>
      </c>
      <c r="Z61" s="270"/>
    </row>
    <row r="62" spans="1:26">
      <c r="A62" s="142">
        <f t="shared" si="3"/>
        <v>48</v>
      </c>
      <c r="D62" s="1">
        <v>229</v>
      </c>
      <c r="F62" s="91">
        <v>2072</v>
      </c>
      <c r="G62" s="91">
        <v>39.5</v>
      </c>
      <c r="H62" s="91">
        <v>17</v>
      </c>
      <c r="I62" s="91">
        <v>8</v>
      </c>
      <c r="J62" s="91"/>
      <c r="K62" s="177">
        <f>F62*27.18</f>
        <v>56316.959999999999</v>
      </c>
      <c r="L62" s="177">
        <f>(G62*27.18)*1.5</f>
        <v>1610.415</v>
      </c>
      <c r="M62" s="177">
        <f>(H62*27.18)*2</f>
        <v>924.12</v>
      </c>
      <c r="N62" s="177">
        <f t="shared" si="4"/>
        <v>58851.495000000003</v>
      </c>
      <c r="O62" s="31"/>
      <c r="P62" s="248">
        <v>29.44</v>
      </c>
      <c r="Q62" s="31"/>
      <c r="R62" s="177">
        <f t="shared" si="0"/>
        <v>61235.200000000004</v>
      </c>
      <c r="S62" s="177">
        <f t="shared" si="10"/>
        <v>1391.0400000000002</v>
      </c>
      <c r="T62" s="177">
        <f t="shared" si="11"/>
        <v>1000.96</v>
      </c>
      <c r="U62" s="177">
        <f t="shared" si="1"/>
        <v>63627.200000000004</v>
      </c>
      <c r="V62" s="225"/>
      <c r="W62" s="177">
        <f t="shared" si="2"/>
        <v>4775.7050000000017</v>
      </c>
      <c r="Z62" s="270"/>
    </row>
    <row r="63" spans="1:26">
      <c r="A63" s="142">
        <f t="shared" si="3"/>
        <v>49</v>
      </c>
      <c r="D63" s="1">
        <v>230</v>
      </c>
      <c r="F63" s="91">
        <v>2072</v>
      </c>
      <c r="G63" s="91">
        <v>333.25</v>
      </c>
      <c r="H63" s="91">
        <v>35</v>
      </c>
      <c r="I63" s="91">
        <v>8</v>
      </c>
      <c r="J63" s="91"/>
      <c r="K63" s="177">
        <f>F63*34.54</f>
        <v>71566.880000000005</v>
      </c>
      <c r="L63" s="177">
        <f>(G63*34.54)*1.5</f>
        <v>17265.682499999999</v>
      </c>
      <c r="M63" s="177">
        <f>(H63*34.54)*2</f>
        <v>2417.7999999999997</v>
      </c>
      <c r="N63" s="177">
        <f t="shared" si="4"/>
        <v>91250.362500000003</v>
      </c>
      <c r="O63" s="31"/>
      <c r="P63" s="248">
        <v>37.409999999999997</v>
      </c>
      <c r="Q63" s="31"/>
      <c r="R63" s="177">
        <f t="shared" si="0"/>
        <v>77812.799999999988</v>
      </c>
      <c r="S63" s="177">
        <f t="shared" si="10"/>
        <v>18251.403749999998</v>
      </c>
      <c r="T63" s="177">
        <f t="shared" si="11"/>
        <v>2618.6999999999998</v>
      </c>
      <c r="U63" s="177">
        <f t="shared" si="1"/>
        <v>98682.903749999983</v>
      </c>
      <c r="V63" s="225"/>
      <c r="W63" s="177">
        <f t="shared" si="2"/>
        <v>7432.5412499999802</v>
      </c>
      <c r="Z63" s="270"/>
    </row>
    <row r="64" spans="1:26">
      <c r="A64" s="142">
        <f t="shared" si="3"/>
        <v>50</v>
      </c>
      <c r="D64" s="1">
        <v>232</v>
      </c>
      <c r="F64" s="91">
        <v>2032</v>
      </c>
      <c r="G64" s="91">
        <v>584.5</v>
      </c>
      <c r="H64" s="91">
        <v>36</v>
      </c>
      <c r="I64" s="91">
        <v>48</v>
      </c>
      <c r="J64" s="91"/>
      <c r="K64" s="177">
        <f>F64*34.54</f>
        <v>70185.279999999999</v>
      </c>
      <c r="L64" s="177">
        <f>(G64*34.54)*1.5</f>
        <v>30282.945</v>
      </c>
      <c r="M64" s="177">
        <f>(H64*34.54)*2</f>
        <v>2486.88</v>
      </c>
      <c r="N64" s="177">
        <f t="shared" si="4"/>
        <v>102955.10500000001</v>
      </c>
      <c r="O64" s="31"/>
      <c r="P64" s="248">
        <v>37.409999999999997</v>
      </c>
      <c r="Q64" s="31"/>
      <c r="R64" s="177">
        <f t="shared" si="0"/>
        <v>77812.799999999988</v>
      </c>
      <c r="S64" s="177">
        <f t="shared" si="10"/>
        <v>30105.697499999998</v>
      </c>
      <c r="T64" s="177">
        <f t="shared" si="11"/>
        <v>2693.5199999999995</v>
      </c>
      <c r="U64" s="177">
        <f t="shared" si="1"/>
        <v>110612.01749999999</v>
      </c>
      <c r="V64" s="225"/>
      <c r="W64" s="177">
        <f t="shared" si="2"/>
        <v>7656.9124999999767</v>
      </c>
      <c r="Z64" s="270"/>
    </row>
    <row r="65" spans="1:26">
      <c r="A65" s="142">
        <f t="shared" si="3"/>
        <v>51</v>
      </c>
      <c r="D65" s="1">
        <v>233</v>
      </c>
      <c r="F65" s="91">
        <v>2072</v>
      </c>
      <c r="G65" s="91">
        <v>24.5</v>
      </c>
      <c r="H65" s="91">
        <v>16</v>
      </c>
      <c r="I65" s="91">
        <v>8</v>
      </c>
      <c r="J65" s="91"/>
      <c r="K65" s="177">
        <f>F65*28.9</f>
        <v>59880.799999999996</v>
      </c>
      <c r="L65" s="177">
        <f>(G65*28.9)*1.5</f>
        <v>1062.0749999999998</v>
      </c>
      <c r="M65" s="177">
        <f>(H65*28.9)*2</f>
        <v>924.8</v>
      </c>
      <c r="N65" s="177">
        <f t="shared" si="4"/>
        <v>61867.674999999996</v>
      </c>
      <c r="O65" s="31"/>
      <c r="P65" s="248">
        <v>30.34</v>
      </c>
      <c r="Q65" s="31"/>
      <c r="R65" s="177">
        <f t="shared" si="0"/>
        <v>63107.199999999997</v>
      </c>
      <c r="S65" s="177">
        <f t="shared" si="10"/>
        <v>750.91499999999996</v>
      </c>
      <c r="T65" s="177">
        <f t="shared" si="11"/>
        <v>970.88</v>
      </c>
      <c r="U65" s="177">
        <f t="shared" si="1"/>
        <v>64828.994999999995</v>
      </c>
      <c r="V65" s="225"/>
      <c r="W65" s="177">
        <f t="shared" si="2"/>
        <v>2961.3199999999997</v>
      </c>
      <c r="Z65" s="270"/>
    </row>
    <row r="66" spans="1:26">
      <c r="A66" s="142">
        <f t="shared" si="3"/>
        <v>52</v>
      </c>
      <c r="D66" s="1">
        <v>234</v>
      </c>
      <c r="F66" s="91">
        <v>2080</v>
      </c>
      <c r="G66" s="91">
        <v>4</v>
      </c>
      <c r="H66" s="91"/>
      <c r="I66" s="91"/>
      <c r="J66" s="91"/>
      <c r="K66" s="177">
        <f>F66*22.68</f>
        <v>47174.400000000001</v>
      </c>
      <c r="L66" s="177">
        <f>(G66*22.68)*1.5</f>
        <v>136.07999999999998</v>
      </c>
      <c r="M66" s="177">
        <f>(H66*22.68)*2</f>
        <v>0</v>
      </c>
      <c r="N66" s="177">
        <f t="shared" si="4"/>
        <v>47310.48</v>
      </c>
      <c r="O66" s="31"/>
      <c r="P66" s="248">
        <v>23.82</v>
      </c>
      <c r="Q66" s="31"/>
      <c r="R66" s="177">
        <f t="shared" si="0"/>
        <v>49545.599999999999</v>
      </c>
      <c r="S66" s="177">
        <f t="shared" si="10"/>
        <v>142.92000000000002</v>
      </c>
      <c r="T66" s="177">
        <f t="shared" si="11"/>
        <v>0</v>
      </c>
      <c r="U66" s="177">
        <f t="shared" si="1"/>
        <v>49688.52</v>
      </c>
      <c r="V66" s="225"/>
      <c r="W66" s="177">
        <f t="shared" si="2"/>
        <v>2378.0399999999936</v>
      </c>
      <c r="Z66" s="270"/>
    </row>
    <row r="67" spans="1:26">
      <c r="A67" s="142">
        <f t="shared" si="3"/>
        <v>53</v>
      </c>
      <c r="D67" s="1">
        <v>267</v>
      </c>
      <c r="F67" s="91">
        <v>2072</v>
      </c>
      <c r="G67" s="91">
        <v>31</v>
      </c>
      <c r="H67" s="91">
        <v>17</v>
      </c>
      <c r="I67" s="91">
        <v>8</v>
      </c>
      <c r="J67" s="91"/>
      <c r="K67" s="177">
        <f>F67*26.36</f>
        <v>54617.919999999998</v>
      </c>
      <c r="L67" s="177">
        <f>(G67*26.36)*1.5</f>
        <v>1225.74</v>
      </c>
      <c r="M67" s="177">
        <f>(H67*26.36)*2</f>
        <v>896.24</v>
      </c>
      <c r="N67" s="177">
        <f t="shared" si="4"/>
        <v>56739.899999999994</v>
      </c>
      <c r="O67" s="31"/>
      <c r="P67" s="248">
        <v>28.04</v>
      </c>
      <c r="Q67" s="31"/>
      <c r="R67" s="177">
        <f t="shared" si="0"/>
        <v>58323.199999999997</v>
      </c>
      <c r="S67" s="177">
        <f t="shared" si="10"/>
        <v>967.38000000000011</v>
      </c>
      <c r="T67" s="177">
        <f t="shared" si="11"/>
        <v>953.36</v>
      </c>
      <c r="U67" s="177">
        <f t="shared" si="1"/>
        <v>60243.939999999995</v>
      </c>
      <c r="V67" s="225"/>
      <c r="W67" s="177">
        <f t="shared" si="2"/>
        <v>3504.0400000000009</v>
      </c>
      <c r="Z67" s="270"/>
    </row>
    <row r="68" spans="1:26">
      <c r="A68" s="142">
        <f t="shared" si="3"/>
        <v>54</v>
      </c>
      <c r="D68" s="1">
        <v>268</v>
      </c>
      <c r="F68" s="91">
        <v>2072</v>
      </c>
      <c r="G68" s="91">
        <v>390.5</v>
      </c>
      <c r="H68" s="91">
        <v>34</v>
      </c>
      <c r="I68" s="91">
        <v>8</v>
      </c>
      <c r="J68" s="91"/>
      <c r="K68" s="177">
        <f>F68*29.09</f>
        <v>60274.48</v>
      </c>
      <c r="L68" s="177">
        <f>(G68*29.09)*1.5</f>
        <v>17039.467499999999</v>
      </c>
      <c r="M68" s="177">
        <f>(H68*29.09)*2</f>
        <v>1978.12</v>
      </c>
      <c r="N68" s="177">
        <f t="shared" si="4"/>
        <v>79292.067500000005</v>
      </c>
      <c r="O68" s="31"/>
      <c r="P68" s="248">
        <v>32.840000000000003</v>
      </c>
      <c r="Q68" s="31"/>
      <c r="R68" s="177">
        <f t="shared" si="0"/>
        <v>68307.200000000012</v>
      </c>
      <c r="S68" s="177">
        <f t="shared" si="10"/>
        <v>18841.95</v>
      </c>
      <c r="T68" s="177">
        <f t="shared" si="11"/>
        <v>2233.1200000000003</v>
      </c>
      <c r="U68" s="177">
        <f t="shared" si="1"/>
        <v>89382.27</v>
      </c>
      <c r="V68" s="225"/>
      <c r="W68" s="177">
        <f t="shared" si="2"/>
        <v>10090.202499999999</v>
      </c>
      <c r="Z68" s="270"/>
    </row>
    <row r="69" spans="1:26">
      <c r="A69" s="142">
        <f t="shared" si="3"/>
        <v>55</v>
      </c>
      <c r="D69" s="1">
        <v>270</v>
      </c>
      <c r="F69" s="91">
        <v>2072</v>
      </c>
      <c r="G69" s="91">
        <v>298</v>
      </c>
      <c r="H69" s="91">
        <v>20</v>
      </c>
      <c r="I69" s="91">
        <v>8</v>
      </c>
      <c r="J69" s="91"/>
      <c r="K69" s="177">
        <f>F69*34.54</f>
        <v>71566.880000000005</v>
      </c>
      <c r="L69" s="177">
        <f>(G69*34.54)*1.5</f>
        <v>15439.380000000001</v>
      </c>
      <c r="M69" s="177">
        <f>(H69*34.54)*2</f>
        <v>1381.6</v>
      </c>
      <c r="N69" s="177">
        <f t="shared" si="4"/>
        <v>88387.860000000015</v>
      </c>
      <c r="O69" s="31"/>
      <c r="P69" s="248">
        <v>36.270000000000003</v>
      </c>
      <c r="Q69" s="31"/>
      <c r="R69" s="177">
        <f t="shared" si="0"/>
        <v>75441.600000000006</v>
      </c>
      <c r="S69" s="177">
        <f t="shared" si="10"/>
        <v>15777.45</v>
      </c>
      <c r="T69" s="177">
        <f t="shared" si="11"/>
        <v>1450.8000000000002</v>
      </c>
      <c r="U69" s="177">
        <f t="shared" si="1"/>
        <v>92669.85</v>
      </c>
      <c r="V69" s="225"/>
      <c r="W69" s="177">
        <f t="shared" si="2"/>
        <v>4281.9899999999907</v>
      </c>
      <c r="Z69" s="270"/>
    </row>
    <row r="70" spans="1:26">
      <c r="A70" s="142">
        <f t="shared" si="3"/>
        <v>56</v>
      </c>
      <c r="D70" s="1">
        <v>272</v>
      </c>
      <c r="F70" s="91">
        <v>2036</v>
      </c>
      <c r="G70" s="91">
        <v>753</v>
      </c>
      <c r="H70" s="91">
        <v>32</v>
      </c>
      <c r="I70" s="91">
        <v>44</v>
      </c>
      <c r="J70" s="91"/>
      <c r="K70" s="177">
        <f>F70*34.54</f>
        <v>70323.44</v>
      </c>
      <c r="L70" s="177">
        <f>(G70*34.54)*1.5</f>
        <v>39012.93</v>
      </c>
      <c r="M70" s="177">
        <f>(H70*34.54)*2</f>
        <v>2210.56</v>
      </c>
      <c r="N70" s="177">
        <f t="shared" si="4"/>
        <v>111546.93</v>
      </c>
      <c r="O70" s="31"/>
      <c r="P70" s="248">
        <v>37.409999999999997</v>
      </c>
      <c r="Q70" s="31"/>
      <c r="R70" s="177">
        <f t="shared" si="0"/>
        <v>77812.799999999988</v>
      </c>
      <c r="S70" s="177">
        <f t="shared" si="10"/>
        <v>39785.534999999996</v>
      </c>
      <c r="T70" s="177">
        <f t="shared" si="11"/>
        <v>2394.2399999999998</v>
      </c>
      <c r="U70" s="177">
        <f t="shared" si="1"/>
        <v>119992.575</v>
      </c>
      <c r="V70" s="225"/>
      <c r="W70" s="177">
        <f t="shared" si="2"/>
        <v>8445.6450000000041</v>
      </c>
      <c r="Z70" s="270"/>
    </row>
    <row r="71" spans="1:26">
      <c r="A71" s="142">
        <f t="shared" si="3"/>
        <v>57</v>
      </c>
      <c r="D71" s="1">
        <v>273</v>
      </c>
      <c r="F71" s="91">
        <v>2080</v>
      </c>
      <c r="G71" s="91">
        <v>23</v>
      </c>
      <c r="H71" s="91">
        <v>1</v>
      </c>
      <c r="I71" s="91"/>
      <c r="J71" s="91"/>
      <c r="K71" s="177">
        <f>F71*39.2</f>
        <v>81536</v>
      </c>
      <c r="L71" s="177">
        <f>(G71*39.2)*1.5</f>
        <v>1352.4</v>
      </c>
      <c r="M71" s="177">
        <f>(H71*39.2)*2</f>
        <v>78.400000000000006</v>
      </c>
      <c r="N71" s="177">
        <f t="shared" si="4"/>
        <v>82966.799999999988</v>
      </c>
      <c r="O71" s="31"/>
      <c r="P71" s="248">
        <v>41.16</v>
      </c>
      <c r="Q71" s="31"/>
      <c r="R71" s="177">
        <f t="shared" si="0"/>
        <v>85612.799999999988</v>
      </c>
      <c r="S71" s="177">
        <f t="shared" si="10"/>
        <v>1420.02</v>
      </c>
      <c r="T71" s="177">
        <f t="shared" si="11"/>
        <v>82.32</v>
      </c>
      <c r="U71" s="177">
        <f t="shared" si="1"/>
        <v>87115.14</v>
      </c>
      <c r="V71" s="225"/>
      <c r="W71" s="177">
        <f t="shared" si="2"/>
        <v>4148.3400000000111</v>
      </c>
      <c r="Z71" s="270"/>
    </row>
    <row r="72" spans="1:26">
      <c r="A72" s="142">
        <f t="shared" si="3"/>
        <v>58</v>
      </c>
      <c r="D72" s="1">
        <v>274</v>
      </c>
      <c r="F72" s="91">
        <v>2080</v>
      </c>
      <c r="G72" s="91"/>
      <c r="H72" s="91"/>
      <c r="I72" s="91"/>
      <c r="J72" s="91"/>
      <c r="K72" s="177">
        <f>F72*37.99</f>
        <v>79019.199999999997</v>
      </c>
      <c r="L72" s="177"/>
      <c r="M72" s="177"/>
      <c r="N72" s="177">
        <f t="shared" si="4"/>
        <v>79019.199999999997</v>
      </c>
      <c r="O72" s="31"/>
      <c r="P72" s="248">
        <v>39.89</v>
      </c>
      <c r="Q72" s="31"/>
      <c r="R72" s="177">
        <f t="shared" si="0"/>
        <v>82971.199999999997</v>
      </c>
      <c r="S72" s="177"/>
      <c r="T72" s="177"/>
      <c r="U72" s="177">
        <f t="shared" si="1"/>
        <v>82971.199999999997</v>
      </c>
      <c r="V72" s="225"/>
      <c r="W72" s="177">
        <f t="shared" si="2"/>
        <v>3952</v>
      </c>
      <c r="Z72" s="270"/>
    </row>
    <row r="73" spans="1:26">
      <c r="A73" s="142">
        <f t="shared" si="3"/>
        <v>59</v>
      </c>
      <c r="D73" s="1">
        <v>275</v>
      </c>
      <c r="F73" s="91">
        <v>2080</v>
      </c>
      <c r="G73" s="91">
        <v>1</v>
      </c>
      <c r="H73" s="91"/>
      <c r="I73" s="91"/>
      <c r="J73" s="91"/>
      <c r="K73" s="177">
        <f>F73*39.2</f>
        <v>81536</v>
      </c>
      <c r="L73" s="177">
        <f>(G73*39.2)*1.5</f>
        <v>58.800000000000004</v>
      </c>
      <c r="M73" s="177">
        <f>(H73*39.2)*2</f>
        <v>0</v>
      </c>
      <c r="N73" s="177">
        <f t="shared" si="4"/>
        <v>81594.8</v>
      </c>
      <c r="O73" s="31"/>
      <c r="P73" s="248">
        <v>41.16</v>
      </c>
      <c r="Q73" s="31"/>
      <c r="R73" s="177">
        <f t="shared" si="0"/>
        <v>85612.799999999988</v>
      </c>
      <c r="S73" s="177">
        <f>(P73*1.5)*(G73-I73)</f>
        <v>61.739999999999995</v>
      </c>
      <c r="T73" s="177">
        <f>(P73*2)*H73</f>
        <v>0</v>
      </c>
      <c r="U73" s="177">
        <f t="shared" si="1"/>
        <v>85674.54</v>
      </c>
      <c r="V73" s="225"/>
      <c r="W73" s="177">
        <f t="shared" si="2"/>
        <v>4079.7399999999907</v>
      </c>
      <c r="Z73" s="270"/>
    </row>
    <row r="74" spans="1:26">
      <c r="A74" s="142">
        <f t="shared" si="3"/>
        <v>60</v>
      </c>
      <c r="D74" s="1">
        <v>276</v>
      </c>
      <c r="F74" s="91">
        <v>2080</v>
      </c>
      <c r="G74" s="91">
        <v>4</v>
      </c>
      <c r="H74" s="91"/>
      <c r="I74" s="91"/>
      <c r="J74" s="91"/>
      <c r="K74" s="177">
        <f>F74*22.03</f>
        <v>45822.400000000001</v>
      </c>
      <c r="L74" s="177">
        <f>(G74*22.03)*1.5</f>
        <v>132.18</v>
      </c>
      <c r="M74" s="177">
        <f>(H74*22.03)*2</f>
        <v>0</v>
      </c>
      <c r="N74" s="177">
        <f t="shared" si="4"/>
        <v>45954.58</v>
      </c>
      <c r="O74" s="31"/>
      <c r="P74" s="248">
        <v>23.82</v>
      </c>
      <c r="Q74" s="31"/>
      <c r="R74" s="177">
        <f t="shared" si="0"/>
        <v>49545.599999999999</v>
      </c>
      <c r="S74" s="177">
        <f>(P74*1.5)*(G74-I74)</f>
        <v>142.92000000000002</v>
      </c>
      <c r="T74" s="177">
        <f>(P74*2)*H74</f>
        <v>0</v>
      </c>
      <c r="U74" s="177">
        <f t="shared" si="1"/>
        <v>49688.52</v>
      </c>
      <c r="V74" s="225"/>
      <c r="W74" s="177">
        <f t="shared" si="2"/>
        <v>3733.9399999999951</v>
      </c>
      <c r="Z74" s="270"/>
    </row>
    <row r="75" spans="1:26">
      <c r="A75" s="142">
        <f t="shared" si="3"/>
        <v>61</v>
      </c>
      <c r="D75" s="1">
        <v>277</v>
      </c>
      <c r="F75" s="91">
        <v>2032</v>
      </c>
      <c r="G75" s="91">
        <v>419</v>
      </c>
      <c r="H75" s="91">
        <v>22</v>
      </c>
      <c r="I75" s="91">
        <v>48</v>
      </c>
      <c r="J75" s="91"/>
      <c r="K75" s="177">
        <f>F75*29.09</f>
        <v>59110.879999999997</v>
      </c>
      <c r="L75" s="177">
        <f>(G75*29.09)*1.5</f>
        <v>18283.064999999999</v>
      </c>
      <c r="M75" s="177">
        <f>(H75*29.09)*2</f>
        <v>1279.96</v>
      </c>
      <c r="N75" s="177">
        <f t="shared" si="4"/>
        <v>78673.904999999999</v>
      </c>
      <c r="O75" s="31"/>
      <c r="P75" s="248">
        <v>32.840000000000003</v>
      </c>
      <c r="Q75" s="31"/>
      <c r="R75" s="177">
        <f t="shared" si="0"/>
        <v>68307.200000000012</v>
      </c>
      <c r="S75" s="177">
        <f>(P75*1.5)*(G75-I75)</f>
        <v>18275.460000000003</v>
      </c>
      <c r="T75" s="177">
        <f>(P75*2)*H75</f>
        <v>1444.96</v>
      </c>
      <c r="U75" s="177">
        <f t="shared" si="1"/>
        <v>88027.620000000024</v>
      </c>
      <c r="V75" s="225"/>
      <c r="W75" s="177">
        <f t="shared" si="2"/>
        <v>9353.7150000000256</v>
      </c>
      <c r="Z75" s="270"/>
    </row>
    <row r="76" spans="1:26">
      <c r="A76" s="142">
        <f t="shared" si="3"/>
        <v>62</v>
      </c>
      <c r="D76" s="1">
        <v>278</v>
      </c>
      <c r="F76" s="91">
        <v>1064</v>
      </c>
      <c r="G76" s="91">
        <v>16</v>
      </c>
      <c r="H76" s="91">
        <v>16</v>
      </c>
      <c r="I76" s="91">
        <v>8</v>
      </c>
      <c r="J76" s="91"/>
      <c r="K76" s="177">
        <f>F76*32.19</f>
        <v>34250.159999999996</v>
      </c>
      <c r="L76" s="177">
        <f>(G76*32.19)*1.5</f>
        <v>772.56</v>
      </c>
      <c r="M76" s="177">
        <f>(H76*32.19)*2</f>
        <v>1030.08</v>
      </c>
      <c r="N76" s="177">
        <f t="shared" si="4"/>
        <v>36052.799999999996</v>
      </c>
      <c r="O76" s="31"/>
      <c r="P76" s="248">
        <v>32.19</v>
      </c>
      <c r="Q76" s="31"/>
      <c r="R76" s="177"/>
      <c r="S76" s="177"/>
      <c r="T76" s="177"/>
      <c r="V76" s="225"/>
      <c r="W76" s="177">
        <f t="shared" si="2"/>
        <v>-36052.799999999996</v>
      </c>
      <c r="X76" s="1" t="s">
        <v>263</v>
      </c>
      <c r="Z76" s="270"/>
    </row>
    <row r="77" spans="1:26">
      <c r="A77" s="142">
        <f t="shared" si="3"/>
        <v>63</v>
      </c>
      <c r="D77" s="1">
        <v>281</v>
      </c>
      <c r="F77" s="91">
        <v>556.5</v>
      </c>
      <c r="G77" s="91">
        <v>28</v>
      </c>
      <c r="H77" s="91">
        <v>16.5</v>
      </c>
      <c r="I77" s="91"/>
      <c r="J77" s="91"/>
      <c r="K77" s="177">
        <f>F77*18</f>
        <v>10017</v>
      </c>
      <c r="L77" s="177">
        <f>(G77*18)*1.5</f>
        <v>756</v>
      </c>
      <c r="M77" s="177">
        <f>(H77*18)*2</f>
        <v>594</v>
      </c>
      <c r="N77" s="177">
        <f t="shared" si="4"/>
        <v>11367</v>
      </c>
      <c r="O77" s="31"/>
      <c r="P77" s="248">
        <v>19.670000000000002</v>
      </c>
      <c r="Q77" s="31"/>
      <c r="R77" s="177">
        <f>P77*F77</f>
        <v>10946.355000000001</v>
      </c>
      <c r="S77" s="177">
        <f>(P77*1.5)*(G77-I77)</f>
        <v>826.1400000000001</v>
      </c>
      <c r="T77" s="177">
        <f>(P77*2)*H77</f>
        <v>649.11</v>
      </c>
      <c r="U77" s="177">
        <f t="shared" ref="U77:U78" si="12">SUM(R77:T77)</f>
        <v>12421.605000000001</v>
      </c>
      <c r="V77" s="225"/>
      <c r="W77" s="177">
        <f t="shared" si="2"/>
        <v>1054.6050000000014</v>
      </c>
      <c r="X77" s="1" t="s">
        <v>128</v>
      </c>
      <c r="Z77" s="270"/>
    </row>
    <row r="78" spans="1:26">
      <c r="A78" s="142">
        <f t="shared" si="3"/>
        <v>64</v>
      </c>
      <c r="D78" s="1">
        <v>282</v>
      </c>
      <c r="F78" s="91">
        <v>328.5</v>
      </c>
      <c r="G78" s="91"/>
      <c r="H78" s="91"/>
      <c r="I78" s="91"/>
      <c r="J78" s="91"/>
      <c r="K78" s="177">
        <f>F78*13.5</f>
        <v>4434.75</v>
      </c>
      <c r="L78" s="177">
        <f>(G78*13.5)*1.5</f>
        <v>0</v>
      </c>
      <c r="M78" s="177">
        <f>(H78*13.5)*2</f>
        <v>0</v>
      </c>
      <c r="N78" s="177">
        <f t="shared" si="4"/>
        <v>4434.75</v>
      </c>
      <c r="O78" s="31"/>
      <c r="P78" s="248">
        <v>14</v>
      </c>
      <c r="Q78" s="31"/>
      <c r="R78" s="177">
        <f>P78*F78</f>
        <v>4599</v>
      </c>
      <c r="S78" s="177">
        <f>(P78*1.5)*(G78-I78)</f>
        <v>0</v>
      </c>
      <c r="T78" s="177">
        <f>(P78*2)*H78</f>
        <v>0</v>
      </c>
      <c r="U78" s="177">
        <f t="shared" si="12"/>
        <v>4599</v>
      </c>
      <c r="V78" s="225"/>
      <c r="W78" s="177">
        <f t="shared" si="2"/>
        <v>164.25</v>
      </c>
      <c r="X78" s="1" t="s">
        <v>128</v>
      </c>
      <c r="Z78" s="270"/>
    </row>
    <row r="79" spans="1:26">
      <c r="A79" s="142">
        <f t="shared" si="3"/>
        <v>65</v>
      </c>
      <c r="D79" s="1">
        <v>283</v>
      </c>
      <c r="F79" s="91">
        <v>1845</v>
      </c>
      <c r="G79" s="91"/>
      <c r="H79" s="91"/>
      <c r="I79" s="91">
        <v>235</v>
      </c>
      <c r="J79" s="91"/>
      <c r="K79" s="177">
        <f>F79*22.68</f>
        <v>41844.6</v>
      </c>
      <c r="L79" s="177">
        <f>(G79*22.68)*1.5</f>
        <v>0</v>
      </c>
      <c r="M79" s="177">
        <f>(H79*22.68)*2</f>
        <v>0</v>
      </c>
      <c r="N79" s="177">
        <f t="shared" si="4"/>
        <v>41844.6</v>
      </c>
      <c r="O79" s="31"/>
      <c r="P79" s="248">
        <v>24.51</v>
      </c>
      <c r="Q79" s="31"/>
      <c r="R79" s="177">
        <f t="shared" si="0"/>
        <v>50980.800000000003</v>
      </c>
      <c r="S79" s="177"/>
      <c r="T79" s="177"/>
      <c r="U79" s="177">
        <f t="shared" si="1"/>
        <v>50980.800000000003</v>
      </c>
      <c r="V79" s="225"/>
      <c r="W79" s="177">
        <f t="shared" si="2"/>
        <v>9136.2000000000044</v>
      </c>
      <c r="X79" s="1" t="s">
        <v>316</v>
      </c>
      <c r="Z79" s="270"/>
    </row>
    <row r="80" spans="1:26">
      <c r="A80" s="142">
        <f t="shared" si="3"/>
        <v>66</v>
      </c>
      <c r="D80" s="1">
        <v>284</v>
      </c>
      <c r="F80" s="91">
        <v>2072</v>
      </c>
      <c r="G80" s="91">
        <v>469</v>
      </c>
      <c r="H80" s="91">
        <v>29.5</v>
      </c>
      <c r="I80" s="91">
        <v>8</v>
      </c>
      <c r="J80" s="91"/>
      <c r="K80" s="177">
        <f>F80*42.45</f>
        <v>87956.400000000009</v>
      </c>
      <c r="L80" s="177">
        <f>(G80*42.45)*1.5</f>
        <v>29863.575000000004</v>
      </c>
      <c r="M80" s="177">
        <f>(H80*42.45)*2</f>
        <v>2504.5500000000002</v>
      </c>
      <c r="N80" s="177">
        <f t="shared" si="4"/>
        <v>120324.52500000001</v>
      </c>
      <c r="O80" s="31"/>
      <c r="P80" s="248">
        <v>45.72</v>
      </c>
      <c r="Q80" s="31"/>
      <c r="R80" s="177">
        <f t="shared" si="0"/>
        <v>95097.599999999991</v>
      </c>
      <c r="S80" s="177">
        <f>(P80*1.5)*(G80-I80)</f>
        <v>31615.38</v>
      </c>
      <c r="T80" s="177">
        <f t="shared" ref="T80:T87" si="13">(P80*2)*H80</f>
        <v>2697.48</v>
      </c>
      <c r="U80" s="177">
        <f t="shared" si="1"/>
        <v>129410.45999999999</v>
      </c>
      <c r="V80" s="225"/>
      <c r="W80" s="177">
        <f t="shared" si="2"/>
        <v>9085.9349999999831</v>
      </c>
      <c r="Z80" s="270"/>
    </row>
    <row r="81" spans="1:26">
      <c r="A81" s="142">
        <f t="shared" ref="A81:A102" si="14">A80+1</f>
        <v>67</v>
      </c>
      <c r="D81" s="1">
        <v>285</v>
      </c>
      <c r="F81" s="91">
        <v>2072</v>
      </c>
      <c r="G81" s="91">
        <v>243.5</v>
      </c>
      <c r="H81" s="91">
        <v>18</v>
      </c>
      <c r="I81" s="91">
        <v>8</v>
      </c>
      <c r="J81" s="91"/>
      <c r="K81" s="177">
        <f>F81*42.45</f>
        <v>87956.400000000009</v>
      </c>
      <c r="L81" s="177">
        <f>(G81*42.45)*1.5</f>
        <v>15504.862500000001</v>
      </c>
      <c r="M81" s="177">
        <f>(H81*42.45)*2</f>
        <v>1528.2</v>
      </c>
      <c r="N81" s="177">
        <f t="shared" ref="N81:N94" si="15">SUM(K81:M81)</f>
        <v>104989.46250000001</v>
      </c>
      <c r="O81" s="31"/>
      <c r="P81" s="248">
        <v>45.72</v>
      </c>
      <c r="Q81" s="31"/>
      <c r="R81" s="177">
        <f t="shared" si="0"/>
        <v>95097.599999999991</v>
      </c>
      <c r="S81" s="177">
        <f>(P81*1.5)*(G81-I81)</f>
        <v>16150.59</v>
      </c>
      <c r="T81" s="177">
        <f t="shared" si="13"/>
        <v>1645.92</v>
      </c>
      <c r="U81" s="177">
        <f t="shared" si="1"/>
        <v>112894.10999999999</v>
      </c>
      <c r="V81" s="225"/>
      <c r="W81" s="177">
        <f t="shared" si="2"/>
        <v>7904.6474999999773</v>
      </c>
      <c r="Z81" s="270"/>
    </row>
    <row r="82" spans="1:26">
      <c r="A82" s="142">
        <f t="shared" si="14"/>
        <v>68</v>
      </c>
      <c r="D82" s="1">
        <v>286</v>
      </c>
      <c r="F82" s="91">
        <v>2080</v>
      </c>
      <c r="G82" s="91">
        <v>4</v>
      </c>
      <c r="H82" s="91"/>
      <c r="I82" s="91"/>
      <c r="J82" s="91"/>
      <c r="K82" s="177">
        <f>F82*22.03</f>
        <v>45822.400000000001</v>
      </c>
      <c r="L82" s="177">
        <f>(G82*22.03)*1.5</f>
        <v>132.18</v>
      </c>
      <c r="M82" s="177">
        <f>(H82*22.03)*2</f>
        <v>0</v>
      </c>
      <c r="N82" s="177">
        <f t="shared" si="15"/>
        <v>45954.58</v>
      </c>
      <c r="O82" s="31"/>
      <c r="P82" s="248">
        <v>23.82</v>
      </c>
      <c r="Q82" s="31"/>
      <c r="R82" s="177">
        <f t="shared" si="0"/>
        <v>49545.599999999999</v>
      </c>
      <c r="S82" s="177">
        <f>(P82*1.5)*(G82-I82)</f>
        <v>142.92000000000002</v>
      </c>
      <c r="T82" s="177">
        <f t="shared" si="13"/>
        <v>0</v>
      </c>
      <c r="U82" s="177">
        <f t="shared" si="1"/>
        <v>49688.52</v>
      </c>
      <c r="V82" s="225"/>
      <c r="W82" s="177">
        <f t="shared" si="2"/>
        <v>3733.9399999999951</v>
      </c>
      <c r="Z82" s="270"/>
    </row>
    <row r="83" spans="1:26">
      <c r="A83" s="142">
        <f t="shared" si="14"/>
        <v>69</v>
      </c>
      <c r="D83" s="1">
        <v>287</v>
      </c>
      <c r="F83" s="91">
        <v>2080</v>
      </c>
      <c r="G83" s="91">
        <v>4</v>
      </c>
      <c r="H83" s="91"/>
      <c r="I83" s="91"/>
      <c r="J83" s="91"/>
      <c r="K83" s="177">
        <f>F83*22.03</f>
        <v>45822.400000000001</v>
      </c>
      <c r="L83" s="177">
        <f>(G83*22.03)*1.5</f>
        <v>132.18</v>
      </c>
      <c r="M83" s="177">
        <f>(H83*22.03)*2</f>
        <v>0</v>
      </c>
      <c r="N83" s="177">
        <f t="shared" si="15"/>
        <v>45954.58</v>
      </c>
      <c r="O83" s="31"/>
      <c r="P83" s="248">
        <v>23.82</v>
      </c>
      <c r="Q83" s="31"/>
      <c r="R83" s="177">
        <f t="shared" si="0"/>
        <v>49545.599999999999</v>
      </c>
      <c r="S83" s="177">
        <f>(P83*1.5)*(G83-I83)</f>
        <v>142.92000000000002</v>
      </c>
      <c r="T83" s="177">
        <f t="shared" si="13"/>
        <v>0</v>
      </c>
      <c r="U83" s="177">
        <f t="shared" si="1"/>
        <v>49688.52</v>
      </c>
      <c r="V83" s="225"/>
      <c r="W83" s="177">
        <f t="shared" si="2"/>
        <v>3733.9399999999951</v>
      </c>
      <c r="Z83" s="270"/>
    </row>
    <row r="84" spans="1:26">
      <c r="A84" s="142">
        <f t="shared" si="14"/>
        <v>70</v>
      </c>
      <c r="D84" s="1">
        <v>289</v>
      </c>
      <c r="F84" s="91">
        <v>1216</v>
      </c>
      <c r="G84" s="91">
        <v>4</v>
      </c>
      <c r="H84" s="91"/>
      <c r="I84" s="91">
        <v>864</v>
      </c>
      <c r="J84" s="91"/>
      <c r="K84" s="177">
        <f>F84*25</f>
        <v>30400</v>
      </c>
      <c r="L84" s="177">
        <f>(G84*25)*1.5</f>
        <v>150</v>
      </c>
      <c r="M84" s="177">
        <f>(H84*25)*2</f>
        <v>0</v>
      </c>
      <c r="N84" s="177">
        <f t="shared" si="15"/>
        <v>30550</v>
      </c>
      <c r="O84" s="31"/>
      <c r="P84" s="248">
        <v>26.73</v>
      </c>
      <c r="Q84" s="31"/>
      <c r="R84" s="177">
        <f t="shared" si="0"/>
        <v>55598.400000000001</v>
      </c>
      <c r="S84" s="177">
        <f>(P84*1.5)*(G84)</f>
        <v>160.38</v>
      </c>
      <c r="T84" s="177">
        <f t="shared" si="13"/>
        <v>0</v>
      </c>
      <c r="U84" s="177">
        <f t="shared" si="1"/>
        <v>55758.78</v>
      </c>
      <c r="V84" s="225"/>
      <c r="W84" s="177">
        <f t="shared" si="2"/>
        <v>25208.78</v>
      </c>
      <c r="X84" s="1" t="s">
        <v>264</v>
      </c>
      <c r="Z84" s="270"/>
    </row>
    <row r="85" spans="1:26">
      <c r="A85" s="142">
        <f t="shared" si="14"/>
        <v>71</v>
      </c>
      <c r="D85" s="1">
        <v>290</v>
      </c>
      <c r="F85" s="91">
        <v>2080</v>
      </c>
      <c r="G85" s="91">
        <v>4</v>
      </c>
      <c r="H85" s="91"/>
      <c r="I85" s="91"/>
      <c r="J85" s="91"/>
      <c r="K85" s="177">
        <f>F85*20.05</f>
        <v>41704</v>
      </c>
      <c r="L85" s="177">
        <f>(G85*20.05)*1.5</f>
        <v>120.30000000000001</v>
      </c>
      <c r="M85" s="177">
        <f>(H85*20.05)*2</f>
        <v>0</v>
      </c>
      <c r="N85" s="177">
        <f t="shared" si="15"/>
        <v>41824.300000000003</v>
      </c>
      <c r="O85" s="31"/>
      <c r="P85" s="248">
        <v>22.44</v>
      </c>
      <c r="Q85" s="31"/>
      <c r="R85" s="177">
        <f t="shared" ref="R85:R94" si="16">2080*P85</f>
        <v>46675.200000000004</v>
      </c>
      <c r="S85" s="177">
        <f>(P85*1.5)*(G85-I85)</f>
        <v>134.64000000000001</v>
      </c>
      <c r="T85" s="177">
        <f t="shared" si="13"/>
        <v>0</v>
      </c>
      <c r="U85" s="177">
        <f t="shared" ref="U85:U94" si="17">SUM(R85:T85)</f>
        <v>46809.840000000004</v>
      </c>
      <c r="V85" s="225"/>
      <c r="W85" s="177">
        <f t="shared" ref="W85:W94" si="18">U85-N85</f>
        <v>4985.5400000000009</v>
      </c>
      <c r="Z85" s="270"/>
    </row>
    <row r="86" spans="1:26">
      <c r="A86" s="142">
        <f t="shared" si="14"/>
        <v>72</v>
      </c>
      <c r="D86" s="1">
        <v>291</v>
      </c>
      <c r="F86" s="91">
        <v>1868.8</v>
      </c>
      <c r="G86" s="91">
        <v>0.75</v>
      </c>
      <c r="H86" s="91"/>
      <c r="I86" s="91">
        <v>211.2</v>
      </c>
      <c r="J86" s="91"/>
      <c r="K86" s="177">
        <f>F86*18.73</f>
        <v>35002.624000000003</v>
      </c>
      <c r="L86" s="177">
        <f>(G86*18.73)*1.5</f>
        <v>21.071249999999999</v>
      </c>
      <c r="M86" s="177">
        <f>(H86*18.73)*2</f>
        <v>0</v>
      </c>
      <c r="N86" s="177">
        <f t="shared" si="15"/>
        <v>35023.695250000004</v>
      </c>
      <c r="O86" s="31"/>
      <c r="P86" s="248">
        <v>21.06</v>
      </c>
      <c r="Q86" s="31"/>
      <c r="R86" s="177">
        <f t="shared" si="16"/>
        <v>43804.799999999996</v>
      </c>
      <c r="S86" s="177">
        <f>(P86*1.5)*(G86)</f>
        <v>23.692499999999995</v>
      </c>
      <c r="T86" s="177">
        <f t="shared" si="13"/>
        <v>0</v>
      </c>
      <c r="U86" s="177">
        <f t="shared" si="17"/>
        <v>43828.492499999993</v>
      </c>
      <c r="V86" s="225"/>
      <c r="W86" s="177">
        <f t="shared" si="18"/>
        <v>8804.7972499999887</v>
      </c>
      <c r="X86" s="1" t="s">
        <v>316</v>
      </c>
      <c r="Z86" s="270"/>
    </row>
    <row r="87" spans="1:26">
      <c r="A87" s="142">
        <f t="shared" si="14"/>
        <v>73</v>
      </c>
      <c r="D87" s="1">
        <v>292</v>
      </c>
      <c r="F87" s="91">
        <v>2072</v>
      </c>
      <c r="G87" s="91">
        <v>276</v>
      </c>
      <c r="H87" s="91">
        <v>22</v>
      </c>
      <c r="I87" s="91">
        <v>8</v>
      </c>
      <c r="J87" s="91"/>
      <c r="K87" s="177">
        <f>F87*23.73</f>
        <v>49168.56</v>
      </c>
      <c r="L87" s="177">
        <f>(G87*23.73)*1.5</f>
        <v>9824.2200000000012</v>
      </c>
      <c r="M87" s="177">
        <f>(H87*23.73)*2</f>
        <v>1044.1200000000001</v>
      </c>
      <c r="N87" s="177">
        <f t="shared" si="15"/>
        <v>60036.9</v>
      </c>
      <c r="O87" s="31"/>
      <c r="P87" s="248">
        <v>26.73</v>
      </c>
      <c r="Q87" s="31"/>
      <c r="R87" s="177">
        <f t="shared" si="16"/>
        <v>55598.400000000001</v>
      </c>
      <c r="S87" s="177">
        <f>(P87*1.5)*(G87-I87)</f>
        <v>10745.46</v>
      </c>
      <c r="T87" s="177">
        <f t="shared" si="13"/>
        <v>1176.1200000000001</v>
      </c>
      <c r="U87" s="177">
        <f t="shared" si="17"/>
        <v>67519.98</v>
      </c>
      <c r="V87" s="225"/>
      <c r="W87" s="177">
        <f t="shared" si="18"/>
        <v>7483.0799999999945</v>
      </c>
      <c r="Z87" s="270"/>
    </row>
    <row r="88" spans="1:26">
      <c r="A88" s="142">
        <f t="shared" si="14"/>
        <v>74</v>
      </c>
      <c r="D88" s="1">
        <v>293</v>
      </c>
      <c r="F88" s="91">
        <v>1344</v>
      </c>
      <c r="G88" s="91">
        <v>359</v>
      </c>
      <c r="H88" s="91">
        <v>24.5</v>
      </c>
      <c r="I88" s="91">
        <v>8</v>
      </c>
      <c r="J88" s="91"/>
      <c r="K88" s="177">
        <f>F88*42.54</f>
        <v>57173.760000000002</v>
      </c>
      <c r="L88" s="177">
        <f>(G88*42.54)*1.5</f>
        <v>22907.79</v>
      </c>
      <c r="M88" s="177">
        <f>(H88*42.54)*2</f>
        <v>2084.46</v>
      </c>
      <c r="N88" s="177">
        <f t="shared" si="15"/>
        <v>82166.010000000009</v>
      </c>
      <c r="O88" s="31"/>
      <c r="P88" s="248">
        <v>42.54</v>
      </c>
      <c r="Q88" s="31"/>
      <c r="R88" s="177"/>
      <c r="S88" s="177"/>
      <c r="T88" s="177"/>
      <c r="V88" s="225"/>
      <c r="W88" s="177">
        <f t="shared" si="18"/>
        <v>-82166.010000000009</v>
      </c>
      <c r="X88" s="1" t="s">
        <v>265</v>
      </c>
      <c r="Z88" s="270"/>
    </row>
    <row r="89" spans="1:26">
      <c r="A89" s="142">
        <f t="shared" si="14"/>
        <v>75</v>
      </c>
      <c r="D89" s="1">
        <v>294</v>
      </c>
      <c r="F89" s="91">
        <v>346</v>
      </c>
      <c r="G89" s="91"/>
      <c r="H89" s="91"/>
      <c r="I89" s="91"/>
      <c r="J89" s="91"/>
      <c r="K89" s="177">
        <f>F89*12</f>
        <v>4152</v>
      </c>
      <c r="L89" s="177">
        <f>(G89*12)*1.5</f>
        <v>0</v>
      </c>
      <c r="M89" s="177">
        <f>(H89*12)*2</f>
        <v>0</v>
      </c>
      <c r="N89" s="177">
        <f t="shared" si="15"/>
        <v>4152</v>
      </c>
      <c r="O89" s="31"/>
      <c r="P89" s="248">
        <v>12</v>
      </c>
      <c r="Q89" s="31"/>
      <c r="R89" s="177">
        <f>P89*F89</f>
        <v>4152</v>
      </c>
      <c r="S89" s="177">
        <f>(P89*1.5)*(G89-I89)</f>
        <v>0</v>
      </c>
      <c r="T89" s="177">
        <f>(P89*2)*H89</f>
        <v>0</v>
      </c>
      <c r="U89" s="177">
        <f t="shared" ref="U89:U92" si="19">SUM(R89:T89)</f>
        <v>4152</v>
      </c>
      <c r="V89" s="225"/>
      <c r="W89" s="177">
        <f t="shared" si="18"/>
        <v>0</v>
      </c>
      <c r="X89" s="1" t="s">
        <v>128</v>
      </c>
      <c r="Z89" s="270"/>
    </row>
    <row r="90" spans="1:26">
      <c r="A90" s="142">
        <f t="shared" si="14"/>
        <v>76</v>
      </c>
      <c r="D90" s="1">
        <v>295</v>
      </c>
      <c r="F90" s="91">
        <v>386</v>
      </c>
      <c r="G90" s="91"/>
      <c r="H90" s="91"/>
      <c r="I90" s="91"/>
      <c r="J90" s="91"/>
      <c r="K90" s="177">
        <f>F90*12</f>
        <v>4632</v>
      </c>
      <c r="L90" s="177">
        <f>(G90*12)*1.5</f>
        <v>0</v>
      </c>
      <c r="M90" s="177">
        <f>(H90*12)*2</f>
        <v>0</v>
      </c>
      <c r="N90" s="177">
        <f t="shared" si="15"/>
        <v>4632</v>
      </c>
      <c r="O90" s="31"/>
      <c r="P90" s="248">
        <v>12</v>
      </c>
      <c r="Q90" s="31"/>
      <c r="R90" s="177">
        <f>P90*F90</f>
        <v>4632</v>
      </c>
      <c r="S90" s="177">
        <f>(P90*1.5)*(G90-I90)</f>
        <v>0</v>
      </c>
      <c r="T90" s="177">
        <f t="shared" ref="T90:T92" si="20">(P90*2)*H90</f>
        <v>0</v>
      </c>
      <c r="U90" s="177">
        <f t="shared" si="19"/>
        <v>4632</v>
      </c>
      <c r="V90" s="225"/>
      <c r="W90" s="177">
        <f t="shared" si="18"/>
        <v>0</v>
      </c>
      <c r="X90" s="1" t="s">
        <v>128</v>
      </c>
      <c r="Z90" s="270"/>
    </row>
    <row r="91" spans="1:26">
      <c r="A91" s="142">
        <f t="shared" si="14"/>
        <v>77</v>
      </c>
      <c r="D91" s="1">
        <v>296</v>
      </c>
      <c r="F91" s="91">
        <v>923</v>
      </c>
      <c r="G91" s="91">
        <v>3</v>
      </c>
      <c r="H91" s="91"/>
      <c r="I91" s="91"/>
      <c r="J91" s="91"/>
      <c r="K91" s="177">
        <f>F91*12</f>
        <v>11076</v>
      </c>
      <c r="L91" s="177">
        <f>(G91*12)*1.5</f>
        <v>54</v>
      </c>
      <c r="M91" s="177">
        <f>(H91*12)*2</f>
        <v>0</v>
      </c>
      <c r="N91" s="177">
        <f t="shared" si="15"/>
        <v>11130</v>
      </c>
      <c r="O91" s="31"/>
      <c r="P91" s="248">
        <v>12</v>
      </c>
      <c r="Q91" s="31"/>
      <c r="R91" s="177">
        <f>P91*F91</f>
        <v>11076</v>
      </c>
      <c r="S91" s="177">
        <f>(P91*1.5)*(G91-I91)</f>
        <v>54</v>
      </c>
      <c r="T91" s="177">
        <f t="shared" si="20"/>
        <v>0</v>
      </c>
      <c r="U91" s="177">
        <f t="shared" si="19"/>
        <v>11130</v>
      </c>
      <c r="V91" s="225"/>
      <c r="W91" s="177">
        <f t="shared" si="18"/>
        <v>0</v>
      </c>
      <c r="X91" s="1" t="s">
        <v>128</v>
      </c>
      <c r="Z91" s="270"/>
    </row>
    <row r="92" spans="1:26">
      <c r="A92" s="142">
        <f t="shared" si="14"/>
        <v>78</v>
      </c>
      <c r="D92" s="1">
        <v>297</v>
      </c>
      <c r="F92" s="91">
        <v>835</v>
      </c>
      <c r="G92" s="91">
        <v>3</v>
      </c>
      <c r="H92" s="91"/>
      <c r="I92" s="91"/>
      <c r="J92" s="91"/>
      <c r="K92" s="177">
        <f>F92*12</f>
        <v>10020</v>
      </c>
      <c r="L92" s="177">
        <f>(G92*12)*1.5</f>
        <v>54</v>
      </c>
      <c r="M92" s="177">
        <f>(H92*12)*2</f>
        <v>0</v>
      </c>
      <c r="N92" s="177">
        <f t="shared" si="15"/>
        <v>10074</v>
      </c>
      <c r="O92" s="31"/>
      <c r="P92" s="248">
        <v>12</v>
      </c>
      <c r="Q92" s="31"/>
      <c r="R92" s="177">
        <f>P92*F92</f>
        <v>10020</v>
      </c>
      <c r="S92" s="177">
        <f>(P92*1.5)*(G92-I92)</f>
        <v>54</v>
      </c>
      <c r="T92" s="177">
        <f t="shared" si="20"/>
        <v>0</v>
      </c>
      <c r="U92" s="177">
        <f t="shared" si="19"/>
        <v>10074</v>
      </c>
      <c r="V92" s="225"/>
      <c r="W92" s="177">
        <f t="shared" si="18"/>
        <v>0</v>
      </c>
      <c r="X92" s="1" t="s">
        <v>128</v>
      </c>
      <c r="Z92" s="270"/>
    </row>
    <row r="93" spans="1:26">
      <c r="A93" s="142">
        <f t="shared" si="14"/>
        <v>79</v>
      </c>
      <c r="D93" s="1">
        <v>298</v>
      </c>
      <c r="F93" s="91">
        <v>644</v>
      </c>
      <c r="G93" s="91">
        <v>170.5</v>
      </c>
      <c r="H93" s="91">
        <v>15.5</v>
      </c>
      <c r="I93" s="91">
        <v>1436</v>
      </c>
      <c r="J93" s="91"/>
      <c r="K93" s="177">
        <f>F93*33.45</f>
        <v>21541.800000000003</v>
      </c>
      <c r="L93" s="177">
        <f>(G93*33.45)*1.5</f>
        <v>8554.8375000000015</v>
      </c>
      <c r="M93" s="177">
        <f>(H93*33.45)*2</f>
        <v>1036.95</v>
      </c>
      <c r="N93" s="177">
        <f t="shared" si="15"/>
        <v>31133.587500000005</v>
      </c>
      <c r="O93" s="31"/>
      <c r="P93" s="248">
        <v>36.270000000000003</v>
      </c>
      <c r="Q93" s="31"/>
      <c r="R93" s="177">
        <f>2080*P93</f>
        <v>75441.600000000006</v>
      </c>
      <c r="S93" s="177">
        <f>(P93*1.5)*(G93)</f>
        <v>9276.0524999999998</v>
      </c>
      <c r="T93" s="177">
        <f>(P93*2)*H93</f>
        <v>1124.3700000000001</v>
      </c>
      <c r="U93" s="177">
        <f t="shared" si="17"/>
        <v>85842.022500000006</v>
      </c>
      <c r="V93" s="225"/>
      <c r="W93" s="177">
        <f t="shared" si="18"/>
        <v>54708.434999999998</v>
      </c>
      <c r="X93" s="1" t="s">
        <v>266</v>
      </c>
      <c r="Z93" s="270"/>
    </row>
    <row r="94" spans="1:26">
      <c r="A94" s="142">
        <f t="shared" si="14"/>
        <v>80</v>
      </c>
      <c r="D94" s="1">
        <v>299</v>
      </c>
      <c r="F94" s="91">
        <v>632</v>
      </c>
      <c r="G94" s="91"/>
      <c r="H94" s="249"/>
      <c r="I94" s="249">
        <v>1448</v>
      </c>
      <c r="J94" s="91"/>
      <c r="K94" s="177">
        <f>F94*18.73</f>
        <v>11837.36</v>
      </c>
      <c r="L94" s="177">
        <f>(G94*18.73)*1.5</f>
        <v>0</v>
      </c>
      <c r="M94" s="177">
        <f>(H94*18.73)*2</f>
        <v>0</v>
      </c>
      <c r="N94" s="177">
        <f t="shared" si="15"/>
        <v>11837.36</v>
      </c>
      <c r="O94" s="31"/>
      <c r="P94" s="248">
        <v>19.670000000000002</v>
      </c>
      <c r="Q94" s="31"/>
      <c r="R94" s="177">
        <f t="shared" si="16"/>
        <v>40913.600000000006</v>
      </c>
      <c r="S94" s="177">
        <f>(P94*1.5)*(G94)</f>
        <v>0</v>
      </c>
      <c r="T94" s="177">
        <f>(P94*2)*H94</f>
        <v>0</v>
      </c>
      <c r="U94" s="177">
        <f t="shared" si="17"/>
        <v>40913.600000000006</v>
      </c>
      <c r="V94" s="225"/>
      <c r="W94" s="177">
        <f t="shared" si="18"/>
        <v>29076.240000000005</v>
      </c>
      <c r="X94" s="1" t="s">
        <v>428</v>
      </c>
      <c r="Z94" s="270"/>
    </row>
    <row r="95" spans="1:26">
      <c r="A95" s="142">
        <f t="shared" si="14"/>
        <v>81</v>
      </c>
      <c r="C95" s="145"/>
      <c r="D95" s="145"/>
      <c r="F95" s="250"/>
      <c r="G95" s="250"/>
      <c r="H95" s="251"/>
      <c r="I95" s="251"/>
      <c r="J95" s="91"/>
      <c r="K95" s="252"/>
      <c r="L95" s="252"/>
      <c r="M95" s="252"/>
      <c r="N95" s="252"/>
      <c r="O95" s="31"/>
      <c r="P95" s="146"/>
      <c r="Q95" s="31"/>
      <c r="R95" s="253"/>
      <c r="S95" s="253"/>
      <c r="T95" s="253"/>
      <c r="U95" s="254"/>
      <c r="V95" s="225"/>
      <c r="W95" s="255">
        <f>SUM(W15:W94)</f>
        <v>402393.97324999946</v>
      </c>
    </row>
    <row r="96" spans="1:26">
      <c r="A96" s="142">
        <f t="shared" si="14"/>
        <v>82</v>
      </c>
      <c r="C96" s="2" t="s">
        <v>296</v>
      </c>
      <c r="D96" s="2" t="s">
        <v>296</v>
      </c>
      <c r="G96" s="91"/>
      <c r="H96" s="91"/>
      <c r="I96" s="91"/>
      <c r="J96" s="91"/>
      <c r="K96" s="256"/>
      <c r="L96" s="256"/>
      <c r="M96" s="256"/>
      <c r="N96" s="256"/>
      <c r="O96" s="31"/>
      <c r="P96" s="143"/>
      <c r="Q96" s="31"/>
      <c r="R96" s="143"/>
      <c r="S96" s="143"/>
      <c r="T96" s="143"/>
      <c r="V96" s="225"/>
    </row>
    <row r="97" spans="1:14">
      <c r="A97" s="142">
        <f t="shared" si="14"/>
        <v>83</v>
      </c>
    </row>
    <row r="98" spans="1:14">
      <c r="A98" s="142">
        <f t="shared" si="14"/>
        <v>84</v>
      </c>
      <c r="C98" s="1" t="s">
        <v>294</v>
      </c>
      <c r="D98" s="1" t="s">
        <v>294</v>
      </c>
      <c r="F98" s="257"/>
      <c r="I98" s="257"/>
    </row>
    <row r="99" spans="1:14">
      <c r="A99" s="142">
        <f t="shared" si="14"/>
        <v>85</v>
      </c>
      <c r="F99" s="1" t="s">
        <v>128</v>
      </c>
      <c r="G99" s="1"/>
      <c r="H99" s="257" t="s">
        <v>426</v>
      </c>
      <c r="M99" s="1" t="s">
        <v>264</v>
      </c>
      <c r="N99" s="2" t="s">
        <v>414</v>
      </c>
    </row>
    <row r="100" spans="1:14">
      <c r="A100" s="142">
        <f t="shared" si="14"/>
        <v>86</v>
      </c>
      <c r="F100" s="1" t="s">
        <v>129</v>
      </c>
      <c r="G100" s="1"/>
      <c r="H100" s="2" t="s">
        <v>427</v>
      </c>
      <c r="J100" s="257"/>
      <c r="M100" s="1" t="s">
        <v>265</v>
      </c>
      <c r="N100" s="2" t="s">
        <v>415</v>
      </c>
    </row>
    <row r="101" spans="1:14">
      <c r="A101" s="142">
        <f t="shared" si="14"/>
        <v>87</v>
      </c>
      <c r="F101" s="1" t="s">
        <v>263</v>
      </c>
      <c r="G101" s="1"/>
      <c r="H101" s="2" t="s">
        <v>412</v>
      </c>
      <c r="M101" s="1" t="s">
        <v>266</v>
      </c>
      <c r="N101" s="2" t="s">
        <v>416</v>
      </c>
    </row>
    <row r="102" spans="1:14">
      <c r="A102" s="142">
        <f t="shared" si="14"/>
        <v>88</v>
      </c>
      <c r="F102" s="1" t="s">
        <v>316</v>
      </c>
      <c r="G102" s="1"/>
      <c r="H102" s="2" t="s">
        <v>413</v>
      </c>
      <c r="M102" s="1" t="s">
        <v>428</v>
      </c>
      <c r="N102" s="2" t="s">
        <v>417</v>
      </c>
    </row>
    <row r="107" spans="1:14">
      <c r="F107" s="257"/>
    </row>
  </sheetData>
  <mergeCells count="11">
    <mergeCell ref="R12:U12"/>
    <mergeCell ref="F13:G13"/>
    <mergeCell ref="R13:S13"/>
    <mergeCell ref="A3:W3"/>
    <mergeCell ref="A4:W4"/>
    <mergeCell ref="A6:W6"/>
    <mergeCell ref="F8:H8"/>
    <mergeCell ref="K8:N8"/>
    <mergeCell ref="P8:P9"/>
    <mergeCell ref="R8:U8"/>
    <mergeCell ref="W8:W9"/>
  </mergeCells>
  <pageMargins left="0.7" right="0.7" top="0.75" bottom="0.75" header="0.3" footer="0.3"/>
  <pageSetup scale="54" fitToHeight="0" orientation="portrait" r:id="rId1"/>
  <headerFooter>
    <oddFooter>&amp;RExhibit JW-2
Page &amp;P of &amp;N</oddFooter>
  </headerFooter>
  <ignoredErrors>
    <ignoredError sqref="K7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1BF9D-6F45-4480-8926-66C5A5AEDA76}">
  <dimension ref="A1:G409"/>
  <sheetViews>
    <sheetView view="pageBreakPreview" zoomScaleNormal="100" zoomScaleSheetLayoutView="100" workbookViewId="0">
      <selection activeCell="B55" sqref="B55:F55"/>
    </sheetView>
  </sheetViews>
  <sheetFormatPr defaultColWidth="8.84375" defaultRowHeight="12.45"/>
  <cols>
    <col min="1" max="1" width="8.84375" style="9"/>
    <col min="2" max="2" width="20.3828125" style="9" customWidth="1"/>
    <col min="3" max="3" width="18.53515625" style="9" customWidth="1"/>
    <col min="4" max="4" width="8.84375" style="8"/>
    <col min="5" max="5" width="11.84375" style="309" customWidth="1"/>
    <col min="6" max="6" width="14.15234375" style="9" customWidth="1"/>
    <col min="7" max="16384" width="8.84375" style="9"/>
  </cols>
  <sheetData>
    <row r="1" spans="1:6">
      <c r="E1" s="296"/>
      <c r="F1" s="5" t="s">
        <v>418</v>
      </c>
    </row>
    <row r="2" spans="1:6">
      <c r="E2" s="297"/>
      <c r="F2" s="193"/>
    </row>
    <row r="3" spans="1:6" s="2" customFormat="1">
      <c r="A3" s="9"/>
      <c r="B3" s="9"/>
      <c r="C3" s="9"/>
      <c r="D3" s="8"/>
      <c r="E3" s="297"/>
      <c r="F3" s="9"/>
    </row>
    <row r="4" spans="1:6" s="2" customFormat="1">
      <c r="A4" s="9"/>
      <c r="B4" s="318" t="s">
        <v>340</v>
      </c>
      <c r="C4" s="318"/>
      <c r="D4" s="318"/>
      <c r="E4" s="318"/>
      <c r="F4" s="318"/>
    </row>
    <row r="5" spans="1:6">
      <c r="B5" s="318" t="s">
        <v>341</v>
      </c>
      <c r="C5" s="318"/>
      <c r="D5" s="318"/>
      <c r="E5" s="318"/>
      <c r="F5" s="318"/>
    </row>
    <row r="6" spans="1:6" s="6" customFormat="1" ht="15" customHeight="1">
      <c r="A6" s="9"/>
      <c r="B6" s="9"/>
      <c r="C6" s="9"/>
      <c r="D6" s="8"/>
      <c r="E6" s="297"/>
      <c r="F6" s="9"/>
    </row>
    <row r="7" spans="1:6">
      <c r="A7" s="6"/>
      <c r="B7" s="315" t="s">
        <v>342</v>
      </c>
      <c r="C7" s="315"/>
      <c r="D7" s="315"/>
      <c r="E7" s="315"/>
      <c r="F7" s="315"/>
    </row>
    <row r="8" spans="1:6" ht="14.5" customHeight="1">
      <c r="E8" s="297"/>
    </row>
    <row r="9" spans="1:6" ht="25.2" customHeight="1">
      <c r="A9" s="191" t="s">
        <v>21</v>
      </c>
      <c r="B9" s="194" t="s">
        <v>343</v>
      </c>
      <c r="C9" s="298" t="s">
        <v>344</v>
      </c>
      <c r="D9" s="195" t="s">
        <v>345</v>
      </c>
      <c r="E9" s="299" t="s">
        <v>92</v>
      </c>
      <c r="F9" s="196" t="s">
        <v>346</v>
      </c>
    </row>
    <row r="10" spans="1:6">
      <c r="A10" s="13">
        <v>1</v>
      </c>
      <c r="B10" s="197" t="s">
        <v>347</v>
      </c>
      <c r="C10" s="15">
        <v>102922.73</v>
      </c>
      <c r="D10" s="8" t="s">
        <v>348</v>
      </c>
      <c r="E10" s="300">
        <v>2.06E-2</v>
      </c>
      <c r="F10" s="198">
        <f>ROUND(C10*E10,2)</f>
        <v>2120.21</v>
      </c>
    </row>
    <row r="11" spans="1:6">
      <c r="A11" s="13">
        <f>A10+1</f>
        <v>2</v>
      </c>
      <c r="B11" s="197" t="s">
        <v>349</v>
      </c>
      <c r="C11" s="15">
        <v>300115.53999999998</v>
      </c>
      <c r="D11" s="8" t="s">
        <v>348</v>
      </c>
      <c r="E11" s="300">
        <v>3.85E-2</v>
      </c>
      <c r="F11" s="198">
        <f t="shared" ref="F11:F41" si="0">ROUND(C11*E11,2)</f>
        <v>11554.45</v>
      </c>
    </row>
    <row r="12" spans="1:6">
      <c r="A12" s="13">
        <f t="shared" ref="A12:A29" si="1">A11+1</f>
        <v>3</v>
      </c>
      <c r="B12" s="197" t="s">
        <v>350</v>
      </c>
      <c r="C12" s="15">
        <v>679265.97</v>
      </c>
      <c r="D12" s="8" t="s">
        <v>348</v>
      </c>
      <c r="E12" s="300">
        <v>2.6200000000000001E-2</v>
      </c>
      <c r="F12" s="198">
        <f t="shared" si="0"/>
        <v>17796.77</v>
      </c>
    </row>
    <row r="13" spans="1:6">
      <c r="A13" s="13">
        <f>A12+1</f>
        <v>4</v>
      </c>
      <c r="B13" s="197" t="s">
        <v>351</v>
      </c>
      <c r="C13" s="15">
        <v>33657.18</v>
      </c>
      <c r="D13" s="8" t="s">
        <v>352</v>
      </c>
      <c r="E13" s="301">
        <v>6.0490000000000002E-2</v>
      </c>
      <c r="F13" s="198">
        <f t="shared" si="0"/>
        <v>2035.92</v>
      </c>
    </row>
    <row r="14" spans="1:6">
      <c r="A14" s="13">
        <f t="shared" si="1"/>
        <v>5</v>
      </c>
      <c r="B14" s="197" t="s">
        <v>353</v>
      </c>
      <c r="C14" s="15">
        <v>591649.22</v>
      </c>
      <c r="D14" s="8" t="s">
        <v>352</v>
      </c>
      <c r="E14" s="301">
        <v>4.4740000000000002E-2</v>
      </c>
      <c r="F14" s="198">
        <f t="shared" si="0"/>
        <v>26470.39</v>
      </c>
    </row>
    <row r="15" spans="1:6">
      <c r="A15" s="13">
        <f t="shared" si="1"/>
        <v>6</v>
      </c>
      <c r="B15" s="197" t="s">
        <v>354</v>
      </c>
      <c r="C15" s="15">
        <v>922616.87</v>
      </c>
      <c r="D15" s="8" t="s">
        <v>352</v>
      </c>
      <c r="E15" s="301">
        <v>4.777E-2</v>
      </c>
      <c r="F15" s="198">
        <f t="shared" si="0"/>
        <v>44073.41</v>
      </c>
    </row>
    <row r="16" spans="1:6">
      <c r="A16" s="13">
        <f t="shared" si="1"/>
        <v>7</v>
      </c>
      <c r="B16" s="197" t="s">
        <v>355</v>
      </c>
      <c r="C16" s="15">
        <v>869928.05</v>
      </c>
      <c r="D16" s="8" t="s">
        <v>352</v>
      </c>
      <c r="E16" s="301">
        <v>3.7530000000000001E-2</v>
      </c>
      <c r="F16" s="198">
        <f t="shared" si="0"/>
        <v>32648.400000000001</v>
      </c>
    </row>
    <row r="17" spans="1:6">
      <c r="A17" s="13">
        <f t="shared" si="1"/>
        <v>8</v>
      </c>
      <c r="B17" s="197" t="s">
        <v>356</v>
      </c>
      <c r="C17" s="15">
        <v>2411782.8199999998</v>
      </c>
      <c r="D17" s="8" t="s">
        <v>352</v>
      </c>
      <c r="E17" s="301">
        <v>4.0689999999999997E-2</v>
      </c>
      <c r="F17" s="198">
        <f t="shared" si="0"/>
        <v>98135.44</v>
      </c>
    </row>
    <row r="18" spans="1:6">
      <c r="A18" s="13">
        <f t="shared" si="1"/>
        <v>9</v>
      </c>
      <c r="B18" s="197" t="s">
        <v>357</v>
      </c>
      <c r="C18" s="15">
        <v>3262021.58</v>
      </c>
      <c r="D18" s="8" t="s">
        <v>352</v>
      </c>
      <c r="E18" s="301">
        <v>1.392E-2</v>
      </c>
      <c r="F18" s="198">
        <f t="shared" si="0"/>
        <v>45407.34</v>
      </c>
    </row>
    <row r="19" spans="1:6">
      <c r="A19" s="13">
        <f t="shared" si="1"/>
        <v>10</v>
      </c>
      <c r="B19" s="197" t="s">
        <v>358</v>
      </c>
      <c r="C19" s="15">
        <v>2722528.14</v>
      </c>
      <c r="D19" s="8" t="s">
        <v>352</v>
      </c>
      <c r="E19" s="301">
        <v>2.9590000000000002E-2</v>
      </c>
      <c r="F19" s="198">
        <f t="shared" si="0"/>
        <v>80559.61</v>
      </c>
    </row>
    <row r="20" spans="1:6">
      <c r="A20" s="13">
        <f t="shared" si="1"/>
        <v>11</v>
      </c>
      <c r="B20" s="197" t="s">
        <v>359</v>
      </c>
      <c r="C20" s="15">
        <v>1438917.66</v>
      </c>
      <c r="D20" s="8" t="s">
        <v>352</v>
      </c>
      <c r="E20" s="301">
        <v>2.7619999999999999E-2</v>
      </c>
      <c r="F20" s="198">
        <f t="shared" si="0"/>
        <v>39742.910000000003</v>
      </c>
    </row>
    <row r="21" spans="1:6">
      <c r="A21" s="13">
        <f t="shared" si="1"/>
        <v>12</v>
      </c>
      <c r="B21" s="197" t="s">
        <v>360</v>
      </c>
      <c r="C21" s="15">
        <v>5276177.16</v>
      </c>
      <c r="D21" s="8" t="s">
        <v>352</v>
      </c>
      <c r="E21" s="301">
        <v>3.8890000000000001E-2</v>
      </c>
      <c r="F21" s="198">
        <f t="shared" si="0"/>
        <v>205190.53</v>
      </c>
    </row>
    <row r="22" spans="1:6">
      <c r="A22" s="13">
        <f t="shared" si="1"/>
        <v>13</v>
      </c>
      <c r="B22" s="197" t="s">
        <v>361</v>
      </c>
      <c r="C22" s="15">
        <v>3973206.66</v>
      </c>
      <c r="D22" s="8" t="s">
        <v>352</v>
      </c>
      <c r="E22" s="301">
        <v>2.6689999999999998E-2</v>
      </c>
      <c r="F22" s="198">
        <f t="shared" si="0"/>
        <v>106044.89</v>
      </c>
    </row>
    <row r="23" spans="1:6">
      <c r="A23" s="13">
        <f t="shared" si="1"/>
        <v>14</v>
      </c>
      <c r="B23" s="197" t="s">
        <v>362</v>
      </c>
      <c r="C23" s="15">
        <v>5030206.6399999997</v>
      </c>
      <c r="D23" s="8" t="s">
        <v>352</v>
      </c>
      <c r="E23" s="301">
        <v>2.7359999999999999E-2</v>
      </c>
      <c r="F23" s="198">
        <f t="shared" si="0"/>
        <v>137626.45000000001</v>
      </c>
    </row>
    <row r="24" spans="1:6">
      <c r="A24" s="13">
        <f t="shared" si="1"/>
        <v>15</v>
      </c>
      <c r="B24" s="197" t="s">
        <v>363</v>
      </c>
      <c r="C24" s="15">
        <v>5053398.1100000003</v>
      </c>
      <c r="D24" s="8" t="s">
        <v>352</v>
      </c>
      <c r="E24" s="301">
        <v>2.8320000000000001E-2</v>
      </c>
      <c r="F24" s="198">
        <f t="shared" si="0"/>
        <v>143112.23000000001</v>
      </c>
    </row>
    <row r="25" spans="1:6">
      <c r="A25" s="13">
        <f t="shared" si="1"/>
        <v>16</v>
      </c>
      <c r="B25" s="197" t="s">
        <v>364</v>
      </c>
      <c r="C25" s="15">
        <v>5087484.6900000004</v>
      </c>
      <c r="D25" s="8" t="s">
        <v>352</v>
      </c>
      <c r="E25" s="301">
        <v>2.8219999999999999E-2</v>
      </c>
      <c r="F25" s="198">
        <f t="shared" si="0"/>
        <v>143568.82</v>
      </c>
    </row>
    <row r="26" spans="1:6">
      <c r="A26" s="13">
        <f t="shared" si="1"/>
        <v>17</v>
      </c>
      <c r="B26" s="197" t="s">
        <v>365</v>
      </c>
      <c r="C26" s="15">
        <v>355329.12</v>
      </c>
      <c r="D26" s="8" t="s">
        <v>366</v>
      </c>
      <c r="E26" s="301">
        <v>2.8750000000000001E-2</v>
      </c>
      <c r="F26" s="198">
        <f t="shared" si="0"/>
        <v>10215.709999999999</v>
      </c>
    </row>
    <row r="27" spans="1:6">
      <c r="A27" s="13">
        <f t="shared" si="1"/>
        <v>18</v>
      </c>
      <c r="B27" s="197" t="s">
        <v>367</v>
      </c>
      <c r="C27" s="15">
        <v>437983.68</v>
      </c>
      <c r="D27" s="8" t="s">
        <v>366</v>
      </c>
      <c r="E27" s="301">
        <v>2.8750000000000001E-2</v>
      </c>
      <c r="F27" s="198">
        <f t="shared" si="0"/>
        <v>12592.03</v>
      </c>
    </row>
    <row r="28" spans="1:6">
      <c r="A28" s="13">
        <f t="shared" si="1"/>
        <v>19</v>
      </c>
      <c r="B28" s="197" t="s">
        <v>368</v>
      </c>
      <c r="C28" s="15">
        <v>750315.24</v>
      </c>
      <c r="D28" s="8" t="s">
        <v>366</v>
      </c>
      <c r="E28" s="301">
        <v>2.75E-2</v>
      </c>
      <c r="F28" s="198">
        <f t="shared" si="0"/>
        <v>20633.669999999998</v>
      </c>
    </row>
    <row r="29" spans="1:6">
      <c r="A29" s="13">
        <f t="shared" si="1"/>
        <v>20</v>
      </c>
      <c r="B29" s="197" t="s">
        <v>369</v>
      </c>
      <c r="C29" s="15">
        <v>1367898.69</v>
      </c>
      <c r="D29" s="8" t="s">
        <v>366</v>
      </c>
      <c r="E29" s="302">
        <v>2.3734000000000002E-2</v>
      </c>
      <c r="F29" s="198">
        <f t="shared" si="0"/>
        <v>32465.71</v>
      </c>
    </row>
    <row r="30" spans="1:6">
      <c r="A30" s="13">
        <f>A29+1</f>
        <v>21</v>
      </c>
      <c r="B30" s="197" t="s">
        <v>370</v>
      </c>
      <c r="C30" s="15">
        <v>1627191.86</v>
      </c>
      <c r="D30" s="8" t="s">
        <v>366</v>
      </c>
      <c r="E30" s="300">
        <v>3.8100000000000002E-2</v>
      </c>
      <c r="F30" s="198">
        <f t="shared" si="0"/>
        <v>61996.01</v>
      </c>
    </row>
    <row r="31" spans="1:6">
      <c r="A31" s="13">
        <f t="shared" ref="A31:A53" si="2">A30+1</f>
        <v>22</v>
      </c>
      <c r="B31" s="197" t="s">
        <v>371</v>
      </c>
      <c r="C31" s="15">
        <v>1181651.05</v>
      </c>
      <c r="D31" s="8" t="s">
        <v>366</v>
      </c>
      <c r="E31" s="300">
        <v>4.4900000000000002E-2</v>
      </c>
      <c r="F31" s="198">
        <f t="shared" si="0"/>
        <v>53056.13</v>
      </c>
    </row>
    <row r="32" spans="1:6">
      <c r="A32" s="13">
        <f t="shared" si="2"/>
        <v>23</v>
      </c>
      <c r="B32" s="197" t="s">
        <v>372</v>
      </c>
      <c r="C32" s="15">
        <v>1184187.6000000001</v>
      </c>
      <c r="D32" s="8" t="s">
        <v>366</v>
      </c>
      <c r="E32" s="300">
        <v>4.4400000000000002E-2</v>
      </c>
      <c r="F32" s="198">
        <f t="shared" si="0"/>
        <v>52577.93</v>
      </c>
    </row>
    <row r="33" spans="1:7">
      <c r="A33" s="13">
        <f t="shared" si="2"/>
        <v>24</v>
      </c>
      <c r="B33" s="197" t="s">
        <v>373</v>
      </c>
      <c r="C33" s="15">
        <v>1610758.25</v>
      </c>
      <c r="D33" s="8" t="s">
        <v>366</v>
      </c>
      <c r="E33" s="302">
        <v>2.3734000000000002E-2</v>
      </c>
      <c r="F33" s="198">
        <f t="shared" si="0"/>
        <v>38229.74</v>
      </c>
    </row>
    <row r="34" spans="1:7">
      <c r="A34" s="13">
        <f t="shared" si="2"/>
        <v>25</v>
      </c>
      <c r="B34" s="197" t="s">
        <v>374</v>
      </c>
      <c r="C34" s="15">
        <v>1628470.89</v>
      </c>
      <c r="D34" s="8" t="s">
        <v>366</v>
      </c>
      <c r="E34" s="300">
        <v>3.9800000000000002E-2</v>
      </c>
      <c r="F34" s="198">
        <f t="shared" si="0"/>
        <v>64813.14</v>
      </c>
    </row>
    <row r="35" spans="1:7">
      <c r="A35" s="13">
        <f t="shared" si="2"/>
        <v>26</v>
      </c>
      <c r="B35" s="197" t="s">
        <v>375</v>
      </c>
      <c r="C35" s="15">
        <v>2071336.7</v>
      </c>
      <c r="D35" s="8" t="s">
        <v>366</v>
      </c>
      <c r="E35" s="300">
        <v>4.8599999999999997E-2</v>
      </c>
      <c r="F35" s="198">
        <f t="shared" si="0"/>
        <v>100666.96</v>
      </c>
    </row>
    <row r="36" spans="1:7">
      <c r="A36" s="13">
        <f t="shared" si="2"/>
        <v>27</v>
      </c>
      <c r="B36" s="197" t="s">
        <v>376</v>
      </c>
      <c r="C36" s="15">
        <v>1146500.98</v>
      </c>
      <c r="D36" s="8" t="s">
        <v>366</v>
      </c>
      <c r="E36" s="302">
        <v>1.4869E-2</v>
      </c>
      <c r="F36" s="198">
        <f t="shared" si="0"/>
        <v>17047.32</v>
      </c>
    </row>
    <row r="37" spans="1:7">
      <c r="A37" s="13">
        <f t="shared" si="2"/>
        <v>28</v>
      </c>
      <c r="B37" s="197" t="s">
        <v>377</v>
      </c>
      <c r="C37" s="15">
        <v>1300089.06</v>
      </c>
      <c r="D37" s="8" t="s">
        <v>366</v>
      </c>
      <c r="E37" s="300">
        <v>3.6400000000000002E-2</v>
      </c>
      <c r="F37" s="198">
        <f t="shared" si="0"/>
        <v>47323.24</v>
      </c>
    </row>
    <row r="38" spans="1:7">
      <c r="A38" s="13">
        <f t="shared" si="2"/>
        <v>29</v>
      </c>
      <c r="B38" s="197" t="s">
        <v>378</v>
      </c>
      <c r="C38" s="15">
        <v>1962430.87</v>
      </c>
      <c r="D38" s="8" t="s">
        <v>366</v>
      </c>
      <c r="E38" s="300">
        <v>3.6499999999999998E-2</v>
      </c>
      <c r="F38" s="198">
        <f t="shared" si="0"/>
        <v>71628.73</v>
      </c>
    </row>
    <row r="39" spans="1:7">
      <c r="A39" s="13">
        <f t="shared" si="2"/>
        <v>30</v>
      </c>
      <c r="B39" s="197" t="s">
        <v>379</v>
      </c>
      <c r="C39" s="15">
        <v>1502379.7</v>
      </c>
      <c r="D39" s="8" t="s">
        <v>366</v>
      </c>
      <c r="E39" s="300">
        <v>2.3800000000000002E-2</v>
      </c>
      <c r="F39" s="198">
        <f t="shared" si="0"/>
        <v>35756.639999999999</v>
      </c>
    </row>
    <row r="40" spans="1:7">
      <c r="A40" s="13">
        <f t="shared" si="2"/>
        <v>31</v>
      </c>
      <c r="B40" s="197" t="s">
        <v>380</v>
      </c>
      <c r="C40" s="15">
        <v>1209263.76</v>
      </c>
      <c r="D40" s="8" t="s">
        <v>366</v>
      </c>
      <c r="E40" s="300">
        <v>2.2700000000000001E-2</v>
      </c>
      <c r="F40" s="198">
        <f t="shared" si="0"/>
        <v>27450.29</v>
      </c>
    </row>
    <row r="41" spans="1:7">
      <c r="A41" s="13">
        <f t="shared" si="2"/>
        <v>32</v>
      </c>
      <c r="B41" s="197" t="s">
        <v>381</v>
      </c>
      <c r="C41" s="15">
        <v>1619196.32</v>
      </c>
      <c r="D41" s="8" t="s">
        <v>366</v>
      </c>
      <c r="E41" s="302">
        <v>2.4185999999999999E-2</v>
      </c>
      <c r="F41" s="198">
        <f t="shared" si="0"/>
        <v>39161.879999999997</v>
      </c>
    </row>
    <row r="42" spans="1:7">
      <c r="A42" s="13">
        <f t="shared" si="2"/>
        <v>33</v>
      </c>
      <c r="B42" s="197" t="s">
        <v>382</v>
      </c>
      <c r="C42" s="15">
        <v>1000000</v>
      </c>
      <c r="D42" s="8" t="s">
        <v>348</v>
      </c>
      <c r="E42" s="300">
        <v>6.25E-2</v>
      </c>
      <c r="F42" s="198">
        <f>ROUND(C42*E42,2)/365*367</f>
        <v>62842.465753424658</v>
      </c>
      <c r="G42" s="9" t="s">
        <v>383</v>
      </c>
    </row>
    <row r="43" spans="1:7">
      <c r="A43" s="13">
        <f t="shared" si="2"/>
        <v>34</v>
      </c>
      <c r="B43" s="197" t="s">
        <v>382</v>
      </c>
      <c r="C43" s="15">
        <v>1000000</v>
      </c>
      <c r="D43" s="8" t="s">
        <v>348</v>
      </c>
      <c r="E43" s="300">
        <v>6.25E-2</v>
      </c>
      <c r="F43" s="198">
        <f>ROUND(C43*E43,2)/365*342</f>
        <v>58561.643835616436</v>
      </c>
      <c r="G43" s="9" t="s">
        <v>384</v>
      </c>
    </row>
    <row r="44" spans="1:7">
      <c r="A44" s="13">
        <f t="shared" si="2"/>
        <v>35</v>
      </c>
      <c r="B44" s="197" t="s">
        <v>382</v>
      </c>
      <c r="C44" s="15">
        <v>1000000</v>
      </c>
      <c r="D44" s="8" t="s">
        <v>348</v>
      </c>
      <c r="E44" s="300">
        <v>6.25E-2</v>
      </c>
      <c r="F44" s="198">
        <f>ROUND(C44*E44,2)/365*311</f>
        <v>53253.424657534248</v>
      </c>
      <c r="G44" s="9" t="s">
        <v>385</v>
      </c>
    </row>
    <row r="45" spans="1:7">
      <c r="A45" s="13">
        <f t="shared" si="2"/>
        <v>36</v>
      </c>
      <c r="B45" s="197" t="s">
        <v>382</v>
      </c>
      <c r="C45" s="15">
        <v>1000000</v>
      </c>
      <c r="D45" s="8" t="s">
        <v>348</v>
      </c>
      <c r="E45" s="300">
        <v>6.25E-2</v>
      </c>
      <c r="F45" s="198">
        <f>ROUND(C45*E45,2)/365*286</f>
        <v>48972.602739726026</v>
      </c>
      <c r="G45" s="9" t="s">
        <v>386</v>
      </c>
    </row>
    <row r="46" spans="1:7">
      <c r="A46" s="13">
        <f t="shared" si="2"/>
        <v>37</v>
      </c>
      <c r="B46" s="199" t="s">
        <v>382</v>
      </c>
      <c r="C46" s="303">
        <v>500000</v>
      </c>
      <c r="D46" s="10" t="s">
        <v>348</v>
      </c>
      <c r="E46" s="304">
        <v>6.25E-2</v>
      </c>
      <c r="F46" s="200">
        <f>ROUND(C46*E46,2)/365*252</f>
        <v>21575.342465753423</v>
      </c>
      <c r="G46" s="9" t="s">
        <v>387</v>
      </c>
    </row>
    <row r="47" spans="1:7">
      <c r="A47" s="13">
        <f t="shared" si="2"/>
        <v>38</v>
      </c>
      <c r="B47" s="201"/>
      <c r="C47" s="202">
        <f>SUM(C10:C46)</f>
        <v>63210862.789999999</v>
      </c>
      <c r="D47" s="305"/>
      <c r="E47" s="306"/>
      <c r="F47" s="163">
        <f>SUM(F10:F46)</f>
        <v>2066908.3794520544</v>
      </c>
    </row>
    <row r="48" spans="1:7">
      <c r="A48" s="13">
        <f t="shared" si="2"/>
        <v>39</v>
      </c>
      <c r="B48" s="204"/>
      <c r="C48" s="20"/>
      <c r="D48" s="305"/>
      <c r="E48" s="306"/>
      <c r="F48" s="18"/>
    </row>
    <row r="49" spans="1:6">
      <c r="A49" s="13">
        <f t="shared" si="2"/>
        <v>40</v>
      </c>
      <c r="B49" s="203" t="s">
        <v>37</v>
      </c>
      <c r="E49" s="297"/>
      <c r="F49" s="310">
        <v>1903744.63</v>
      </c>
    </row>
    <row r="50" spans="1:6">
      <c r="A50" s="13">
        <f t="shared" si="2"/>
        <v>41</v>
      </c>
      <c r="B50" s="203"/>
      <c r="E50" s="297"/>
    </row>
    <row r="51" spans="1:6">
      <c r="A51" s="13">
        <f t="shared" si="2"/>
        <v>42</v>
      </c>
      <c r="B51" s="203" t="s">
        <v>38</v>
      </c>
      <c r="E51" s="297"/>
      <c r="F51" s="163">
        <f>F47</f>
        <v>2066908.3794520544</v>
      </c>
    </row>
    <row r="52" spans="1:6">
      <c r="A52" s="13">
        <f t="shared" si="2"/>
        <v>43</v>
      </c>
      <c r="B52" s="203"/>
      <c r="E52" s="297"/>
    </row>
    <row r="53" spans="1:6" ht="12.9" thickBot="1">
      <c r="A53" s="13">
        <f t="shared" si="2"/>
        <v>44</v>
      </c>
      <c r="B53" s="205" t="s">
        <v>388</v>
      </c>
      <c r="C53" s="16"/>
      <c r="D53" s="307"/>
      <c r="E53" s="308"/>
      <c r="F53" s="206">
        <f>+F51-F49</f>
        <v>163163.7494520545</v>
      </c>
    </row>
    <row r="54" spans="1:6" ht="12.9" thickTop="1">
      <c r="A54" s="13"/>
      <c r="B54" s="204"/>
      <c r="C54" s="20"/>
      <c r="D54" s="305"/>
      <c r="E54" s="306"/>
      <c r="F54" s="18"/>
    </row>
    <row r="55" spans="1:6" ht="39" customHeight="1">
      <c r="B55" s="317" t="s">
        <v>389</v>
      </c>
      <c r="C55" s="317"/>
      <c r="D55" s="317"/>
      <c r="E55" s="317"/>
      <c r="F55" s="317"/>
    </row>
    <row r="56" spans="1:6">
      <c r="C56" s="20"/>
      <c r="D56" s="305"/>
      <c r="E56" s="306"/>
      <c r="F56" s="18"/>
    </row>
    <row r="57" spans="1:6">
      <c r="C57" s="20"/>
      <c r="D57" s="305"/>
      <c r="E57" s="306"/>
      <c r="F57" s="18"/>
    </row>
    <row r="58" spans="1:6">
      <c r="C58" s="20"/>
      <c r="D58" s="305"/>
      <c r="E58" s="306"/>
      <c r="F58" s="18"/>
    </row>
    <row r="59" spans="1:6">
      <c r="E59" s="297"/>
    </row>
    <row r="60" spans="1:6">
      <c r="E60" s="297"/>
    </row>
    <row r="61" spans="1:6">
      <c r="E61" s="297"/>
    </row>
    <row r="62" spans="1:6">
      <c r="E62" s="297"/>
    </row>
    <row r="63" spans="1:6">
      <c r="E63" s="297"/>
    </row>
    <row r="64" spans="1:6">
      <c r="E64" s="297"/>
    </row>
    <row r="65" spans="5:5">
      <c r="E65" s="297"/>
    </row>
    <row r="66" spans="5:5">
      <c r="E66" s="297"/>
    </row>
    <row r="67" spans="5:5">
      <c r="E67" s="297"/>
    </row>
    <row r="68" spans="5:5">
      <c r="E68" s="297"/>
    </row>
    <row r="69" spans="5:5">
      <c r="E69" s="297"/>
    </row>
    <row r="70" spans="5:5">
      <c r="E70" s="297"/>
    </row>
    <row r="71" spans="5:5">
      <c r="E71" s="297"/>
    </row>
    <row r="72" spans="5:5">
      <c r="E72" s="297"/>
    </row>
    <row r="73" spans="5:5">
      <c r="E73" s="297"/>
    </row>
    <row r="74" spans="5:5">
      <c r="E74" s="297"/>
    </row>
    <row r="75" spans="5:5">
      <c r="E75" s="297"/>
    </row>
    <row r="76" spans="5:5">
      <c r="E76" s="297"/>
    </row>
    <row r="77" spans="5:5">
      <c r="E77" s="297"/>
    </row>
    <row r="78" spans="5:5">
      <c r="E78" s="297"/>
    </row>
    <row r="79" spans="5:5">
      <c r="E79" s="297"/>
    </row>
    <row r="80" spans="5:5">
      <c r="E80" s="297"/>
    </row>
    <row r="81" spans="5:5">
      <c r="E81" s="297"/>
    </row>
    <row r="82" spans="5:5">
      <c r="E82" s="297"/>
    </row>
    <row r="83" spans="5:5">
      <c r="E83" s="297"/>
    </row>
    <row r="84" spans="5:5">
      <c r="E84" s="297"/>
    </row>
    <row r="85" spans="5:5">
      <c r="E85" s="297"/>
    </row>
    <row r="86" spans="5:5">
      <c r="E86" s="297"/>
    </row>
    <row r="87" spans="5:5">
      <c r="E87" s="297"/>
    </row>
    <row r="88" spans="5:5">
      <c r="E88" s="297"/>
    </row>
    <row r="89" spans="5:5">
      <c r="E89" s="297"/>
    </row>
    <row r="90" spans="5:5">
      <c r="E90" s="297"/>
    </row>
    <row r="91" spans="5:5">
      <c r="E91" s="297"/>
    </row>
    <row r="92" spans="5:5">
      <c r="E92" s="297"/>
    </row>
    <row r="93" spans="5:5">
      <c r="E93" s="297"/>
    </row>
    <row r="94" spans="5:5">
      <c r="E94" s="297"/>
    </row>
    <row r="95" spans="5:5">
      <c r="E95" s="297"/>
    </row>
    <row r="96" spans="5:5">
      <c r="E96" s="297"/>
    </row>
    <row r="97" spans="5:5">
      <c r="E97" s="297"/>
    </row>
    <row r="98" spans="5:5">
      <c r="E98" s="297"/>
    </row>
    <row r="99" spans="5:5">
      <c r="E99" s="297"/>
    </row>
    <row r="100" spans="5:5">
      <c r="E100" s="297"/>
    </row>
    <row r="101" spans="5:5">
      <c r="E101" s="297"/>
    </row>
    <row r="102" spans="5:5">
      <c r="E102" s="297"/>
    </row>
    <row r="103" spans="5:5">
      <c r="E103" s="297"/>
    </row>
    <row r="104" spans="5:5">
      <c r="E104" s="297"/>
    </row>
    <row r="105" spans="5:5">
      <c r="E105" s="297"/>
    </row>
    <row r="106" spans="5:5">
      <c r="E106" s="297"/>
    </row>
    <row r="107" spans="5:5">
      <c r="E107" s="297"/>
    </row>
    <row r="108" spans="5:5">
      <c r="E108" s="297"/>
    </row>
    <row r="109" spans="5:5">
      <c r="E109" s="297"/>
    </row>
    <row r="110" spans="5:5">
      <c r="E110" s="297"/>
    </row>
    <row r="111" spans="5:5">
      <c r="E111" s="297"/>
    </row>
    <row r="112" spans="5:5">
      <c r="E112" s="297"/>
    </row>
    <row r="113" spans="5:5">
      <c r="E113" s="297"/>
    </row>
    <row r="114" spans="5:5">
      <c r="E114" s="297"/>
    </row>
    <row r="115" spans="5:5">
      <c r="E115" s="297"/>
    </row>
    <row r="116" spans="5:5">
      <c r="E116" s="297"/>
    </row>
    <row r="117" spans="5:5">
      <c r="E117" s="297"/>
    </row>
    <row r="118" spans="5:5">
      <c r="E118" s="297"/>
    </row>
    <row r="119" spans="5:5">
      <c r="E119" s="297"/>
    </row>
    <row r="120" spans="5:5">
      <c r="E120" s="297"/>
    </row>
    <row r="121" spans="5:5">
      <c r="E121" s="297"/>
    </row>
    <row r="122" spans="5:5">
      <c r="E122" s="297"/>
    </row>
    <row r="123" spans="5:5">
      <c r="E123" s="297"/>
    </row>
    <row r="124" spans="5:5">
      <c r="E124" s="297"/>
    </row>
    <row r="125" spans="5:5">
      <c r="E125" s="297"/>
    </row>
    <row r="126" spans="5:5">
      <c r="E126" s="297"/>
    </row>
    <row r="127" spans="5:5">
      <c r="E127" s="297"/>
    </row>
    <row r="128" spans="5:5">
      <c r="E128" s="297"/>
    </row>
    <row r="129" spans="5:5">
      <c r="E129" s="297"/>
    </row>
    <row r="130" spans="5:5">
      <c r="E130" s="297"/>
    </row>
    <row r="131" spans="5:5">
      <c r="E131" s="297"/>
    </row>
    <row r="132" spans="5:5">
      <c r="E132" s="297"/>
    </row>
    <row r="133" spans="5:5">
      <c r="E133" s="297"/>
    </row>
    <row r="134" spans="5:5">
      <c r="E134" s="297"/>
    </row>
    <row r="135" spans="5:5">
      <c r="E135" s="297"/>
    </row>
    <row r="136" spans="5:5">
      <c r="E136" s="297"/>
    </row>
    <row r="137" spans="5:5">
      <c r="E137" s="297"/>
    </row>
    <row r="138" spans="5:5">
      <c r="E138" s="297"/>
    </row>
    <row r="139" spans="5:5">
      <c r="E139" s="297"/>
    </row>
    <row r="140" spans="5:5">
      <c r="E140" s="297"/>
    </row>
    <row r="141" spans="5:5">
      <c r="E141" s="297"/>
    </row>
    <row r="142" spans="5:5">
      <c r="E142" s="297"/>
    </row>
    <row r="143" spans="5:5">
      <c r="E143" s="297"/>
    </row>
    <row r="144" spans="5:5">
      <c r="E144" s="297"/>
    </row>
    <row r="145" spans="5:5">
      <c r="E145" s="297"/>
    </row>
    <row r="146" spans="5:5">
      <c r="E146" s="297"/>
    </row>
    <row r="147" spans="5:5">
      <c r="E147" s="297"/>
    </row>
    <row r="148" spans="5:5">
      <c r="E148" s="297"/>
    </row>
    <row r="149" spans="5:5">
      <c r="E149" s="297"/>
    </row>
    <row r="150" spans="5:5">
      <c r="E150" s="297"/>
    </row>
    <row r="151" spans="5:5">
      <c r="E151" s="297"/>
    </row>
    <row r="152" spans="5:5">
      <c r="E152" s="297"/>
    </row>
    <row r="153" spans="5:5">
      <c r="E153" s="297"/>
    </row>
    <row r="154" spans="5:5">
      <c r="E154" s="297"/>
    </row>
    <row r="155" spans="5:5">
      <c r="E155" s="297"/>
    </row>
    <row r="156" spans="5:5">
      <c r="E156" s="297"/>
    </row>
    <row r="157" spans="5:5">
      <c r="E157" s="297"/>
    </row>
    <row r="158" spans="5:5">
      <c r="E158" s="297"/>
    </row>
    <row r="159" spans="5:5">
      <c r="E159" s="297"/>
    </row>
    <row r="160" spans="5:5">
      <c r="E160" s="297"/>
    </row>
    <row r="161" spans="5:5">
      <c r="E161" s="297"/>
    </row>
    <row r="162" spans="5:5">
      <c r="E162" s="297"/>
    </row>
    <row r="163" spans="5:5">
      <c r="E163" s="297"/>
    </row>
    <row r="164" spans="5:5">
      <c r="E164" s="297"/>
    </row>
    <row r="165" spans="5:5">
      <c r="E165" s="297"/>
    </row>
    <row r="166" spans="5:5">
      <c r="E166" s="297"/>
    </row>
    <row r="167" spans="5:5">
      <c r="E167" s="297"/>
    </row>
    <row r="168" spans="5:5">
      <c r="E168" s="297"/>
    </row>
    <row r="169" spans="5:5">
      <c r="E169" s="297"/>
    </row>
    <row r="170" spans="5:5">
      <c r="E170" s="297"/>
    </row>
    <row r="171" spans="5:5">
      <c r="E171" s="297"/>
    </row>
    <row r="172" spans="5:5">
      <c r="E172" s="297"/>
    </row>
    <row r="173" spans="5:5">
      <c r="E173" s="297"/>
    </row>
    <row r="174" spans="5:5">
      <c r="E174" s="297"/>
    </row>
    <row r="175" spans="5:5">
      <c r="E175" s="297"/>
    </row>
    <row r="176" spans="5:5">
      <c r="E176" s="297"/>
    </row>
    <row r="177" spans="5:5">
      <c r="E177" s="297"/>
    </row>
    <row r="178" spans="5:5">
      <c r="E178" s="297"/>
    </row>
    <row r="179" spans="5:5">
      <c r="E179" s="297"/>
    </row>
    <row r="180" spans="5:5">
      <c r="E180" s="297"/>
    </row>
    <row r="181" spans="5:5">
      <c r="E181" s="297"/>
    </row>
    <row r="182" spans="5:5">
      <c r="E182" s="297"/>
    </row>
    <row r="183" spans="5:5">
      <c r="E183" s="297"/>
    </row>
    <row r="184" spans="5:5">
      <c r="E184" s="297"/>
    </row>
    <row r="185" spans="5:5">
      <c r="E185" s="297"/>
    </row>
    <row r="186" spans="5:5">
      <c r="E186" s="297"/>
    </row>
    <row r="187" spans="5:5">
      <c r="E187" s="297"/>
    </row>
    <row r="188" spans="5:5">
      <c r="E188" s="297"/>
    </row>
    <row r="189" spans="5:5">
      <c r="E189" s="297"/>
    </row>
    <row r="190" spans="5:5">
      <c r="E190" s="297"/>
    </row>
    <row r="191" spans="5:5">
      <c r="E191" s="297"/>
    </row>
    <row r="192" spans="5:5">
      <c r="E192" s="297"/>
    </row>
    <row r="193" spans="5:5">
      <c r="E193" s="297"/>
    </row>
    <row r="194" spans="5:5">
      <c r="E194" s="297"/>
    </row>
    <row r="195" spans="5:5">
      <c r="E195" s="297"/>
    </row>
    <row r="196" spans="5:5">
      <c r="E196" s="297"/>
    </row>
    <row r="197" spans="5:5">
      <c r="E197" s="297"/>
    </row>
    <row r="198" spans="5:5">
      <c r="E198" s="297"/>
    </row>
    <row r="199" spans="5:5">
      <c r="E199" s="297"/>
    </row>
    <row r="200" spans="5:5">
      <c r="E200" s="297"/>
    </row>
    <row r="201" spans="5:5">
      <c r="E201" s="297"/>
    </row>
    <row r="202" spans="5:5">
      <c r="E202" s="297"/>
    </row>
    <row r="203" spans="5:5">
      <c r="E203" s="297"/>
    </row>
    <row r="204" spans="5:5">
      <c r="E204" s="297"/>
    </row>
    <row r="205" spans="5:5">
      <c r="E205" s="297"/>
    </row>
    <row r="206" spans="5:5">
      <c r="E206" s="297"/>
    </row>
    <row r="207" spans="5:5">
      <c r="E207" s="297"/>
    </row>
    <row r="208" spans="5:5">
      <c r="E208" s="297"/>
    </row>
    <row r="209" spans="5:5">
      <c r="E209" s="297"/>
    </row>
    <row r="210" spans="5:5">
      <c r="E210" s="297"/>
    </row>
    <row r="211" spans="5:5">
      <c r="E211" s="297"/>
    </row>
    <row r="212" spans="5:5">
      <c r="E212" s="297"/>
    </row>
    <row r="213" spans="5:5">
      <c r="E213" s="297"/>
    </row>
    <row r="214" spans="5:5">
      <c r="E214" s="297"/>
    </row>
    <row r="215" spans="5:5">
      <c r="E215" s="297"/>
    </row>
    <row r="216" spans="5:5">
      <c r="E216" s="297"/>
    </row>
    <row r="217" spans="5:5">
      <c r="E217" s="297"/>
    </row>
    <row r="218" spans="5:5">
      <c r="E218" s="297"/>
    </row>
    <row r="219" spans="5:5">
      <c r="E219" s="297"/>
    </row>
    <row r="220" spans="5:5">
      <c r="E220" s="297"/>
    </row>
    <row r="221" spans="5:5">
      <c r="E221" s="297"/>
    </row>
    <row r="222" spans="5:5">
      <c r="E222" s="297"/>
    </row>
    <row r="223" spans="5:5">
      <c r="E223" s="297"/>
    </row>
    <row r="224" spans="5:5">
      <c r="E224" s="297"/>
    </row>
    <row r="225" spans="5:5">
      <c r="E225" s="297"/>
    </row>
    <row r="226" spans="5:5">
      <c r="E226" s="297"/>
    </row>
    <row r="227" spans="5:5">
      <c r="E227" s="297"/>
    </row>
    <row r="228" spans="5:5">
      <c r="E228" s="297"/>
    </row>
    <row r="229" spans="5:5">
      <c r="E229" s="297"/>
    </row>
    <row r="230" spans="5:5">
      <c r="E230" s="297"/>
    </row>
    <row r="231" spans="5:5">
      <c r="E231" s="297"/>
    </row>
    <row r="232" spans="5:5">
      <c r="E232" s="297"/>
    </row>
    <row r="233" spans="5:5">
      <c r="E233" s="297"/>
    </row>
    <row r="234" spans="5:5">
      <c r="E234" s="297"/>
    </row>
    <row r="235" spans="5:5">
      <c r="E235" s="297"/>
    </row>
    <row r="236" spans="5:5">
      <c r="E236" s="297"/>
    </row>
    <row r="237" spans="5:5">
      <c r="E237" s="297"/>
    </row>
    <row r="238" spans="5:5">
      <c r="E238" s="297"/>
    </row>
    <row r="239" spans="5:5">
      <c r="E239" s="297"/>
    </row>
    <row r="240" spans="5:5">
      <c r="E240" s="297"/>
    </row>
    <row r="241" spans="5:5">
      <c r="E241" s="297"/>
    </row>
    <row r="242" spans="5:5">
      <c r="E242" s="297"/>
    </row>
    <row r="243" spans="5:5">
      <c r="E243" s="297"/>
    </row>
    <row r="244" spans="5:5">
      <c r="E244" s="297"/>
    </row>
    <row r="245" spans="5:5">
      <c r="E245" s="297"/>
    </row>
    <row r="246" spans="5:5">
      <c r="E246" s="297"/>
    </row>
    <row r="247" spans="5:5">
      <c r="E247" s="297"/>
    </row>
    <row r="248" spans="5:5">
      <c r="E248" s="297"/>
    </row>
    <row r="249" spans="5:5">
      <c r="E249" s="297"/>
    </row>
    <row r="250" spans="5:5">
      <c r="E250" s="297"/>
    </row>
    <row r="251" spans="5:5">
      <c r="E251" s="297"/>
    </row>
    <row r="252" spans="5:5">
      <c r="E252" s="297"/>
    </row>
    <row r="253" spans="5:5">
      <c r="E253" s="297"/>
    </row>
    <row r="254" spans="5:5">
      <c r="E254" s="297"/>
    </row>
    <row r="255" spans="5:5">
      <c r="E255" s="297"/>
    </row>
    <row r="256" spans="5:5">
      <c r="E256" s="297"/>
    </row>
    <row r="257" spans="5:5">
      <c r="E257" s="297"/>
    </row>
    <row r="258" spans="5:5">
      <c r="E258" s="297"/>
    </row>
    <row r="259" spans="5:5">
      <c r="E259" s="297"/>
    </row>
    <row r="260" spans="5:5">
      <c r="E260" s="297"/>
    </row>
    <row r="261" spans="5:5">
      <c r="E261" s="297"/>
    </row>
    <row r="262" spans="5:5">
      <c r="E262" s="297"/>
    </row>
    <row r="263" spans="5:5">
      <c r="E263" s="297"/>
    </row>
    <row r="264" spans="5:5">
      <c r="E264" s="297"/>
    </row>
    <row r="265" spans="5:5">
      <c r="E265" s="297"/>
    </row>
    <row r="266" spans="5:5">
      <c r="E266" s="297"/>
    </row>
    <row r="267" spans="5:5">
      <c r="E267" s="297"/>
    </row>
    <row r="268" spans="5:5">
      <c r="E268" s="297"/>
    </row>
    <row r="269" spans="5:5">
      <c r="E269" s="297"/>
    </row>
    <row r="270" spans="5:5">
      <c r="E270" s="297"/>
    </row>
    <row r="271" spans="5:5">
      <c r="E271" s="297"/>
    </row>
    <row r="272" spans="5:5">
      <c r="E272" s="297"/>
    </row>
    <row r="273" spans="5:5">
      <c r="E273" s="297"/>
    </row>
    <row r="274" spans="5:5">
      <c r="E274" s="297"/>
    </row>
    <row r="275" spans="5:5">
      <c r="E275" s="297"/>
    </row>
    <row r="276" spans="5:5">
      <c r="E276" s="297"/>
    </row>
    <row r="277" spans="5:5">
      <c r="E277" s="297"/>
    </row>
    <row r="278" spans="5:5">
      <c r="E278" s="297"/>
    </row>
    <row r="279" spans="5:5">
      <c r="E279" s="297"/>
    </row>
    <row r="280" spans="5:5">
      <c r="E280" s="297"/>
    </row>
    <row r="281" spans="5:5">
      <c r="E281" s="297"/>
    </row>
    <row r="282" spans="5:5">
      <c r="E282" s="297"/>
    </row>
    <row r="283" spans="5:5">
      <c r="E283" s="297"/>
    </row>
    <row r="284" spans="5:5">
      <c r="E284" s="297"/>
    </row>
    <row r="285" spans="5:5">
      <c r="E285" s="297"/>
    </row>
    <row r="286" spans="5:5">
      <c r="E286" s="297"/>
    </row>
    <row r="287" spans="5:5">
      <c r="E287" s="297"/>
    </row>
    <row r="288" spans="5:5">
      <c r="E288" s="297"/>
    </row>
    <row r="289" spans="5:5">
      <c r="E289" s="297"/>
    </row>
    <row r="290" spans="5:5">
      <c r="E290" s="297"/>
    </row>
    <row r="291" spans="5:5">
      <c r="E291" s="297"/>
    </row>
    <row r="292" spans="5:5">
      <c r="E292" s="297"/>
    </row>
    <row r="293" spans="5:5">
      <c r="E293" s="297"/>
    </row>
    <row r="294" spans="5:5">
      <c r="E294" s="297"/>
    </row>
    <row r="295" spans="5:5">
      <c r="E295" s="297"/>
    </row>
    <row r="296" spans="5:5">
      <c r="E296" s="297"/>
    </row>
    <row r="297" spans="5:5">
      <c r="E297" s="297"/>
    </row>
    <row r="298" spans="5:5">
      <c r="E298" s="297"/>
    </row>
    <row r="299" spans="5:5">
      <c r="E299" s="297"/>
    </row>
    <row r="300" spans="5:5">
      <c r="E300" s="297"/>
    </row>
    <row r="301" spans="5:5">
      <c r="E301" s="297"/>
    </row>
    <row r="302" spans="5:5">
      <c r="E302" s="297"/>
    </row>
    <row r="303" spans="5:5">
      <c r="E303" s="297"/>
    </row>
    <row r="304" spans="5:5">
      <c r="E304" s="297"/>
    </row>
    <row r="305" spans="5:5">
      <c r="E305" s="297"/>
    </row>
    <row r="306" spans="5:5">
      <c r="E306" s="297"/>
    </row>
    <row r="307" spans="5:5">
      <c r="E307" s="297"/>
    </row>
    <row r="308" spans="5:5">
      <c r="E308" s="297"/>
    </row>
    <row r="309" spans="5:5">
      <c r="E309" s="297"/>
    </row>
    <row r="310" spans="5:5">
      <c r="E310" s="297"/>
    </row>
    <row r="311" spans="5:5">
      <c r="E311" s="297"/>
    </row>
    <row r="312" spans="5:5">
      <c r="E312" s="297"/>
    </row>
    <row r="313" spans="5:5">
      <c r="E313" s="297"/>
    </row>
    <row r="314" spans="5:5">
      <c r="E314" s="297"/>
    </row>
    <row r="315" spans="5:5">
      <c r="E315" s="297"/>
    </row>
    <row r="316" spans="5:5">
      <c r="E316" s="297"/>
    </row>
    <row r="317" spans="5:5">
      <c r="E317" s="297"/>
    </row>
    <row r="318" spans="5:5">
      <c r="E318" s="297"/>
    </row>
    <row r="319" spans="5:5">
      <c r="E319" s="297"/>
    </row>
    <row r="320" spans="5:5">
      <c r="E320" s="297"/>
    </row>
    <row r="321" spans="5:5">
      <c r="E321" s="297"/>
    </row>
    <row r="322" spans="5:5">
      <c r="E322" s="297"/>
    </row>
    <row r="323" spans="5:5">
      <c r="E323" s="297"/>
    </row>
    <row r="324" spans="5:5">
      <c r="E324" s="297"/>
    </row>
    <row r="325" spans="5:5">
      <c r="E325" s="297"/>
    </row>
    <row r="326" spans="5:5">
      <c r="E326" s="297"/>
    </row>
    <row r="327" spans="5:5">
      <c r="E327" s="297"/>
    </row>
    <row r="328" spans="5:5">
      <c r="E328" s="297"/>
    </row>
    <row r="329" spans="5:5">
      <c r="E329" s="297"/>
    </row>
    <row r="330" spans="5:5">
      <c r="E330" s="297"/>
    </row>
    <row r="331" spans="5:5">
      <c r="E331" s="297"/>
    </row>
    <row r="332" spans="5:5">
      <c r="E332" s="297"/>
    </row>
    <row r="333" spans="5:5">
      <c r="E333" s="297"/>
    </row>
    <row r="334" spans="5:5">
      <c r="E334" s="297"/>
    </row>
    <row r="335" spans="5:5">
      <c r="E335" s="297"/>
    </row>
    <row r="336" spans="5:5">
      <c r="E336" s="297"/>
    </row>
    <row r="337" spans="5:5">
      <c r="E337" s="297"/>
    </row>
    <row r="338" spans="5:5">
      <c r="E338" s="297"/>
    </row>
    <row r="339" spans="5:5">
      <c r="E339" s="297"/>
    </row>
    <row r="340" spans="5:5">
      <c r="E340" s="297"/>
    </row>
    <row r="341" spans="5:5">
      <c r="E341" s="297"/>
    </row>
    <row r="342" spans="5:5">
      <c r="E342" s="297"/>
    </row>
    <row r="343" spans="5:5">
      <c r="E343" s="297"/>
    </row>
    <row r="344" spans="5:5">
      <c r="E344" s="297"/>
    </row>
    <row r="345" spans="5:5">
      <c r="E345" s="297"/>
    </row>
    <row r="346" spans="5:5">
      <c r="E346" s="297"/>
    </row>
    <row r="347" spans="5:5">
      <c r="E347" s="297"/>
    </row>
    <row r="348" spans="5:5">
      <c r="E348" s="297"/>
    </row>
    <row r="349" spans="5:5">
      <c r="E349" s="297"/>
    </row>
    <row r="350" spans="5:5">
      <c r="E350" s="297"/>
    </row>
    <row r="351" spans="5:5">
      <c r="E351" s="297"/>
    </row>
    <row r="352" spans="5:5">
      <c r="E352" s="297"/>
    </row>
    <row r="353" spans="5:5">
      <c r="E353" s="297"/>
    </row>
    <row r="354" spans="5:5">
      <c r="E354" s="297"/>
    </row>
    <row r="355" spans="5:5">
      <c r="E355" s="297"/>
    </row>
    <row r="356" spans="5:5">
      <c r="E356" s="297"/>
    </row>
    <row r="357" spans="5:5">
      <c r="E357" s="297"/>
    </row>
    <row r="358" spans="5:5">
      <c r="E358" s="297"/>
    </row>
    <row r="359" spans="5:5">
      <c r="E359" s="297"/>
    </row>
    <row r="360" spans="5:5">
      <c r="E360" s="297"/>
    </row>
    <row r="361" spans="5:5">
      <c r="E361" s="297"/>
    </row>
    <row r="362" spans="5:5">
      <c r="E362" s="297"/>
    </row>
    <row r="363" spans="5:5">
      <c r="E363" s="297"/>
    </row>
    <row r="364" spans="5:5">
      <c r="E364" s="297"/>
    </row>
    <row r="365" spans="5:5">
      <c r="E365" s="297"/>
    </row>
    <row r="366" spans="5:5">
      <c r="E366" s="297"/>
    </row>
    <row r="367" spans="5:5">
      <c r="E367" s="297"/>
    </row>
    <row r="368" spans="5:5">
      <c r="E368" s="297"/>
    </row>
    <row r="369" spans="5:5">
      <c r="E369" s="297"/>
    </row>
    <row r="370" spans="5:5">
      <c r="E370" s="297"/>
    </row>
    <row r="371" spans="5:5">
      <c r="E371" s="297"/>
    </row>
    <row r="372" spans="5:5">
      <c r="E372" s="297"/>
    </row>
    <row r="373" spans="5:5">
      <c r="E373" s="297"/>
    </row>
    <row r="374" spans="5:5">
      <c r="E374" s="297"/>
    </row>
    <row r="375" spans="5:5">
      <c r="E375" s="297"/>
    </row>
    <row r="376" spans="5:5">
      <c r="E376" s="297"/>
    </row>
    <row r="377" spans="5:5">
      <c r="E377" s="297"/>
    </row>
    <row r="378" spans="5:5">
      <c r="E378" s="297"/>
    </row>
    <row r="379" spans="5:5">
      <c r="E379" s="297"/>
    </row>
    <row r="380" spans="5:5">
      <c r="E380" s="297"/>
    </row>
    <row r="381" spans="5:5">
      <c r="E381" s="297"/>
    </row>
    <row r="382" spans="5:5">
      <c r="E382" s="297"/>
    </row>
    <row r="383" spans="5:5">
      <c r="E383" s="297"/>
    </row>
    <row r="384" spans="5:5">
      <c r="E384" s="297"/>
    </row>
    <row r="385" spans="5:5">
      <c r="E385" s="297"/>
    </row>
    <row r="386" spans="5:5">
      <c r="E386" s="297"/>
    </row>
    <row r="387" spans="5:5">
      <c r="E387" s="297"/>
    </row>
    <row r="388" spans="5:5">
      <c r="E388" s="297"/>
    </row>
    <row r="389" spans="5:5">
      <c r="E389" s="297"/>
    </row>
    <row r="390" spans="5:5">
      <c r="E390" s="297"/>
    </row>
    <row r="391" spans="5:5">
      <c r="E391" s="297"/>
    </row>
    <row r="392" spans="5:5">
      <c r="E392" s="297"/>
    </row>
    <row r="393" spans="5:5">
      <c r="E393" s="297"/>
    </row>
    <row r="394" spans="5:5">
      <c r="E394" s="297"/>
    </row>
    <row r="395" spans="5:5">
      <c r="E395" s="297"/>
    </row>
    <row r="396" spans="5:5">
      <c r="E396" s="297"/>
    </row>
    <row r="397" spans="5:5">
      <c r="E397" s="297"/>
    </row>
    <row r="398" spans="5:5">
      <c r="E398" s="297"/>
    </row>
    <row r="399" spans="5:5">
      <c r="E399" s="297"/>
    </row>
    <row r="400" spans="5:5">
      <c r="E400" s="297"/>
    </row>
    <row r="401" spans="5:5">
      <c r="E401" s="297"/>
    </row>
    <row r="402" spans="5:5">
      <c r="E402" s="297"/>
    </row>
    <row r="403" spans="5:5">
      <c r="E403" s="297"/>
    </row>
    <row r="404" spans="5:5">
      <c r="E404" s="297"/>
    </row>
    <row r="405" spans="5:5">
      <c r="E405" s="297"/>
    </row>
    <row r="406" spans="5:5">
      <c r="E406" s="297"/>
    </row>
    <row r="407" spans="5:5">
      <c r="E407" s="297"/>
    </row>
    <row r="408" spans="5:5">
      <c r="E408" s="297"/>
    </row>
    <row r="409" spans="5:5">
      <c r="E409" s="297"/>
    </row>
  </sheetData>
  <mergeCells count="4">
    <mergeCell ref="B4:F4"/>
    <mergeCell ref="B5:F5"/>
    <mergeCell ref="B7:F7"/>
    <mergeCell ref="B55:F55"/>
  </mergeCells>
  <pageMargins left="0.7" right="0.7" top="0.75" bottom="0.75" header="0.3" footer="0.3"/>
  <pageSetup scale="90" orientation="portrait" r:id="rId1"/>
  <headerFooter>
    <oddFooter>&amp;RExhibit JW-2
Page &amp;P of &amp;N</oddFooter>
  </headerFooter>
  <ignoredErrors>
    <ignoredError sqref="B10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9"/>
  <sheetViews>
    <sheetView view="pageBreakPreview" zoomScaleNormal="100" zoomScaleSheetLayoutView="100" workbookViewId="0">
      <selection activeCell="J16" sqref="J16"/>
    </sheetView>
  </sheetViews>
  <sheetFormatPr defaultColWidth="9.15234375" defaultRowHeight="12.45"/>
  <cols>
    <col min="1" max="1" width="3.53515625" style="9" customWidth="1"/>
    <col min="2" max="2" width="9.15234375" style="8"/>
    <col min="3" max="3" width="37.3828125" style="9" bestFit="1" customWidth="1"/>
    <col min="4" max="5" width="13.53515625" style="9" bestFit="1" customWidth="1"/>
    <col min="6" max="6" width="11.84375" style="9" customWidth="1"/>
    <col min="7" max="7" width="12.3828125" style="9" customWidth="1"/>
    <col min="8" max="8" width="9.15234375" style="9"/>
    <col min="9" max="9" width="11.69140625" style="9" bestFit="1" customWidth="1"/>
    <col min="10" max="13" width="9.15234375" style="9"/>
    <col min="14" max="16" width="13.53515625" style="9" bestFit="1" customWidth="1"/>
    <col min="17" max="16384" width="9.15234375" style="9"/>
  </cols>
  <sheetData>
    <row r="1" spans="1:9">
      <c r="A1" s="312" t="str">
        <f>RevReq!A1</f>
        <v>MEADE COUNTY R.E.C.C.</v>
      </c>
      <c r="B1" s="312"/>
      <c r="C1" s="312"/>
      <c r="D1" s="312"/>
      <c r="E1" s="312"/>
      <c r="F1" s="312"/>
      <c r="G1" s="312"/>
    </row>
    <row r="2" spans="1:9">
      <c r="A2" s="312" t="s">
        <v>154</v>
      </c>
      <c r="B2" s="312"/>
      <c r="C2" s="312"/>
      <c r="D2" s="312"/>
      <c r="E2" s="312"/>
      <c r="F2" s="312"/>
      <c r="G2" s="312"/>
    </row>
    <row r="4" spans="1:9" ht="47.25" customHeight="1">
      <c r="B4" s="31" t="s">
        <v>159</v>
      </c>
      <c r="C4" s="23" t="s">
        <v>41</v>
      </c>
      <c r="D4" s="23" t="s">
        <v>23</v>
      </c>
      <c r="E4" s="23" t="s">
        <v>24</v>
      </c>
      <c r="F4" s="23" t="s">
        <v>156</v>
      </c>
      <c r="G4" s="23" t="s">
        <v>157</v>
      </c>
    </row>
    <row r="5" spans="1:9">
      <c r="B5" s="32" t="s">
        <v>21</v>
      </c>
      <c r="C5" s="33">
        <v>1</v>
      </c>
      <c r="D5" s="33">
        <f>C5+1</f>
        <v>2</v>
      </c>
      <c r="E5" s="33">
        <f>D5+1</f>
        <v>3</v>
      </c>
      <c r="F5" s="33">
        <f>E5+1</f>
        <v>4</v>
      </c>
      <c r="G5" s="33">
        <f>F5+1</f>
        <v>5</v>
      </c>
    </row>
    <row r="6" spans="1:9">
      <c r="B6" s="9"/>
      <c r="C6" s="46"/>
      <c r="D6" s="46"/>
      <c r="E6" s="46"/>
      <c r="F6" s="46"/>
      <c r="G6" s="46"/>
    </row>
    <row r="7" spans="1:9">
      <c r="B7" s="8">
        <v>1.01</v>
      </c>
      <c r="C7" s="9" t="s">
        <v>155</v>
      </c>
      <c r="D7" s="20">
        <f>'1.01 FAC'!F31</f>
        <v>-5350058.47</v>
      </c>
      <c r="E7" s="20">
        <f>'1.01 FAC'!H31</f>
        <v>-5350058.47</v>
      </c>
      <c r="F7" s="18">
        <v>0</v>
      </c>
      <c r="G7" s="18">
        <f>D7-E7+F7</f>
        <v>0</v>
      </c>
    </row>
    <row r="8" spans="1:9">
      <c r="B8" s="8">
        <v>1.02</v>
      </c>
      <c r="C8" s="9" t="s">
        <v>116</v>
      </c>
      <c r="D8" s="20">
        <f>'1.02 ES'!F31</f>
        <v>-3236541.4</v>
      </c>
      <c r="E8" s="20">
        <f>'1.02 ES'!H31</f>
        <v>-3236541.4</v>
      </c>
      <c r="F8" s="18">
        <v>0</v>
      </c>
      <c r="G8" s="18">
        <f t="shared" ref="G8:G26" si="0">D8-E8+F8</f>
        <v>0</v>
      </c>
    </row>
    <row r="9" spans="1:9">
      <c r="B9" s="8">
        <v>1.03</v>
      </c>
      <c r="C9" s="9" t="s">
        <v>248</v>
      </c>
      <c r="D9" s="20">
        <f>'1.03 MRSM'!F31</f>
        <v>1668084.41</v>
      </c>
      <c r="E9" s="20">
        <f>'1.03 MRSM'!H31</f>
        <v>1668084.41</v>
      </c>
      <c r="F9" s="18">
        <v>0</v>
      </c>
      <c r="G9" s="18">
        <f t="shared" si="0"/>
        <v>0</v>
      </c>
    </row>
    <row r="10" spans="1:9">
      <c r="B10" s="8">
        <v>1.04</v>
      </c>
      <c r="C10" s="9" t="s">
        <v>249</v>
      </c>
      <c r="D10" s="20">
        <f>'1.04 NFPPA'!F31</f>
        <v>-3173128.14</v>
      </c>
      <c r="E10" s="20">
        <f>'1.04 NFPPA'!H31</f>
        <v>-3173128.14</v>
      </c>
      <c r="F10" s="18">
        <v>0</v>
      </c>
      <c r="G10" s="18">
        <f t="shared" si="0"/>
        <v>0</v>
      </c>
      <c r="I10" s="19">
        <f>G7+G8+G9+G10</f>
        <v>0</v>
      </c>
    </row>
    <row r="11" spans="1:9">
      <c r="B11" s="8">
        <v>1.05</v>
      </c>
      <c r="C11" s="9" t="s">
        <v>31</v>
      </c>
      <c r="D11" s="18"/>
      <c r="E11" s="18">
        <f>'1.05 RC'!E23</f>
        <v>38333.33</v>
      </c>
      <c r="F11" s="20">
        <v>0</v>
      </c>
      <c r="G11" s="18">
        <f t="shared" si="0"/>
        <v>-38333.33</v>
      </c>
    </row>
    <row r="12" spans="1:9">
      <c r="B12" s="8">
        <v>1.06</v>
      </c>
      <c r="C12" s="9" t="s">
        <v>227</v>
      </c>
      <c r="D12" s="20">
        <f>'1.06 CUST'!F48</f>
        <v>346958.26</v>
      </c>
      <c r="E12" s="20">
        <f>'1.06 CUST'!G48</f>
        <v>214905.01</v>
      </c>
      <c r="F12" s="18">
        <v>0</v>
      </c>
      <c r="G12" s="18">
        <f t="shared" si="0"/>
        <v>132053.25</v>
      </c>
    </row>
    <row r="13" spans="1:9">
      <c r="B13" s="8">
        <v>1.07</v>
      </c>
      <c r="C13" s="2" t="s">
        <v>224</v>
      </c>
      <c r="D13" s="18"/>
      <c r="E13" s="18">
        <f>'1.07 Depr'!I101</f>
        <v>-52787.66000000108</v>
      </c>
      <c r="F13" s="18">
        <v>0</v>
      </c>
      <c r="G13" s="18">
        <f t="shared" si="0"/>
        <v>52787.66000000108</v>
      </c>
    </row>
    <row r="14" spans="1:9">
      <c r="B14" s="8">
        <v>1.08</v>
      </c>
      <c r="C14" s="2" t="s">
        <v>255</v>
      </c>
      <c r="D14" s="18"/>
      <c r="E14" s="18">
        <f>'1.08 DonaAdsDues'!P24</f>
        <v>-158922.87999999998</v>
      </c>
      <c r="F14" s="18">
        <v>0</v>
      </c>
      <c r="G14" s="18">
        <f t="shared" si="0"/>
        <v>158922.87999999998</v>
      </c>
    </row>
    <row r="15" spans="1:9">
      <c r="B15" s="8">
        <v>1.0900000000000001</v>
      </c>
      <c r="C15" s="2" t="s">
        <v>226</v>
      </c>
      <c r="D15" s="18"/>
      <c r="E15" s="18">
        <f>'1.09 Dir'!J26</f>
        <v>-34103.58</v>
      </c>
      <c r="F15" s="18">
        <v>0</v>
      </c>
      <c r="G15" s="18">
        <f t="shared" si="0"/>
        <v>34103.58</v>
      </c>
    </row>
    <row r="16" spans="1:9">
      <c r="B16" s="22">
        <v>1.1000000000000001</v>
      </c>
      <c r="C16" s="2" t="s">
        <v>221</v>
      </c>
      <c r="D16" s="18"/>
      <c r="E16" s="18">
        <f>'1.10 Life Ins'!H92</f>
        <v>-17027.207634743681</v>
      </c>
      <c r="F16" s="18">
        <v>0</v>
      </c>
      <c r="G16" s="18">
        <f t="shared" si="0"/>
        <v>17027.207634743681</v>
      </c>
    </row>
    <row r="17" spans="2:10">
      <c r="B17" s="8">
        <v>1.1100000000000001</v>
      </c>
      <c r="C17" s="2" t="s">
        <v>313</v>
      </c>
      <c r="D17" s="18"/>
      <c r="E17" s="18">
        <f>'1.11 401K'!O25</f>
        <v>-21970.289999999997</v>
      </c>
      <c r="F17" s="18">
        <v>0</v>
      </c>
      <c r="G17" s="18">
        <f t="shared" si="0"/>
        <v>21970.289999999997</v>
      </c>
    </row>
    <row r="18" spans="2:10" s="45" customFormat="1">
      <c r="B18" s="8">
        <v>1.1200000000000001</v>
      </c>
      <c r="C18" s="9" t="s">
        <v>314</v>
      </c>
      <c r="D18" s="18"/>
      <c r="E18" s="18">
        <f>'1.12 Health'!L77</f>
        <v>-35535.451799999901</v>
      </c>
      <c r="F18" s="18">
        <v>0</v>
      </c>
      <c r="G18" s="18">
        <f t="shared" si="0"/>
        <v>35535.451799999901</v>
      </c>
      <c r="I18" s="9"/>
      <c r="J18" s="9"/>
    </row>
    <row r="19" spans="2:10">
      <c r="B19" s="8">
        <v>1.1299999999999999</v>
      </c>
      <c r="C19" s="9" t="s">
        <v>252</v>
      </c>
      <c r="D19" s="18"/>
      <c r="E19" s="18">
        <f>'1.13 Labor'!W95</f>
        <v>402393.97324999946</v>
      </c>
      <c r="F19" s="18">
        <v>0</v>
      </c>
      <c r="G19" s="18">
        <f t="shared" si="0"/>
        <v>-402393.97324999946</v>
      </c>
    </row>
    <row r="20" spans="2:10">
      <c r="B20" s="8">
        <v>1.1399999999999999</v>
      </c>
      <c r="C20" s="9" t="s">
        <v>342</v>
      </c>
      <c r="E20" s="18">
        <f>'1.14 Interest'!F53</f>
        <v>163163.7494520545</v>
      </c>
      <c r="G20" s="18">
        <f t="shared" si="0"/>
        <v>-163163.7494520545</v>
      </c>
    </row>
    <row r="21" spans="2:10" hidden="1">
      <c r="E21" s="18"/>
      <c r="G21" s="18">
        <f t="shared" si="0"/>
        <v>0</v>
      </c>
    </row>
    <row r="22" spans="2:10" hidden="1">
      <c r="E22" s="18"/>
      <c r="G22" s="18">
        <f t="shared" si="0"/>
        <v>0</v>
      </c>
    </row>
    <row r="23" spans="2:10" hidden="1">
      <c r="E23" s="18"/>
      <c r="G23" s="18">
        <f t="shared" si="0"/>
        <v>0</v>
      </c>
    </row>
    <row r="24" spans="2:10" hidden="1">
      <c r="E24" s="18"/>
      <c r="G24" s="18">
        <f t="shared" si="0"/>
        <v>0</v>
      </c>
    </row>
    <row r="25" spans="2:10" hidden="1">
      <c r="E25" s="18"/>
      <c r="G25" s="18">
        <f t="shared" si="0"/>
        <v>0</v>
      </c>
    </row>
    <row r="26" spans="2:10" hidden="1">
      <c r="C26" s="2"/>
      <c r="D26" s="18"/>
      <c r="E26" s="18"/>
      <c r="F26" s="18"/>
      <c r="G26" s="18">
        <f t="shared" si="0"/>
        <v>0</v>
      </c>
    </row>
    <row r="27" spans="2:10" ht="18.75" customHeight="1" thickBot="1">
      <c r="B27" s="70"/>
      <c r="C27" s="71" t="s">
        <v>44</v>
      </c>
      <c r="D27" s="72">
        <f>SUM(D7:D26)</f>
        <v>-9744685.3399999999</v>
      </c>
      <c r="E27" s="72">
        <f t="shared" ref="E27:G27" si="1">SUM(E7:E26)</f>
        <v>-9593194.6067326907</v>
      </c>
      <c r="F27" s="72">
        <f t="shared" si="1"/>
        <v>0</v>
      </c>
      <c r="G27" s="72">
        <f t="shared" si="1"/>
        <v>-151490.73326730932</v>
      </c>
    </row>
    <row r="28" spans="2:10" ht="12.9" thickTop="1">
      <c r="D28" s="24"/>
      <c r="E28" s="24"/>
      <c r="F28" s="24"/>
      <c r="G28" s="18"/>
    </row>
    <row r="29" spans="2:10">
      <c r="D29" s="18"/>
      <c r="F29" s="18"/>
      <c r="G29" s="18"/>
    </row>
    <row r="30" spans="2:10">
      <c r="D30" s="21"/>
      <c r="E30" s="21"/>
      <c r="F30" s="21"/>
      <c r="G30" s="21"/>
    </row>
    <row r="31" spans="2:10">
      <c r="D31" s="18"/>
      <c r="F31" s="18"/>
      <c r="G31" s="18"/>
    </row>
    <row r="32" spans="2:10">
      <c r="D32" s="21"/>
      <c r="E32" s="21"/>
      <c r="F32" s="21"/>
      <c r="G32" s="21"/>
    </row>
    <row r="33" spans="4:7">
      <c r="D33" s="18"/>
      <c r="F33" s="18"/>
      <c r="G33" s="18"/>
    </row>
    <row r="34" spans="4:7">
      <c r="D34" s="21"/>
      <c r="E34" s="21"/>
      <c r="F34" s="21"/>
      <c r="G34" s="21"/>
    </row>
    <row r="35" spans="4:7">
      <c r="D35" s="18"/>
      <c r="F35" s="18"/>
      <c r="G35" s="18"/>
    </row>
    <row r="36" spans="4:7">
      <c r="D36" s="21"/>
      <c r="E36" s="21"/>
      <c r="F36" s="21"/>
      <c r="G36" s="21"/>
    </row>
    <row r="37" spans="4:7">
      <c r="D37" s="18"/>
      <c r="F37" s="18"/>
      <c r="G37" s="18"/>
    </row>
    <row r="38" spans="4:7">
      <c r="D38" s="21"/>
      <c r="E38" s="21"/>
      <c r="F38" s="21"/>
      <c r="G38" s="21"/>
    </row>
    <row r="39" spans="4:7">
      <c r="D39" s="18"/>
      <c r="F39" s="18"/>
      <c r="G39" s="18"/>
    </row>
  </sheetData>
  <mergeCells count="2">
    <mergeCell ref="A1:G1"/>
    <mergeCell ref="A2:G2"/>
  </mergeCells>
  <printOptions horizontalCentered="1"/>
  <pageMargins left="1" right="0.75" top="0.75" bottom="0.5" header="0.5" footer="0.5"/>
  <pageSetup orientation="landscape" r:id="rId1"/>
  <headerFooter alignWithMargins="0">
    <oddFooter>&amp;RExhibit JW-2
Page &amp;P of &amp;N</oddFooter>
  </headerFooter>
  <ignoredErrors>
    <ignoredError sqref="F27:G2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74"/>
  <sheetViews>
    <sheetView view="pageBreakPreview" topLeftCell="A51" zoomScaleNormal="100" zoomScaleSheetLayoutView="100" workbookViewId="0">
      <selection activeCell="H45" sqref="H45"/>
    </sheetView>
  </sheetViews>
  <sheetFormatPr defaultRowHeight="14.6"/>
  <cols>
    <col min="1" max="1" width="9.15234375" style="50"/>
    <col min="2" max="2" width="1.53515625" style="50" customWidth="1"/>
    <col min="3" max="3" width="40.3046875" bestFit="1" customWidth="1"/>
    <col min="4" max="4" width="13.53515625" style="92" bestFit="1" customWidth="1"/>
    <col min="5" max="5" width="15.53515625" style="85" customWidth="1"/>
    <col min="6" max="6" width="17.53515625" bestFit="1" customWidth="1"/>
    <col min="7" max="7" width="4.53515625" customWidth="1"/>
    <col min="8" max="8" width="13.3828125" bestFit="1" customWidth="1"/>
    <col min="9" max="9" width="5.84375" customWidth="1"/>
  </cols>
  <sheetData>
    <row r="1" spans="1:7">
      <c r="A1" s="313" t="str">
        <f>RevReq!A1</f>
        <v>MEADE COUNTY R.E.C.C.</v>
      </c>
      <c r="B1" s="313"/>
      <c r="C1" s="313"/>
      <c r="D1" s="313"/>
      <c r="E1" s="313"/>
      <c r="F1" s="313"/>
      <c r="G1" s="78"/>
    </row>
    <row r="2" spans="1:7">
      <c r="A2" s="313" t="s">
        <v>161</v>
      </c>
      <c r="B2" s="313"/>
      <c r="C2" s="313"/>
      <c r="D2" s="313"/>
      <c r="E2" s="313"/>
      <c r="F2" s="313"/>
      <c r="G2" s="78"/>
    </row>
    <row r="3" spans="1:7">
      <c r="A3" s="78"/>
      <c r="B3" s="78"/>
      <c r="C3" s="78"/>
      <c r="D3" s="88"/>
      <c r="E3" s="82"/>
      <c r="F3" s="78"/>
      <c r="G3" s="78"/>
    </row>
    <row r="4" spans="1:7">
      <c r="A4" s="8"/>
      <c r="B4" s="8"/>
      <c r="C4" s="9"/>
      <c r="D4" s="101">
        <v>2024</v>
      </c>
      <c r="E4" s="47"/>
      <c r="F4" s="47"/>
      <c r="G4" s="49"/>
    </row>
    <row r="5" spans="1:7">
      <c r="A5" s="47" t="s">
        <v>0</v>
      </c>
      <c r="B5" s="47"/>
      <c r="C5" s="47" t="s">
        <v>1</v>
      </c>
      <c r="D5" s="101" t="s">
        <v>109</v>
      </c>
      <c r="E5" s="83" t="s">
        <v>206</v>
      </c>
      <c r="F5" s="47" t="s">
        <v>110</v>
      </c>
      <c r="G5" s="49"/>
    </row>
    <row r="6" spans="1:7" s="77" customFormat="1">
      <c r="A6" s="75" t="s">
        <v>21</v>
      </c>
      <c r="B6" s="75"/>
      <c r="C6" s="76">
        <v>1</v>
      </c>
      <c r="D6" s="76">
        <f>C6+1</f>
        <v>2</v>
      </c>
      <c r="E6" s="76">
        <f>D6+1</f>
        <v>3</v>
      </c>
      <c r="F6" s="76" t="s">
        <v>25</v>
      </c>
    </row>
    <row r="7" spans="1:7">
      <c r="A7" s="8">
        <v>1</v>
      </c>
      <c r="B7" s="81" t="s">
        <v>162</v>
      </c>
      <c r="C7" s="9"/>
      <c r="D7" s="2"/>
      <c r="E7" s="20"/>
      <c r="F7" s="9"/>
    </row>
    <row r="8" spans="1:7">
      <c r="A8" s="8">
        <f>A7+1</f>
        <v>2</v>
      </c>
      <c r="B8" s="8"/>
      <c r="C8" s="9" t="s">
        <v>163</v>
      </c>
      <c r="D8" s="79">
        <v>149940949.88</v>
      </c>
      <c r="E8" s="79">
        <v>0</v>
      </c>
      <c r="F8" s="79">
        <f>D8+E8</f>
        <v>149940949.88</v>
      </c>
    </row>
    <row r="9" spans="1:7">
      <c r="A9" s="8">
        <f t="shared" ref="A9:A68" si="0">A8+1</f>
        <v>3</v>
      </c>
      <c r="B9" s="8"/>
      <c r="C9" s="9" t="s">
        <v>164</v>
      </c>
      <c r="D9" s="79">
        <v>1052826.22</v>
      </c>
      <c r="E9" s="79">
        <v>0</v>
      </c>
      <c r="F9" s="79">
        <f>D9+E9</f>
        <v>1052826.22</v>
      </c>
    </row>
    <row r="10" spans="1:7">
      <c r="A10" s="8">
        <f t="shared" si="0"/>
        <v>4</v>
      </c>
      <c r="B10" s="8"/>
      <c r="C10" s="9" t="s">
        <v>253</v>
      </c>
      <c r="D10" s="79">
        <f>D8+D9</f>
        <v>150993776.09999999</v>
      </c>
      <c r="E10" s="79">
        <v>0</v>
      </c>
      <c r="F10" s="79">
        <f>D10+E10</f>
        <v>150993776.09999999</v>
      </c>
    </row>
    <row r="11" spans="1:7">
      <c r="A11" s="8">
        <f t="shared" si="0"/>
        <v>5</v>
      </c>
      <c r="B11" s="8"/>
      <c r="C11" s="9" t="s">
        <v>165</v>
      </c>
      <c r="D11" s="79">
        <v>57287245.590000004</v>
      </c>
      <c r="E11" s="79">
        <v>0</v>
      </c>
      <c r="F11" s="79">
        <f>D11+E11</f>
        <v>57287245.590000004</v>
      </c>
    </row>
    <row r="12" spans="1:7">
      <c r="A12" s="8">
        <f t="shared" si="0"/>
        <v>6</v>
      </c>
      <c r="B12" s="8"/>
      <c r="C12" s="14" t="s">
        <v>166</v>
      </c>
      <c r="D12" s="84">
        <f>SUM(D10:D10)-D11</f>
        <v>93706530.50999999</v>
      </c>
      <c r="E12" s="84">
        <f t="shared" ref="E12:F12" si="1">SUM(E10:E10)-E11</f>
        <v>0</v>
      </c>
      <c r="F12" s="84">
        <f t="shared" si="1"/>
        <v>93706530.50999999</v>
      </c>
    </row>
    <row r="13" spans="1:7">
      <c r="A13" s="8">
        <f t="shared" si="0"/>
        <v>7</v>
      </c>
      <c r="B13" s="8"/>
      <c r="C13" s="9"/>
      <c r="D13" s="79"/>
      <c r="E13" s="79"/>
      <c r="F13" s="79"/>
    </row>
    <row r="14" spans="1:7">
      <c r="A14" s="8">
        <f t="shared" si="0"/>
        <v>8</v>
      </c>
      <c r="B14" s="8"/>
      <c r="C14" s="9" t="s">
        <v>239</v>
      </c>
      <c r="D14" s="79">
        <v>0</v>
      </c>
      <c r="E14" s="79">
        <v>0</v>
      </c>
      <c r="F14" s="79">
        <f t="shared" ref="F14:F20" si="2">D14+E14</f>
        <v>0</v>
      </c>
    </row>
    <row r="15" spans="1:7">
      <c r="A15" s="8">
        <f t="shared" si="0"/>
        <v>9</v>
      </c>
      <c r="B15" s="8"/>
      <c r="C15" s="9" t="s">
        <v>167</v>
      </c>
      <c r="D15" s="79">
        <v>1889178.33</v>
      </c>
      <c r="E15" s="79">
        <v>0</v>
      </c>
      <c r="F15" s="79">
        <f t="shared" si="2"/>
        <v>1889178.33</v>
      </c>
    </row>
    <row r="16" spans="1:7">
      <c r="A16" s="8">
        <f t="shared" si="0"/>
        <v>10</v>
      </c>
      <c r="B16" s="8"/>
      <c r="C16" s="9" t="s">
        <v>168</v>
      </c>
      <c r="D16" s="79">
        <v>0</v>
      </c>
      <c r="E16" s="79">
        <v>0</v>
      </c>
      <c r="F16" s="79">
        <f t="shared" si="2"/>
        <v>0</v>
      </c>
    </row>
    <row r="17" spans="1:6">
      <c r="A17" s="8">
        <f t="shared" si="0"/>
        <v>11</v>
      </c>
      <c r="B17" s="8"/>
      <c r="C17" s="9" t="s">
        <v>169</v>
      </c>
      <c r="D17" s="79">
        <v>837700.83</v>
      </c>
      <c r="E17" s="79">
        <v>0</v>
      </c>
      <c r="F17" s="79">
        <f t="shared" si="2"/>
        <v>837700.83</v>
      </c>
    </row>
    <row r="18" spans="1:6">
      <c r="A18" s="8">
        <f t="shared" si="0"/>
        <v>12</v>
      </c>
      <c r="B18" s="8"/>
      <c r="C18" s="9" t="s">
        <v>240</v>
      </c>
      <c r="D18" s="79">
        <v>0</v>
      </c>
      <c r="E18" s="79">
        <v>0</v>
      </c>
      <c r="F18" s="79">
        <f t="shared" si="2"/>
        <v>0</v>
      </c>
    </row>
    <row r="19" spans="1:6">
      <c r="A19" s="8">
        <f t="shared" si="0"/>
        <v>13</v>
      </c>
      <c r="B19" s="8"/>
      <c r="C19" s="9" t="s">
        <v>170</v>
      </c>
      <c r="D19" s="79">
        <v>0</v>
      </c>
      <c r="E19" s="79">
        <v>0</v>
      </c>
      <c r="F19" s="79">
        <f t="shared" si="2"/>
        <v>0</v>
      </c>
    </row>
    <row r="20" spans="1:6">
      <c r="A20" s="8">
        <f t="shared" si="0"/>
        <v>14</v>
      </c>
      <c r="B20" s="8"/>
      <c r="C20" s="9" t="s">
        <v>241</v>
      </c>
      <c r="D20" s="79">
        <v>0</v>
      </c>
      <c r="E20" s="79">
        <v>0</v>
      </c>
      <c r="F20" s="79">
        <f t="shared" si="2"/>
        <v>0</v>
      </c>
    </row>
    <row r="21" spans="1:6">
      <c r="A21" s="8">
        <f t="shared" si="0"/>
        <v>15</v>
      </c>
      <c r="B21" s="8"/>
      <c r="C21" s="14" t="s">
        <v>171</v>
      </c>
      <c r="D21" s="84">
        <f>SUM(D14:D20)</f>
        <v>2726879.16</v>
      </c>
      <c r="E21" s="84">
        <f t="shared" ref="E21:F21" si="3">SUM(E14:E20)</f>
        <v>0</v>
      </c>
      <c r="F21" s="84">
        <f t="shared" si="3"/>
        <v>2726879.16</v>
      </c>
    </row>
    <row r="22" spans="1:6">
      <c r="A22" s="8">
        <f t="shared" si="0"/>
        <v>16</v>
      </c>
      <c r="B22" s="8"/>
      <c r="C22" s="9"/>
      <c r="D22" s="79"/>
      <c r="E22" s="79"/>
      <c r="F22" s="79"/>
    </row>
    <row r="23" spans="1:6">
      <c r="A23" s="8">
        <f t="shared" si="0"/>
        <v>17</v>
      </c>
      <c r="B23" s="8"/>
      <c r="C23" s="9" t="s">
        <v>172</v>
      </c>
      <c r="D23" s="79">
        <v>1998147.75</v>
      </c>
      <c r="E23" s="79">
        <v>0</v>
      </c>
      <c r="F23" s="79">
        <f t="shared" ref="F23:F32" si="4">D23+E23</f>
        <v>1998147.75</v>
      </c>
    </row>
    <row r="24" spans="1:6">
      <c r="A24" s="8">
        <f t="shared" si="0"/>
        <v>18</v>
      </c>
      <c r="B24" s="8"/>
      <c r="C24" s="9" t="s">
        <v>173</v>
      </c>
      <c r="D24" s="79">
        <v>0</v>
      </c>
      <c r="E24" s="79">
        <v>0</v>
      </c>
      <c r="F24" s="79">
        <f t="shared" si="4"/>
        <v>0</v>
      </c>
    </row>
    <row r="25" spans="1:6">
      <c r="A25" s="8">
        <f t="shared" si="0"/>
        <v>19</v>
      </c>
      <c r="B25" s="8"/>
      <c r="C25" s="9" t="s">
        <v>174</v>
      </c>
      <c r="D25" s="79">
        <v>0</v>
      </c>
      <c r="E25" s="79">
        <v>0</v>
      </c>
      <c r="F25" s="79">
        <f t="shared" si="4"/>
        <v>0</v>
      </c>
    </row>
    <row r="26" spans="1:6">
      <c r="A26" s="8">
        <f t="shared" si="0"/>
        <v>20</v>
      </c>
      <c r="B26" s="8"/>
      <c r="C26" s="9" t="s">
        <v>175</v>
      </c>
      <c r="D26" s="79">
        <v>676975.77</v>
      </c>
      <c r="E26" s="79">
        <v>0</v>
      </c>
      <c r="F26" s="79">
        <f t="shared" si="4"/>
        <v>676975.77</v>
      </c>
    </row>
    <row r="27" spans="1:6">
      <c r="A27" s="8">
        <f t="shared" si="0"/>
        <v>21</v>
      </c>
      <c r="B27" s="8"/>
      <c r="C27" s="9" t="s">
        <v>177</v>
      </c>
      <c r="D27" s="79">
        <v>8883281.3000000007</v>
      </c>
      <c r="E27" s="79">
        <v>0</v>
      </c>
      <c r="F27" s="79">
        <f t="shared" si="4"/>
        <v>8883281.3000000007</v>
      </c>
    </row>
    <row r="28" spans="1:6">
      <c r="A28" s="8">
        <f t="shared" si="0"/>
        <v>22</v>
      </c>
      <c r="B28" s="8"/>
      <c r="C28" s="9" t="s">
        <v>176</v>
      </c>
      <c r="D28" s="79">
        <v>780991.71</v>
      </c>
      <c r="E28" s="79">
        <v>0</v>
      </c>
      <c r="F28" s="79">
        <f t="shared" si="4"/>
        <v>780991.71</v>
      </c>
    </row>
    <row r="29" spans="1:6">
      <c r="A29" s="8">
        <f t="shared" si="0"/>
        <v>23</v>
      </c>
      <c r="B29" s="8"/>
      <c r="C29" s="9" t="s">
        <v>178</v>
      </c>
      <c r="D29" s="171">
        <v>0</v>
      </c>
      <c r="E29" s="79">
        <v>0</v>
      </c>
      <c r="F29" s="79">
        <f t="shared" si="4"/>
        <v>0</v>
      </c>
    </row>
    <row r="30" spans="1:6">
      <c r="A30" s="8">
        <f t="shared" si="0"/>
        <v>24</v>
      </c>
      <c r="B30" s="8"/>
      <c r="C30" s="9" t="s">
        <v>179</v>
      </c>
      <c r="D30" s="79">
        <v>1619647.56</v>
      </c>
      <c r="E30" s="79">
        <v>0</v>
      </c>
      <c r="F30" s="79">
        <f t="shared" si="4"/>
        <v>1619647.56</v>
      </c>
    </row>
    <row r="31" spans="1:6">
      <c r="A31" s="8">
        <f t="shared" si="0"/>
        <v>25</v>
      </c>
      <c r="B31" s="8"/>
      <c r="C31" s="9" t="s">
        <v>180</v>
      </c>
      <c r="D31" s="79">
        <v>227821.51</v>
      </c>
      <c r="E31" s="79">
        <v>0</v>
      </c>
      <c r="F31" s="79">
        <f t="shared" si="4"/>
        <v>227821.51</v>
      </c>
    </row>
    <row r="32" spans="1:6">
      <c r="A32" s="8">
        <f t="shared" si="0"/>
        <v>26</v>
      </c>
      <c r="B32" s="8"/>
      <c r="C32" s="9" t="s">
        <v>181</v>
      </c>
      <c r="D32" s="79">
        <v>739219.85</v>
      </c>
      <c r="E32" s="79">
        <v>0</v>
      </c>
      <c r="F32" s="79">
        <f t="shared" si="4"/>
        <v>739219.85</v>
      </c>
    </row>
    <row r="33" spans="1:6">
      <c r="A33" s="8">
        <f t="shared" si="0"/>
        <v>27</v>
      </c>
      <c r="B33" s="8"/>
      <c r="C33" s="14" t="s">
        <v>182</v>
      </c>
      <c r="D33" s="84">
        <f>SUM(D23:D32)</f>
        <v>14926085.450000001</v>
      </c>
      <c r="E33" s="84">
        <f>SUM(E23:E32)</f>
        <v>0</v>
      </c>
      <c r="F33" s="84">
        <f>SUM(F23:F32)</f>
        <v>14926085.450000001</v>
      </c>
    </row>
    <row r="34" spans="1:6">
      <c r="A34" s="8">
        <f t="shared" si="0"/>
        <v>28</v>
      </c>
      <c r="B34" s="8"/>
      <c r="C34" s="9"/>
      <c r="D34" s="79"/>
      <c r="E34" s="79"/>
      <c r="F34" s="79"/>
    </row>
    <row r="35" spans="1:6">
      <c r="A35" s="8">
        <f t="shared" si="0"/>
        <v>29</v>
      </c>
      <c r="B35" s="8"/>
      <c r="C35" s="9" t="s">
        <v>183</v>
      </c>
      <c r="D35" s="79">
        <v>1750953</v>
      </c>
      <c r="E35" s="79">
        <v>0</v>
      </c>
      <c r="F35" s="79">
        <f>D35+E35</f>
        <v>1750953</v>
      </c>
    </row>
    <row r="36" spans="1:6">
      <c r="A36" s="8">
        <f t="shared" si="0"/>
        <v>30</v>
      </c>
      <c r="B36" s="8"/>
      <c r="C36" s="9" t="s">
        <v>184</v>
      </c>
      <c r="D36" s="79">
        <v>1041675.42</v>
      </c>
      <c r="E36" s="79">
        <v>0</v>
      </c>
      <c r="F36" s="79">
        <f>D36+E36</f>
        <v>1041675.42</v>
      </c>
    </row>
    <row r="37" spans="1:6">
      <c r="A37" s="8">
        <f t="shared" si="0"/>
        <v>31</v>
      </c>
      <c r="B37" s="8"/>
      <c r="C37" s="9"/>
      <c r="D37" s="28"/>
      <c r="E37" s="79"/>
      <c r="F37" s="79"/>
    </row>
    <row r="38" spans="1:6" ht="15" thickBot="1">
      <c r="A38" s="8">
        <f t="shared" si="0"/>
        <v>32</v>
      </c>
      <c r="B38" s="8"/>
      <c r="C38" s="16" t="s">
        <v>185</v>
      </c>
      <c r="D38" s="87">
        <f>D36+D35+D33+D21+D12</f>
        <v>114152123.53999999</v>
      </c>
      <c r="E38" s="87">
        <f>E36+E35+E33+E21+E12</f>
        <v>0</v>
      </c>
      <c r="F38" s="87">
        <f>F36+F35+F33+F21+F12</f>
        <v>114152123.53999999</v>
      </c>
    </row>
    <row r="39" spans="1:6" ht="15" thickTop="1">
      <c r="A39" s="8">
        <f t="shared" si="0"/>
        <v>33</v>
      </c>
      <c r="B39" s="8"/>
      <c r="C39" s="9"/>
      <c r="D39" s="86"/>
      <c r="E39" s="79"/>
      <c r="F39" s="79"/>
    </row>
    <row r="40" spans="1:6">
      <c r="A40" s="8">
        <f t="shared" si="0"/>
        <v>34</v>
      </c>
      <c r="B40" s="80" t="s">
        <v>186</v>
      </c>
      <c r="C40" s="9"/>
      <c r="D40" s="79"/>
      <c r="E40" s="79"/>
      <c r="F40" s="79"/>
    </row>
    <row r="41" spans="1:6">
      <c r="A41" s="8">
        <f t="shared" si="0"/>
        <v>35</v>
      </c>
      <c r="B41" s="8"/>
      <c r="C41" s="9" t="s">
        <v>187</v>
      </c>
      <c r="D41" s="79">
        <v>53970</v>
      </c>
      <c r="E41" s="20">
        <v>0</v>
      </c>
      <c r="F41" s="79">
        <f t="shared" ref="F41:F46" si="5">D41+E41</f>
        <v>53970</v>
      </c>
    </row>
    <row r="42" spans="1:6">
      <c r="A42" s="8">
        <f t="shared" si="0"/>
        <v>36</v>
      </c>
      <c r="B42" s="8"/>
      <c r="C42" s="9" t="s">
        <v>188</v>
      </c>
      <c r="D42" s="79">
        <v>29033238.109999999</v>
      </c>
      <c r="E42" s="79">
        <v>0</v>
      </c>
      <c r="F42" s="79">
        <f t="shared" si="5"/>
        <v>29033238.109999999</v>
      </c>
    </row>
    <row r="43" spans="1:6">
      <c r="A43" s="8"/>
      <c r="B43" s="8"/>
      <c r="C43" s="9" t="s">
        <v>327</v>
      </c>
      <c r="D43" s="79">
        <v>77784.13</v>
      </c>
      <c r="E43" s="79"/>
      <c r="F43" s="79">
        <f t="shared" si="5"/>
        <v>77784.13</v>
      </c>
    </row>
    <row r="44" spans="1:6">
      <c r="A44" s="8">
        <f>A42+1</f>
        <v>37</v>
      </c>
      <c r="B44" s="8"/>
      <c r="C44" s="9" t="s">
        <v>189</v>
      </c>
      <c r="D44" s="79">
        <v>385438.8</v>
      </c>
      <c r="E44" s="79">
        <v>0</v>
      </c>
      <c r="F44" s="79">
        <f t="shared" si="5"/>
        <v>385438.8</v>
      </c>
    </row>
    <row r="45" spans="1:6">
      <c r="A45" s="8">
        <f t="shared" si="0"/>
        <v>38</v>
      </c>
      <c r="B45" s="8"/>
      <c r="C45" s="9" t="s">
        <v>190</v>
      </c>
      <c r="D45" s="79">
        <v>9519617.8800000008</v>
      </c>
      <c r="E45" s="79">
        <v>0</v>
      </c>
      <c r="F45" s="79">
        <f t="shared" si="5"/>
        <v>9519617.8800000008</v>
      </c>
    </row>
    <row r="46" spans="1:6">
      <c r="A46" s="8">
        <f t="shared" si="0"/>
        <v>39</v>
      </c>
      <c r="B46" s="8"/>
      <c r="C46" s="9" t="s">
        <v>191</v>
      </c>
      <c r="D46" s="79">
        <v>2239461.29</v>
      </c>
      <c r="E46" s="79">
        <v>0</v>
      </c>
      <c r="F46" s="79">
        <f t="shared" si="5"/>
        <v>2239461.29</v>
      </c>
    </row>
    <row r="47" spans="1:6">
      <c r="A47" s="8">
        <f t="shared" si="0"/>
        <v>40</v>
      </c>
      <c r="B47" s="8"/>
      <c r="C47" s="14" t="s">
        <v>192</v>
      </c>
      <c r="D47" s="84">
        <f>SUM(D41:D46)</f>
        <v>41309510.210000001</v>
      </c>
      <c r="E47" s="84">
        <f>SUM(E41:E46)</f>
        <v>0</v>
      </c>
      <c r="F47" s="84">
        <f>SUM(F41:F46)</f>
        <v>41309510.210000001</v>
      </c>
    </row>
    <row r="48" spans="1:6">
      <c r="A48" s="8">
        <f t="shared" si="0"/>
        <v>41</v>
      </c>
      <c r="B48" s="8"/>
      <c r="C48" s="9"/>
      <c r="D48" s="79"/>
      <c r="E48" s="79"/>
      <c r="F48" s="79"/>
    </row>
    <row r="49" spans="1:6">
      <c r="A49" s="8">
        <f t="shared" si="0"/>
        <v>42</v>
      </c>
      <c r="B49" s="8"/>
      <c r="C49" s="9" t="s">
        <v>328</v>
      </c>
      <c r="D49" s="86">
        <v>20954983.77</v>
      </c>
      <c r="E49" s="79">
        <v>0</v>
      </c>
      <c r="F49" s="79">
        <f>D49+E49</f>
        <v>20954983.77</v>
      </c>
    </row>
    <row r="50" spans="1:6">
      <c r="A50" s="8">
        <f t="shared" si="0"/>
        <v>43</v>
      </c>
      <c r="B50" s="8"/>
      <c r="C50" s="9" t="s">
        <v>193</v>
      </c>
      <c r="D50" s="86">
        <v>0</v>
      </c>
      <c r="E50" s="79">
        <v>0</v>
      </c>
      <c r="F50" s="79">
        <f>D50+E50</f>
        <v>0</v>
      </c>
    </row>
    <row r="51" spans="1:6">
      <c r="A51" s="8">
        <f t="shared" si="0"/>
        <v>44</v>
      </c>
      <c r="B51" s="8"/>
      <c r="C51" s="9" t="s">
        <v>329</v>
      </c>
      <c r="D51" s="86">
        <v>36673574.780000001</v>
      </c>
      <c r="E51" s="79">
        <v>0</v>
      </c>
      <c r="F51" s="79">
        <f>D51+E51</f>
        <v>36673574.780000001</v>
      </c>
    </row>
    <row r="52" spans="1:6">
      <c r="A52" s="8">
        <f t="shared" si="0"/>
        <v>45</v>
      </c>
      <c r="B52" s="8"/>
      <c r="C52" s="9" t="s">
        <v>194</v>
      </c>
      <c r="D52" s="86">
        <v>1082304.24</v>
      </c>
      <c r="E52" s="79">
        <v>0</v>
      </c>
      <c r="F52" s="79">
        <f>D52+E52</f>
        <v>1082304.24</v>
      </c>
    </row>
    <row r="53" spans="1:6">
      <c r="A53" s="8">
        <f t="shared" si="0"/>
        <v>46</v>
      </c>
      <c r="B53" s="8"/>
      <c r="C53" s="9" t="s">
        <v>195</v>
      </c>
      <c r="D53" s="86">
        <v>0</v>
      </c>
      <c r="E53" s="79">
        <v>0</v>
      </c>
      <c r="F53" s="79">
        <f>D53+E53</f>
        <v>0</v>
      </c>
    </row>
    <row r="54" spans="1:6">
      <c r="A54" s="8">
        <f t="shared" si="0"/>
        <v>47</v>
      </c>
      <c r="B54" s="8"/>
      <c r="C54" s="14" t="s">
        <v>196</v>
      </c>
      <c r="D54" s="84">
        <f>SUM(D49:D53)</f>
        <v>58710862.789999999</v>
      </c>
      <c r="E54" s="84">
        <f>SUM(E49:E53)</f>
        <v>0</v>
      </c>
      <c r="F54" s="84">
        <f>SUM(F49:F53)</f>
        <v>58710862.789999999</v>
      </c>
    </row>
    <row r="55" spans="1:6">
      <c r="A55" s="8">
        <f t="shared" si="0"/>
        <v>48</v>
      </c>
      <c r="B55" s="8"/>
      <c r="C55" s="9"/>
      <c r="D55" s="79"/>
      <c r="E55" s="79"/>
      <c r="F55" s="79"/>
    </row>
    <row r="56" spans="1:6">
      <c r="A56" s="8">
        <f t="shared" si="0"/>
        <v>49</v>
      </c>
      <c r="B56" s="8"/>
      <c r="C56" s="9" t="s">
        <v>197</v>
      </c>
      <c r="D56" s="79">
        <v>806185.14</v>
      </c>
      <c r="E56" s="79">
        <v>0</v>
      </c>
      <c r="F56" s="79">
        <f>D56+E56</f>
        <v>806185.14</v>
      </c>
    </row>
    <row r="57" spans="1:6">
      <c r="A57" s="8">
        <f t="shared" si="0"/>
        <v>50</v>
      </c>
      <c r="B57" s="8"/>
      <c r="C57" s="9"/>
      <c r="D57" s="79"/>
      <c r="E57" s="79"/>
      <c r="F57" s="79"/>
    </row>
    <row r="58" spans="1:6">
      <c r="A58" s="8">
        <f t="shared" si="0"/>
        <v>51</v>
      </c>
      <c r="B58" s="8"/>
      <c r="C58" s="9" t="s">
        <v>198</v>
      </c>
      <c r="D58" s="79">
        <v>1000000</v>
      </c>
      <c r="E58" s="79">
        <v>0</v>
      </c>
      <c r="F58" s="79">
        <f t="shared" ref="F58:F63" si="6">D58+E58</f>
        <v>1000000</v>
      </c>
    </row>
    <row r="59" spans="1:6">
      <c r="A59" s="8">
        <f t="shared" si="0"/>
        <v>52</v>
      </c>
      <c r="B59" s="8"/>
      <c r="C59" s="9" t="s">
        <v>199</v>
      </c>
      <c r="D59" s="79">
        <v>8179137.1200000001</v>
      </c>
      <c r="E59" s="79">
        <v>0</v>
      </c>
      <c r="F59" s="79">
        <f t="shared" si="6"/>
        <v>8179137.1200000001</v>
      </c>
    </row>
    <row r="60" spans="1:6">
      <c r="A60" s="8">
        <f t="shared" si="0"/>
        <v>53</v>
      </c>
      <c r="B60" s="8"/>
      <c r="C60" s="9" t="s">
        <v>200</v>
      </c>
      <c r="D60" s="79">
        <v>1776470</v>
      </c>
      <c r="E60" s="79">
        <v>0</v>
      </c>
      <c r="F60" s="79">
        <f t="shared" si="6"/>
        <v>1776470</v>
      </c>
    </row>
    <row r="61" spans="1:6">
      <c r="A61" s="8">
        <f t="shared" si="0"/>
        <v>54</v>
      </c>
      <c r="B61" s="8"/>
      <c r="C61" s="9" t="s">
        <v>242</v>
      </c>
      <c r="D61" s="79">
        <v>0</v>
      </c>
      <c r="E61" s="79">
        <v>0</v>
      </c>
      <c r="F61" s="79">
        <f t="shared" si="6"/>
        <v>0</v>
      </c>
    </row>
    <row r="62" spans="1:6">
      <c r="A62" s="8">
        <f t="shared" si="0"/>
        <v>55</v>
      </c>
      <c r="B62" s="8"/>
      <c r="C62" s="9" t="s">
        <v>243</v>
      </c>
      <c r="D62" s="79">
        <v>0</v>
      </c>
      <c r="E62" s="79">
        <v>0</v>
      </c>
      <c r="F62" s="79">
        <f t="shared" si="6"/>
        <v>0</v>
      </c>
    </row>
    <row r="63" spans="1:6">
      <c r="A63" s="8">
        <f t="shared" si="0"/>
        <v>56</v>
      </c>
      <c r="B63" s="8"/>
      <c r="C63" s="9" t="s">
        <v>201</v>
      </c>
      <c r="D63" s="79">
        <v>1581299</v>
      </c>
      <c r="E63" s="79">
        <v>0</v>
      </c>
      <c r="F63" s="79">
        <f t="shared" si="6"/>
        <v>1581299</v>
      </c>
    </row>
    <row r="64" spans="1:6">
      <c r="A64" s="8">
        <f t="shared" si="0"/>
        <v>57</v>
      </c>
      <c r="B64" s="8"/>
      <c r="C64" s="14" t="s">
        <v>202</v>
      </c>
      <c r="D64" s="84">
        <f>SUM(D58:D63)</f>
        <v>12536906.120000001</v>
      </c>
      <c r="E64" s="84">
        <f>SUM(E58:E63)</f>
        <v>0</v>
      </c>
      <c r="F64" s="84">
        <f>SUM(F58:F63)</f>
        <v>12536906.120000001</v>
      </c>
    </row>
    <row r="65" spans="1:6">
      <c r="A65" s="8">
        <f t="shared" si="0"/>
        <v>58</v>
      </c>
      <c r="B65" s="8"/>
      <c r="C65" s="9"/>
      <c r="D65" s="79"/>
      <c r="E65" s="79"/>
      <c r="F65" s="79"/>
    </row>
    <row r="66" spans="1:6">
      <c r="A66" s="8">
        <f t="shared" si="0"/>
        <v>59</v>
      </c>
      <c r="B66" s="8"/>
      <c r="C66" s="9" t="s">
        <v>203</v>
      </c>
      <c r="D66" s="79">
        <v>0</v>
      </c>
      <c r="E66" s="79">
        <v>0</v>
      </c>
      <c r="F66" s="79">
        <f>D66+E66</f>
        <v>0</v>
      </c>
    </row>
    <row r="67" spans="1:6">
      <c r="A67" s="8">
        <f t="shared" si="0"/>
        <v>60</v>
      </c>
      <c r="B67" s="8"/>
      <c r="C67" s="9" t="s">
        <v>204</v>
      </c>
      <c r="D67" s="79">
        <v>788659.28</v>
      </c>
      <c r="E67" s="79">
        <v>0</v>
      </c>
      <c r="F67" s="79">
        <f>D67+E67</f>
        <v>788659.28</v>
      </c>
    </row>
    <row r="68" spans="1:6" ht="15" thickBot="1">
      <c r="A68" s="8">
        <f t="shared" si="0"/>
        <v>61</v>
      </c>
      <c r="B68" s="8"/>
      <c r="C68" s="16" t="s">
        <v>205</v>
      </c>
      <c r="D68" s="87">
        <f>D67+D66+D64+D56+D54+D47</f>
        <v>114152123.53999999</v>
      </c>
      <c r="E68" s="87">
        <f>E67+E66+E64+E56+E54+E47</f>
        <v>0</v>
      </c>
      <c r="F68" s="87">
        <f>F67+F66+F64+F56+F54+F47</f>
        <v>114152123.53999999</v>
      </c>
    </row>
    <row r="69" spans="1:6" ht="15" thickTop="1">
      <c r="A69" s="8"/>
      <c r="B69" s="8"/>
      <c r="C69" s="9"/>
      <c r="D69" s="79"/>
      <c r="E69" s="79"/>
      <c r="F69" s="79"/>
    </row>
    <row r="70" spans="1:6">
      <c r="A70" s="8"/>
      <c r="B70" s="8"/>
      <c r="C70" s="9"/>
      <c r="D70" s="28"/>
      <c r="E70" s="79"/>
      <c r="F70" s="79"/>
    </row>
    <row r="71" spans="1:6">
      <c r="A71" s="8"/>
      <c r="B71" s="8"/>
      <c r="C71" s="9"/>
      <c r="D71" s="28">
        <f>D68-D38</f>
        <v>0</v>
      </c>
      <c r="E71" s="28">
        <f t="shared" ref="E71:F71" si="7">E68-E38</f>
        <v>0</v>
      </c>
      <c r="F71" s="28">
        <f t="shared" si="7"/>
        <v>0</v>
      </c>
    </row>
    <row r="72" spans="1:6">
      <c r="A72" s="8"/>
      <c r="B72" s="8"/>
      <c r="C72" s="9"/>
      <c r="D72" s="28"/>
      <c r="E72" s="79"/>
      <c r="F72" s="79"/>
    </row>
    <row r="73" spans="1:6">
      <c r="A73" s="8"/>
      <c r="B73" s="8"/>
      <c r="C73" s="9"/>
      <c r="D73" s="28"/>
      <c r="E73" s="79"/>
      <c r="F73" s="79"/>
    </row>
    <row r="74" spans="1:6">
      <c r="C74" s="9"/>
      <c r="D74" s="28"/>
      <c r="E74" s="79"/>
      <c r="F74" s="79"/>
    </row>
  </sheetData>
  <mergeCells count="2">
    <mergeCell ref="A1:F1"/>
    <mergeCell ref="A2:F2"/>
  </mergeCells>
  <printOptions horizontalCentered="1"/>
  <pageMargins left="1" right="0.75" top="0.75" bottom="0.75" header="0.3" footer="0.3"/>
  <pageSetup scale="69" orientation="portrait" r:id="rId1"/>
  <headerFooter>
    <oddFooter>&amp;R&amp;"Times New Roman,Regular"Exhibit  JW-2
Page &amp;P of &amp;N</oddFooter>
  </headerFooter>
  <ignoredErrors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AH151"/>
  <sheetViews>
    <sheetView defaultGridColor="0" view="pageBreakPreview" topLeftCell="A40" colorId="22" zoomScaleNormal="87" zoomScaleSheetLayoutView="100" workbookViewId="0">
      <selection activeCell="A44" sqref="A44:XFD48"/>
    </sheetView>
  </sheetViews>
  <sheetFormatPr defaultColWidth="12.53515625" defaultRowHeight="14.15"/>
  <cols>
    <col min="1" max="1" width="6.15234375" style="56" customWidth="1"/>
    <col min="2" max="2" width="33.15234375" style="54" customWidth="1"/>
    <col min="3" max="3" width="12.3046875" style="54" customWidth="1"/>
    <col min="4" max="4" width="15.53515625" style="54" customWidth="1"/>
    <col min="5" max="5" width="13" style="54" bestFit="1" customWidth="1"/>
    <col min="6" max="6" width="14.3046875" style="54" customWidth="1"/>
    <col min="7" max="7" width="11.84375" style="54" bestFit="1" customWidth="1"/>
    <col min="8" max="8" width="13.84375" style="54" customWidth="1"/>
    <col min="9" max="9" width="14.3046875" style="54" customWidth="1"/>
    <col min="10" max="10" width="12.84375" style="54" bestFit="1" customWidth="1"/>
    <col min="11" max="11" width="9.69140625" style="54" bestFit="1" customWidth="1"/>
    <col min="12" max="12" width="10.69140625" style="54" customWidth="1"/>
    <col min="13" max="13" width="14" style="54" customWidth="1"/>
    <col min="14" max="15" width="11.84375" style="54" customWidth="1"/>
    <col min="16" max="16" width="13.3046875" style="54" customWidth="1"/>
    <col min="17" max="17" width="12" style="54" hidden="1" customWidth="1"/>
    <col min="18" max="18" width="14.3828125" style="54" hidden="1" customWidth="1"/>
    <col min="19" max="19" width="11.3828125" style="54" hidden="1" customWidth="1"/>
    <col min="20" max="20" width="11.3046875" style="54" hidden="1" customWidth="1"/>
    <col min="21" max="21" width="14.15234375" style="54" customWidth="1"/>
    <col min="22" max="22" width="3.53515625" style="54" customWidth="1"/>
    <col min="23" max="23" width="15.53515625" style="54" bestFit="1" customWidth="1"/>
    <col min="24" max="24" width="12.69140625" style="54" bestFit="1" customWidth="1"/>
    <col min="25" max="16384" width="12.53515625" style="54"/>
  </cols>
  <sheetData>
    <row r="1" spans="1:34">
      <c r="A1" s="55"/>
      <c r="B1" s="69" t="str">
        <f>RevReq!A1</f>
        <v>MEADE COUNTY R.E.C.C.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4">
      <c r="A2" s="55"/>
      <c r="B2" s="69" t="s">
        <v>160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2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4" s="56" customForma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1:34">
      <c r="A4" s="55"/>
      <c r="B4" s="52" t="s">
        <v>234</v>
      </c>
      <c r="C4" s="55">
        <f>'Adj List'!B7</f>
        <v>1.01</v>
      </c>
      <c r="D4" s="55">
        <f>'Adj List'!B8</f>
        <v>1.02</v>
      </c>
      <c r="E4" s="55">
        <f>'Adj List'!B9</f>
        <v>1.03</v>
      </c>
      <c r="F4" s="55">
        <f>'Adj List'!B10</f>
        <v>1.04</v>
      </c>
      <c r="G4" s="55">
        <f>'Adj List'!B11</f>
        <v>1.05</v>
      </c>
      <c r="H4" s="55">
        <f>'Adj List'!B12</f>
        <v>1.06</v>
      </c>
      <c r="I4" s="55">
        <f>'Adj List'!B13</f>
        <v>1.07</v>
      </c>
      <c r="J4" s="55">
        <f>'Adj List'!B14</f>
        <v>1.08</v>
      </c>
      <c r="K4" s="55">
        <f>'Adj List'!B15</f>
        <v>1.0900000000000001</v>
      </c>
      <c r="L4" s="57">
        <f>'Adj List'!B16</f>
        <v>1.1000000000000001</v>
      </c>
      <c r="M4" s="55">
        <f>'Adj List'!B17</f>
        <v>1.1100000000000001</v>
      </c>
      <c r="N4" s="55">
        <f>'Adj List'!B18</f>
        <v>1.1200000000000001</v>
      </c>
      <c r="O4" s="55">
        <f>'Adj List'!B19</f>
        <v>1.1299999999999999</v>
      </c>
      <c r="P4" s="55">
        <f>'Adj List'!B20</f>
        <v>1.1399999999999999</v>
      </c>
      <c r="Q4" s="55"/>
      <c r="R4" s="55"/>
      <c r="S4" s="55"/>
      <c r="T4" s="55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34" ht="9" customHeight="1">
      <c r="A5" s="55"/>
      <c r="B5" s="53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8"/>
      <c r="R5" s="58"/>
      <c r="S5" s="55"/>
      <c r="T5" s="55"/>
      <c r="U5" s="55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34" s="60" customFormat="1" ht="59.25" customHeight="1">
      <c r="A6" s="59"/>
      <c r="B6" s="113" t="s">
        <v>235</v>
      </c>
      <c r="C6" s="59" t="str">
        <f>'Adj List'!C7</f>
        <v>Fuel Adjustment Clause</v>
      </c>
      <c r="D6" s="59" t="str">
        <f>'Adj List'!C8</f>
        <v>Environmental Surcharge</v>
      </c>
      <c r="E6" s="59" t="str">
        <f>'Adj List'!C9</f>
        <v>Member Rate Stability Mechanism</v>
      </c>
      <c r="F6" s="59" t="str">
        <f>'Adj List'!C10</f>
        <v>Non-Smelter Non-FAC PPA</v>
      </c>
      <c r="G6" s="59" t="str">
        <f>'Adj List'!C11</f>
        <v>Rate Case Expenses</v>
      </c>
      <c r="H6" s="59" t="str">
        <f>'Adj List'!C12</f>
        <v>Year-End Customer Normalization</v>
      </c>
      <c r="I6" s="59" t="str">
        <f>'Adj List'!C13</f>
        <v>Depreciation Expense Normalization</v>
      </c>
      <c r="J6" s="59" t="str">
        <f>'Adj List'!C14</f>
        <v>Donations, Promotional Advertising &amp; Dues</v>
      </c>
      <c r="K6" s="59" t="str">
        <f>'Adj List'!C15</f>
        <v>Directors Expense</v>
      </c>
      <c r="L6" s="59" t="str">
        <f>'Adj List'!C16</f>
        <v>Life Insurance Premiums</v>
      </c>
      <c r="M6" s="59" t="str">
        <f>'Adj List'!C17</f>
        <v>Retirement Plan Contributions</v>
      </c>
      <c r="N6" s="59" t="str">
        <f>'Adj List'!C18</f>
        <v>Health, Dental &amp; Vision Insurance Premiums</v>
      </c>
      <c r="O6" s="59" t="str">
        <f>'Adj List'!C19</f>
        <v>Wages &amp; Salaries</v>
      </c>
      <c r="P6" s="59" t="str">
        <f>'Adj List'!C20</f>
        <v>Interest Expense</v>
      </c>
      <c r="Q6" s="59"/>
      <c r="R6" s="59"/>
      <c r="S6" s="59"/>
      <c r="T6" s="59"/>
      <c r="U6" s="59" t="s">
        <v>14</v>
      </c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</row>
    <row r="7" spans="1:34">
      <c r="A7" s="55">
        <v>1</v>
      </c>
      <c r="B7" s="5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53"/>
      <c r="W7" s="53"/>
      <c r="X7" s="53"/>
      <c r="Y7" s="43"/>
      <c r="Z7" s="43"/>
      <c r="AA7" s="43"/>
      <c r="AB7" s="43"/>
      <c r="AC7" s="43"/>
      <c r="AD7" s="43"/>
      <c r="AE7" s="43"/>
      <c r="AF7" s="43"/>
      <c r="AG7" s="43"/>
      <c r="AH7" s="53"/>
    </row>
    <row r="8" spans="1:34">
      <c r="A8" s="55">
        <f t="shared" ref="A8:A42" si="0">(A7+1)</f>
        <v>2</v>
      </c>
      <c r="B8" s="61" t="s">
        <v>93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53"/>
      <c r="W8" s="53"/>
      <c r="X8" s="53"/>
      <c r="Y8" s="43"/>
      <c r="Z8" s="43"/>
      <c r="AA8" s="43"/>
      <c r="AB8" s="43"/>
      <c r="AC8" s="43"/>
      <c r="AD8" s="43"/>
      <c r="AE8" s="43"/>
      <c r="AF8" s="43"/>
      <c r="AG8" s="43"/>
      <c r="AH8" s="53"/>
    </row>
    <row r="9" spans="1:34">
      <c r="A9" s="55">
        <f t="shared" si="0"/>
        <v>3</v>
      </c>
      <c r="B9" s="53" t="s">
        <v>101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>
        <f>SUM(C9:T9)</f>
        <v>0</v>
      </c>
      <c r="V9" s="53"/>
      <c r="W9" s="53"/>
      <c r="X9" s="53"/>
      <c r="Y9" s="43"/>
      <c r="Z9" s="43"/>
      <c r="AA9" s="43"/>
      <c r="AB9" s="43"/>
      <c r="AC9" s="43"/>
      <c r="AD9" s="43"/>
      <c r="AE9" s="43"/>
      <c r="AF9" s="43"/>
      <c r="AG9" s="43"/>
      <c r="AH9" s="53"/>
    </row>
    <row r="10" spans="1:34">
      <c r="A10" s="55">
        <f t="shared" si="0"/>
        <v>4</v>
      </c>
      <c r="B10" s="53" t="s">
        <v>325</v>
      </c>
      <c r="C10" s="43">
        <f>'Adj List'!D7</f>
        <v>-5350058.47</v>
      </c>
      <c r="D10" s="43">
        <f>'Adj List'!D8</f>
        <v>-3236541.4</v>
      </c>
      <c r="E10" s="43">
        <f>'Adj List'!D9</f>
        <v>1668084.41</v>
      </c>
      <c r="F10" s="43">
        <f>'Adj List'!D10</f>
        <v>-3173128.14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>
        <f t="shared" ref="U10:U42" si="1">SUM(C10:T10)</f>
        <v>-10091643.6</v>
      </c>
      <c r="V10" s="53"/>
      <c r="W10" s="62"/>
      <c r="X10" s="62"/>
      <c r="Y10" s="43"/>
      <c r="Z10" s="43"/>
      <c r="AA10" s="43"/>
      <c r="AB10" s="43"/>
      <c r="AC10" s="43"/>
      <c r="AD10" s="43"/>
      <c r="AE10" s="43"/>
      <c r="AF10" s="43"/>
      <c r="AG10" s="43"/>
      <c r="AH10" s="53"/>
    </row>
    <row r="11" spans="1:34">
      <c r="A11" s="55">
        <f t="shared" si="0"/>
        <v>5</v>
      </c>
      <c r="B11" s="53" t="s">
        <v>102</v>
      </c>
      <c r="C11" s="43"/>
      <c r="D11" s="43"/>
      <c r="E11" s="43"/>
      <c r="F11" s="43"/>
      <c r="G11" s="43"/>
      <c r="H11" s="43">
        <f>'Adj List'!D12</f>
        <v>346958.26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63">
        <f t="shared" si="1"/>
        <v>346958.26</v>
      </c>
      <c r="V11" s="53"/>
      <c r="W11" s="53"/>
      <c r="X11" s="53"/>
      <c r="Y11" s="43"/>
      <c r="Z11" s="43"/>
      <c r="AA11" s="43"/>
      <c r="AB11" s="43"/>
      <c r="AC11" s="43"/>
      <c r="AD11" s="43"/>
      <c r="AE11" s="43"/>
      <c r="AF11" s="43"/>
      <c r="AG11" s="43"/>
      <c r="AH11" s="53"/>
    </row>
    <row r="12" spans="1:34">
      <c r="A12" s="55">
        <f t="shared" si="0"/>
        <v>6</v>
      </c>
      <c r="B12" s="64" t="s">
        <v>95</v>
      </c>
      <c r="C12" s="65">
        <f t="shared" ref="C12:S12" si="2">SUM(C7:C11)</f>
        <v>-5350058.47</v>
      </c>
      <c r="D12" s="65">
        <f t="shared" si="2"/>
        <v>-3236541.4</v>
      </c>
      <c r="E12" s="65">
        <f t="shared" si="2"/>
        <v>1668084.41</v>
      </c>
      <c r="F12" s="65">
        <f t="shared" si="2"/>
        <v>-3173128.14</v>
      </c>
      <c r="G12" s="65">
        <f t="shared" si="2"/>
        <v>0</v>
      </c>
      <c r="H12" s="65">
        <f t="shared" si="2"/>
        <v>346958.26</v>
      </c>
      <c r="I12" s="65">
        <f t="shared" si="2"/>
        <v>0</v>
      </c>
      <c r="J12" s="65">
        <f t="shared" si="2"/>
        <v>0</v>
      </c>
      <c r="K12" s="65">
        <f t="shared" si="2"/>
        <v>0</v>
      </c>
      <c r="L12" s="65">
        <f t="shared" si="2"/>
        <v>0</v>
      </c>
      <c r="M12" s="65">
        <f t="shared" si="2"/>
        <v>0</v>
      </c>
      <c r="N12" s="65">
        <f t="shared" si="2"/>
        <v>0</v>
      </c>
      <c r="O12" s="65">
        <f t="shared" si="2"/>
        <v>0</v>
      </c>
      <c r="P12" s="65">
        <f t="shared" si="2"/>
        <v>0</v>
      </c>
      <c r="Q12" s="65">
        <f t="shared" si="2"/>
        <v>0</v>
      </c>
      <c r="R12" s="65">
        <f t="shared" si="2"/>
        <v>0</v>
      </c>
      <c r="S12" s="65">
        <f t="shared" si="2"/>
        <v>0</v>
      </c>
      <c r="T12" s="65"/>
      <c r="U12" s="65">
        <f t="shared" si="1"/>
        <v>-9744685.3399999999</v>
      </c>
      <c r="V12" s="53"/>
      <c r="W12" s="43"/>
      <c r="X12" s="53"/>
      <c r="Y12" s="43"/>
      <c r="Z12" s="43"/>
      <c r="AA12" s="43"/>
      <c r="AB12" s="43"/>
      <c r="AC12" s="43"/>
      <c r="AD12" s="43"/>
      <c r="AE12" s="43"/>
      <c r="AF12" s="43"/>
      <c r="AG12" s="43"/>
      <c r="AH12" s="53"/>
    </row>
    <row r="13" spans="1:34">
      <c r="A13" s="55">
        <f t="shared" si="0"/>
        <v>7</v>
      </c>
      <c r="B13" s="53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53"/>
      <c r="W13" s="53"/>
      <c r="X13" s="53"/>
      <c r="Y13" s="43"/>
      <c r="Z13" s="43"/>
      <c r="AA13" s="43"/>
      <c r="AB13" s="43"/>
      <c r="AC13" s="43"/>
      <c r="AD13" s="43"/>
      <c r="AE13" s="43"/>
      <c r="AF13" s="43"/>
      <c r="AG13" s="43"/>
      <c r="AH13" s="53"/>
    </row>
    <row r="14" spans="1:34">
      <c r="A14" s="55">
        <f t="shared" si="0"/>
        <v>8</v>
      </c>
      <c r="B14" s="61" t="s">
        <v>74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53"/>
      <c r="W14" s="53"/>
      <c r="X14" s="53"/>
      <c r="Y14" s="43"/>
      <c r="Z14" s="43"/>
      <c r="AA14" s="43"/>
      <c r="AB14" s="43"/>
      <c r="AC14" s="43"/>
      <c r="AD14" s="43"/>
      <c r="AE14" s="43"/>
      <c r="AF14" s="43"/>
      <c r="AG14" s="43"/>
      <c r="AH14" s="53"/>
    </row>
    <row r="15" spans="1:34">
      <c r="A15" s="55">
        <f t="shared" si="0"/>
        <v>9</v>
      </c>
      <c r="B15" s="53" t="s">
        <v>75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>
        <f t="shared" si="1"/>
        <v>0</v>
      </c>
      <c r="V15" s="53"/>
      <c r="W15" s="53"/>
      <c r="X15" s="53"/>
      <c r="Y15" s="43"/>
      <c r="Z15" s="43"/>
      <c r="AA15" s="43"/>
      <c r="AB15" s="43"/>
      <c r="AC15" s="43"/>
      <c r="AD15" s="43"/>
      <c r="AE15" s="43"/>
      <c r="AF15" s="43"/>
      <c r="AG15" s="43"/>
      <c r="AH15" s="53"/>
    </row>
    <row r="16" spans="1:34">
      <c r="A16" s="55">
        <f t="shared" si="0"/>
        <v>10</v>
      </c>
      <c r="B16" s="53" t="s">
        <v>96</v>
      </c>
      <c r="C16" s="43"/>
      <c r="D16" s="43"/>
      <c r="E16" s="43"/>
      <c r="F16" s="43"/>
      <c r="G16" s="43"/>
      <c r="H16" s="43">
        <f>'Adj List'!E12</f>
        <v>214905.01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>
        <f t="shared" si="1"/>
        <v>214905.01</v>
      </c>
      <c r="V16" s="53"/>
      <c r="W16" s="53"/>
      <c r="X16" s="53"/>
      <c r="Y16" s="43"/>
      <c r="Z16" s="43"/>
      <c r="AA16" s="43"/>
      <c r="AB16" s="43"/>
      <c r="AC16" s="43"/>
      <c r="AD16" s="43"/>
      <c r="AE16" s="43"/>
      <c r="AF16" s="43"/>
      <c r="AG16" s="43"/>
      <c r="AH16" s="53"/>
    </row>
    <row r="17" spans="1:34">
      <c r="A17" s="55">
        <f t="shared" si="0"/>
        <v>11</v>
      </c>
      <c r="B17" s="53" t="s">
        <v>326</v>
      </c>
      <c r="C17" s="43">
        <f>'Adj List'!E7</f>
        <v>-5350058.47</v>
      </c>
      <c r="D17" s="43">
        <f>'Adj List'!E8</f>
        <v>-3236541.4</v>
      </c>
      <c r="E17" s="43">
        <f>'Adj List'!E9</f>
        <v>1668084.41</v>
      </c>
      <c r="F17" s="43">
        <f>'Adj List'!E10</f>
        <v>-3173128.14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>
        <f t="shared" si="1"/>
        <v>-10091643.6</v>
      </c>
      <c r="V17" s="53"/>
      <c r="W17" s="53"/>
      <c r="X17" s="53"/>
      <c r="Y17" s="43"/>
      <c r="Z17" s="43"/>
      <c r="AA17" s="43"/>
      <c r="AB17" s="43"/>
      <c r="AC17" s="43"/>
      <c r="AD17" s="43"/>
      <c r="AE17" s="43"/>
      <c r="AF17" s="43"/>
      <c r="AG17" s="43"/>
      <c r="AH17" s="53"/>
    </row>
    <row r="18" spans="1:34">
      <c r="A18" s="55">
        <f t="shared" si="0"/>
        <v>12</v>
      </c>
      <c r="B18" s="53" t="s">
        <v>103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>
        <f t="shared" si="1"/>
        <v>0</v>
      </c>
      <c r="V18" s="53"/>
      <c r="W18" s="53"/>
      <c r="X18" s="53"/>
      <c r="Y18" s="43"/>
      <c r="Z18" s="43"/>
      <c r="AA18" s="43"/>
      <c r="AB18" s="43"/>
      <c r="AC18" s="43"/>
      <c r="AD18" s="43"/>
      <c r="AE18" s="43"/>
      <c r="AF18" s="43"/>
      <c r="AG18" s="43"/>
      <c r="AH18" s="53"/>
    </row>
    <row r="19" spans="1:34">
      <c r="A19" s="55">
        <f t="shared" si="0"/>
        <v>13</v>
      </c>
      <c r="B19" s="53" t="s">
        <v>104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f t="shared" si="1"/>
        <v>0</v>
      </c>
      <c r="V19" s="53"/>
      <c r="W19" s="53"/>
      <c r="X19" s="53"/>
      <c r="Y19" s="43"/>
      <c r="Z19" s="43"/>
      <c r="AA19" s="43"/>
      <c r="AB19" s="43"/>
      <c r="AC19" s="43"/>
      <c r="AD19" s="43"/>
      <c r="AE19" s="43"/>
      <c r="AF19" s="43"/>
      <c r="AG19" s="43"/>
      <c r="AH19" s="53"/>
    </row>
    <row r="20" spans="1:34">
      <c r="A20" s="55">
        <f t="shared" si="0"/>
        <v>14</v>
      </c>
      <c r="B20" s="53" t="s">
        <v>105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>
        <f t="shared" si="1"/>
        <v>0</v>
      </c>
      <c r="V20" s="53"/>
      <c r="W20" s="53"/>
      <c r="X20" s="53"/>
      <c r="Y20" s="43"/>
      <c r="Z20" s="43"/>
      <c r="AA20" s="43"/>
      <c r="AB20" s="43"/>
      <c r="AC20" s="43"/>
      <c r="AD20" s="43"/>
      <c r="AE20" s="43"/>
      <c r="AF20" s="43"/>
      <c r="AG20" s="43"/>
      <c r="AH20" s="53"/>
    </row>
    <row r="21" spans="1:34">
      <c r="A21" s="55">
        <f t="shared" si="0"/>
        <v>15</v>
      </c>
      <c r="B21" s="53" t="s">
        <v>79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>
        <f t="shared" si="1"/>
        <v>0</v>
      </c>
      <c r="V21" s="53"/>
      <c r="W21" s="53"/>
      <c r="X21" s="53"/>
      <c r="Y21" s="43"/>
      <c r="Z21" s="43"/>
      <c r="AA21" s="43"/>
      <c r="AB21" s="43"/>
      <c r="AC21" s="43"/>
      <c r="AD21" s="43"/>
      <c r="AE21" s="43"/>
      <c r="AF21" s="43"/>
      <c r="AG21" s="43"/>
      <c r="AH21" s="53"/>
    </row>
    <row r="22" spans="1:34">
      <c r="A22" s="55">
        <f t="shared" si="0"/>
        <v>16</v>
      </c>
      <c r="B22" s="53" t="s">
        <v>106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>
        <f t="shared" si="1"/>
        <v>0</v>
      </c>
      <c r="V22" s="53"/>
      <c r="W22" s="53"/>
      <c r="X22" s="53"/>
      <c r="Y22" s="43"/>
      <c r="Z22" s="43"/>
      <c r="AA22" s="43"/>
      <c r="AB22" s="43"/>
      <c r="AC22" s="43"/>
      <c r="AD22" s="43"/>
      <c r="AE22" s="43"/>
      <c r="AF22" s="43"/>
      <c r="AG22" s="43"/>
      <c r="AH22" s="53"/>
    </row>
    <row r="23" spans="1:34">
      <c r="A23" s="55">
        <f t="shared" si="0"/>
        <v>17</v>
      </c>
      <c r="B23" s="53" t="s">
        <v>107</v>
      </c>
      <c r="C23" s="43"/>
      <c r="D23" s="43"/>
      <c r="E23" s="43"/>
      <c r="F23" s="43"/>
      <c r="G23" s="43">
        <f>'Adj List'!E11</f>
        <v>38333.33</v>
      </c>
      <c r="H23" s="43"/>
      <c r="I23" s="43"/>
      <c r="J23" s="43">
        <f>'Adj List'!E14</f>
        <v>-158922.87999999998</v>
      </c>
      <c r="K23" s="43">
        <f>'Adj List'!E15</f>
        <v>-34103.58</v>
      </c>
      <c r="L23" s="43">
        <f>'Adj List'!E16</f>
        <v>-17027.207634743681</v>
      </c>
      <c r="M23" s="43">
        <f>'Adj List'!E17</f>
        <v>-21970.289999999997</v>
      </c>
      <c r="N23" s="43">
        <f>'Adj List'!E18</f>
        <v>-35535.451799999901</v>
      </c>
      <c r="O23" s="43">
        <f>'Adj List'!E19</f>
        <v>402393.97324999946</v>
      </c>
      <c r="P23" s="43"/>
      <c r="Q23" s="43"/>
      <c r="R23" s="43"/>
      <c r="S23" s="43"/>
      <c r="T23" s="43"/>
      <c r="U23" s="43">
        <f t="shared" si="1"/>
        <v>173167.8938152559</v>
      </c>
      <c r="V23" s="53"/>
      <c r="W23" s="53"/>
      <c r="X23" s="53"/>
      <c r="Y23" s="43"/>
      <c r="Z23" s="43"/>
      <c r="AA23" s="43"/>
      <c r="AB23" s="43"/>
      <c r="AC23" s="43"/>
      <c r="AD23" s="43"/>
      <c r="AE23" s="43"/>
      <c r="AF23" s="43"/>
      <c r="AG23" s="43"/>
      <c r="AH23" s="53"/>
    </row>
    <row r="24" spans="1:34">
      <c r="A24" s="55">
        <f t="shared" si="0"/>
        <v>18</v>
      </c>
      <c r="B24" s="64" t="s">
        <v>97</v>
      </c>
      <c r="C24" s="65">
        <f t="shared" ref="C24:S24" si="3">SUM(C15:C23)</f>
        <v>-5350058.47</v>
      </c>
      <c r="D24" s="65">
        <f t="shared" si="3"/>
        <v>-3236541.4</v>
      </c>
      <c r="E24" s="65">
        <f t="shared" si="3"/>
        <v>1668084.41</v>
      </c>
      <c r="F24" s="65">
        <f t="shared" si="3"/>
        <v>-3173128.14</v>
      </c>
      <c r="G24" s="65">
        <f t="shared" si="3"/>
        <v>38333.33</v>
      </c>
      <c r="H24" s="65">
        <f t="shared" si="3"/>
        <v>214905.01</v>
      </c>
      <c r="I24" s="65">
        <f t="shared" si="3"/>
        <v>0</v>
      </c>
      <c r="J24" s="65">
        <f t="shared" si="3"/>
        <v>-158922.87999999998</v>
      </c>
      <c r="K24" s="65">
        <f t="shared" si="3"/>
        <v>-34103.58</v>
      </c>
      <c r="L24" s="65">
        <f t="shared" si="3"/>
        <v>-17027.207634743681</v>
      </c>
      <c r="M24" s="65">
        <f t="shared" si="3"/>
        <v>-21970.289999999997</v>
      </c>
      <c r="N24" s="65">
        <f t="shared" si="3"/>
        <v>-35535.451799999901</v>
      </c>
      <c r="O24" s="65">
        <f t="shared" si="3"/>
        <v>402393.97324999946</v>
      </c>
      <c r="P24" s="65">
        <f t="shared" si="3"/>
        <v>0</v>
      </c>
      <c r="Q24" s="65">
        <f t="shared" si="3"/>
        <v>0</v>
      </c>
      <c r="R24" s="65">
        <f t="shared" si="3"/>
        <v>0</v>
      </c>
      <c r="S24" s="65">
        <f t="shared" si="3"/>
        <v>0</v>
      </c>
      <c r="T24" s="65">
        <f>SUM(T15:T23)</f>
        <v>0</v>
      </c>
      <c r="U24" s="65">
        <f t="shared" si="1"/>
        <v>-9703570.6961847432</v>
      </c>
      <c r="V24" s="53"/>
      <c r="W24" s="43"/>
      <c r="X24" s="53"/>
      <c r="Y24" s="43"/>
      <c r="Z24" s="43"/>
      <c r="AA24" s="43"/>
      <c r="AB24" s="43"/>
      <c r="AC24" s="43"/>
      <c r="AD24" s="43"/>
      <c r="AE24" s="43"/>
      <c r="AF24" s="43"/>
      <c r="AG24" s="43"/>
      <c r="AH24" s="53"/>
    </row>
    <row r="25" spans="1:34">
      <c r="A25" s="55">
        <f t="shared" si="0"/>
        <v>19</v>
      </c>
      <c r="B25" s="53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53"/>
      <c r="W25" s="53"/>
      <c r="X25" s="53"/>
      <c r="Y25" s="43"/>
      <c r="Z25" s="43"/>
      <c r="AA25" s="43"/>
      <c r="AB25" s="43"/>
      <c r="AC25" s="43"/>
      <c r="AD25" s="43"/>
      <c r="AE25" s="43"/>
      <c r="AF25" s="43"/>
      <c r="AG25" s="43"/>
      <c r="AH25" s="53"/>
    </row>
    <row r="26" spans="1:34">
      <c r="A26" s="55">
        <f t="shared" si="0"/>
        <v>20</v>
      </c>
      <c r="B26" s="53" t="s">
        <v>29</v>
      </c>
      <c r="C26" s="43"/>
      <c r="D26" s="43"/>
      <c r="E26" s="43"/>
      <c r="F26" s="43"/>
      <c r="G26" s="43"/>
      <c r="H26" s="43"/>
      <c r="I26" s="43">
        <f>'Adj List'!E13</f>
        <v>-52787.66000000108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>
        <f t="shared" si="1"/>
        <v>-52787.66000000108</v>
      </c>
      <c r="V26" s="53"/>
      <c r="W26" s="53"/>
      <c r="X26" s="53"/>
      <c r="Y26" s="43"/>
      <c r="Z26" s="43"/>
      <c r="AA26" s="43"/>
      <c r="AB26" s="43"/>
      <c r="AC26" s="43"/>
      <c r="AD26" s="43"/>
      <c r="AE26" s="43"/>
      <c r="AF26" s="43"/>
      <c r="AG26" s="43"/>
      <c r="AH26" s="53"/>
    </row>
    <row r="27" spans="1:34">
      <c r="A27" s="55">
        <f t="shared" si="0"/>
        <v>21</v>
      </c>
      <c r="B27" s="53" t="s">
        <v>84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>
        <f t="shared" si="1"/>
        <v>0</v>
      </c>
      <c r="V27" s="53"/>
      <c r="W27" s="53"/>
      <c r="X27" s="53"/>
      <c r="Y27" s="43"/>
      <c r="Z27" s="43"/>
      <c r="AA27" s="43"/>
      <c r="AB27" s="43"/>
      <c r="AC27" s="43"/>
      <c r="AD27" s="43"/>
      <c r="AE27" s="43"/>
      <c r="AF27" s="43"/>
      <c r="AG27" s="43"/>
      <c r="AH27" s="53"/>
    </row>
    <row r="28" spans="1:34">
      <c r="A28" s="55">
        <f t="shared" si="0"/>
        <v>22</v>
      </c>
      <c r="B28" s="53" t="s">
        <v>99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>
        <f>'Adj List'!E20</f>
        <v>163163.7494520545</v>
      </c>
      <c r="Q28" s="43"/>
      <c r="R28" s="43"/>
      <c r="S28" s="43"/>
      <c r="T28" s="43"/>
      <c r="U28" s="43">
        <f t="shared" si="1"/>
        <v>163163.7494520545</v>
      </c>
      <c r="V28" s="53"/>
      <c r="W28" s="53"/>
      <c r="X28" s="53"/>
      <c r="Y28" s="43"/>
      <c r="Z28" s="43"/>
      <c r="AA28" s="43"/>
      <c r="AB28" s="43"/>
      <c r="AC28" s="43"/>
      <c r="AD28" s="43"/>
      <c r="AE28" s="43"/>
      <c r="AF28" s="43"/>
      <c r="AG28" s="43"/>
      <c r="AH28" s="53"/>
    </row>
    <row r="29" spans="1:34">
      <c r="A29" s="55">
        <f>(A28+1)</f>
        <v>23</v>
      </c>
      <c r="B29" s="53" t="s">
        <v>100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>
        <f t="shared" si="1"/>
        <v>0</v>
      </c>
      <c r="V29" s="53"/>
      <c r="W29" s="53"/>
      <c r="X29" s="53"/>
      <c r="Y29" s="43"/>
      <c r="Z29" s="43"/>
      <c r="AA29" s="43"/>
      <c r="AB29" s="43"/>
      <c r="AC29" s="43"/>
      <c r="AD29" s="43"/>
      <c r="AE29" s="43"/>
      <c r="AF29" s="43"/>
      <c r="AG29" s="43"/>
      <c r="AH29" s="53"/>
    </row>
    <row r="30" spans="1:34">
      <c r="A30" s="55">
        <f>(A29+1)</f>
        <v>24</v>
      </c>
      <c r="B30" s="53" t="s">
        <v>86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>
        <f t="shared" si="1"/>
        <v>0</v>
      </c>
      <c r="V30" s="53"/>
      <c r="W30" s="53"/>
      <c r="X30" s="53"/>
      <c r="Y30" s="43"/>
      <c r="Z30" s="43"/>
      <c r="AA30" s="43"/>
      <c r="AB30" s="43"/>
      <c r="AC30" s="43"/>
      <c r="AD30" s="43"/>
      <c r="AE30" s="43"/>
      <c r="AF30" s="43"/>
      <c r="AG30" s="43"/>
      <c r="AH30" s="53"/>
    </row>
    <row r="31" spans="1:34">
      <c r="A31" s="55">
        <f t="shared" si="0"/>
        <v>25</v>
      </c>
      <c r="B31" s="64" t="s">
        <v>34</v>
      </c>
      <c r="C31" s="65">
        <f t="shared" ref="C31:S31" si="4">SUM(C24:C30)</f>
        <v>-5350058.47</v>
      </c>
      <c r="D31" s="65">
        <f t="shared" si="4"/>
        <v>-3236541.4</v>
      </c>
      <c r="E31" s="65">
        <f t="shared" si="4"/>
        <v>1668084.41</v>
      </c>
      <c r="F31" s="65">
        <f t="shared" si="4"/>
        <v>-3173128.14</v>
      </c>
      <c r="G31" s="65">
        <f t="shared" si="4"/>
        <v>38333.33</v>
      </c>
      <c r="H31" s="65">
        <f t="shared" si="4"/>
        <v>214905.01</v>
      </c>
      <c r="I31" s="65">
        <f t="shared" si="4"/>
        <v>-52787.66000000108</v>
      </c>
      <c r="J31" s="65">
        <f t="shared" si="4"/>
        <v>-158922.87999999998</v>
      </c>
      <c r="K31" s="65">
        <f t="shared" si="4"/>
        <v>-34103.58</v>
      </c>
      <c r="L31" s="65">
        <f t="shared" si="4"/>
        <v>-17027.207634743681</v>
      </c>
      <c r="M31" s="65">
        <f t="shared" si="4"/>
        <v>-21970.289999999997</v>
      </c>
      <c r="N31" s="65">
        <f t="shared" si="4"/>
        <v>-35535.451799999901</v>
      </c>
      <c r="O31" s="65">
        <f t="shared" si="4"/>
        <v>402393.97324999946</v>
      </c>
      <c r="P31" s="65">
        <f t="shared" si="4"/>
        <v>163163.7494520545</v>
      </c>
      <c r="Q31" s="65">
        <f t="shared" si="4"/>
        <v>0</v>
      </c>
      <c r="R31" s="65">
        <f t="shared" si="4"/>
        <v>0</v>
      </c>
      <c r="S31" s="65">
        <f t="shared" si="4"/>
        <v>0</v>
      </c>
      <c r="T31" s="65">
        <f>SUM(T24:T30)</f>
        <v>0</v>
      </c>
      <c r="U31" s="65">
        <f t="shared" si="1"/>
        <v>-9593194.6067326907</v>
      </c>
      <c r="V31" s="53"/>
      <c r="W31" s="43"/>
      <c r="X31" s="53"/>
      <c r="Y31" s="43"/>
      <c r="Z31" s="43"/>
      <c r="AA31" s="43"/>
      <c r="AB31" s="43"/>
      <c r="AC31" s="43"/>
      <c r="AD31" s="43"/>
      <c r="AE31" s="43"/>
      <c r="AF31" s="43"/>
      <c r="AG31" s="43"/>
      <c r="AH31" s="53"/>
    </row>
    <row r="32" spans="1:34">
      <c r="A32" s="55">
        <f t="shared" si="0"/>
        <v>26</v>
      </c>
      <c r="B32" s="53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53"/>
      <c r="W32" s="53"/>
      <c r="X32" s="53"/>
      <c r="Y32" s="43"/>
      <c r="Z32" s="43"/>
      <c r="AA32" s="43"/>
      <c r="AB32" s="43"/>
      <c r="AC32" s="43"/>
      <c r="AD32" s="43"/>
      <c r="AE32" s="43"/>
      <c r="AF32" s="43"/>
      <c r="AG32" s="43"/>
      <c r="AH32" s="53"/>
    </row>
    <row r="33" spans="1:34">
      <c r="A33" s="55">
        <f t="shared" si="0"/>
        <v>27</v>
      </c>
      <c r="B33" s="53" t="s">
        <v>87</v>
      </c>
      <c r="C33" s="43">
        <f t="shared" ref="C33:S33" si="5">(+C12-C31)</f>
        <v>0</v>
      </c>
      <c r="D33" s="43">
        <f t="shared" si="5"/>
        <v>0</v>
      </c>
      <c r="E33" s="43">
        <f t="shared" si="5"/>
        <v>0</v>
      </c>
      <c r="F33" s="43">
        <f t="shared" si="5"/>
        <v>0</v>
      </c>
      <c r="G33" s="43">
        <f t="shared" si="5"/>
        <v>-38333.33</v>
      </c>
      <c r="H33" s="43">
        <f t="shared" si="5"/>
        <v>132053.25</v>
      </c>
      <c r="I33" s="43">
        <f t="shared" si="5"/>
        <v>52787.66000000108</v>
      </c>
      <c r="J33" s="43">
        <f t="shared" si="5"/>
        <v>158922.87999999998</v>
      </c>
      <c r="K33" s="43">
        <f t="shared" si="5"/>
        <v>34103.58</v>
      </c>
      <c r="L33" s="43">
        <f t="shared" si="5"/>
        <v>17027.207634743681</v>
      </c>
      <c r="M33" s="43">
        <f t="shared" si="5"/>
        <v>21970.289999999997</v>
      </c>
      <c r="N33" s="43">
        <f t="shared" si="5"/>
        <v>35535.451799999901</v>
      </c>
      <c r="O33" s="43">
        <f t="shared" si="5"/>
        <v>-402393.97324999946</v>
      </c>
      <c r="P33" s="43">
        <f t="shared" si="5"/>
        <v>-163163.7494520545</v>
      </c>
      <c r="Q33" s="43">
        <f t="shared" si="5"/>
        <v>0</v>
      </c>
      <c r="R33" s="43">
        <f t="shared" si="5"/>
        <v>0</v>
      </c>
      <c r="S33" s="43">
        <f t="shared" si="5"/>
        <v>0</v>
      </c>
      <c r="T33" s="43">
        <f>(+T12-T31)</f>
        <v>0</v>
      </c>
      <c r="U33" s="43">
        <f t="shared" si="1"/>
        <v>-151490.73326730932</v>
      </c>
      <c r="V33" s="53"/>
      <c r="W33" s="53"/>
      <c r="X33" s="53"/>
      <c r="Y33" s="43"/>
      <c r="Z33" s="43"/>
      <c r="AA33" s="43"/>
      <c r="AB33" s="43"/>
      <c r="AC33" s="43"/>
      <c r="AD33" s="43"/>
      <c r="AE33" s="43"/>
      <c r="AF33" s="43"/>
      <c r="AG33" s="43"/>
      <c r="AH33" s="53"/>
    </row>
    <row r="34" spans="1:34">
      <c r="A34" s="55">
        <f t="shared" si="0"/>
        <v>28</v>
      </c>
      <c r="B34" s="53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53"/>
      <c r="W34" s="53"/>
      <c r="X34" s="53"/>
      <c r="Y34" s="43"/>
      <c r="Z34" s="43"/>
      <c r="AA34" s="43"/>
      <c r="AB34" s="43"/>
      <c r="AC34" s="43"/>
      <c r="AD34" s="43"/>
      <c r="AE34" s="43"/>
      <c r="AF34" s="43"/>
      <c r="AG34" s="43"/>
      <c r="AH34" s="53"/>
    </row>
    <row r="35" spans="1:34">
      <c r="A35" s="55">
        <f t="shared" si="0"/>
        <v>29</v>
      </c>
      <c r="B35" s="53" t="s">
        <v>35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>
        <f t="shared" si="1"/>
        <v>0</v>
      </c>
      <c r="V35" s="53"/>
      <c r="W35" s="53"/>
      <c r="X35" s="53"/>
      <c r="Y35" s="43"/>
      <c r="Z35" s="43"/>
      <c r="AA35" s="43"/>
      <c r="AB35" s="43"/>
      <c r="AC35" s="43"/>
      <c r="AD35" s="43"/>
      <c r="AE35" s="43"/>
      <c r="AF35" s="43"/>
      <c r="AG35" s="43"/>
      <c r="AH35" s="53"/>
    </row>
    <row r="36" spans="1:34">
      <c r="A36" s="55" t="s">
        <v>209</v>
      </c>
      <c r="B36" s="53" t="s">
        <v>210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53"/>
      <c r="W36" s="53"/>
      <c r="X36" s="53"/>
      <c r="Y36" s="43"/>
      <c r="Z36" s="43"/>
      <c r="AA36" s="43"/>
      <c r="AB36" s="43"/>
      <c r="AC36" s="43"/>
      <c r="AD36" s="43"/>
      <c r="AE36" s="43"/>
      <c r="AF36" s="43"/>
      <c r="AG36" s="43"/>
      <c r="AH36" s="53"/>
    </row>
    <row r="37" spans="1:34">
      <c r="A37" s="55">
        <f>(A35+1)</f>
        <v>30</v>
      </c>
      <c r="B37" s="53" t="s">
        <v>36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>
        <f t="shared" si="1"/>
        <v>0</v>
      </c>
      <c r="V37" s="53"/>
      <c r="W37" s="53"/>
      <c r="X37" s="53"/>
      <c r="Y37" s="43"/>
      <c r="Z37" s="43"/>
      <c r="AA37" s="43"/>
      <c r="AB37" s="43"/>
      <c r="AC37" s="43"/>
      <c r="AD37" s="43"/>
      <c r="AE37" s="43"/>
      <c r="AF37" s="43"/>
      <c r="AG37" s="43"/>
      <c r="AH37" s="53"/>
    </row>
    <row r="38" spans="1:34">
      <c r="A38" s="55">
        <f t="shared" si="0"/>
        <v>31</v>
      </c>
      <c r="B38" s="53" t="s">
        <v>32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>
        <f t="shared" si="1"/>
        <v>0</v>
      </c>
      <c r="V38" s="53"/>
      <c r="W38" s="53"/>
      <c r="X38" s="53"/>
      <c r="Y38" s="43"/>
      <c r="Z38" s="43"/>
      <c r="AA38" s="43"/>
      <c r="AB38" s="43"/>
      <c r="AC38" s="43"/>
      <c r="AD38" s="43"/>
      <c r="AE38" s="43"/>
      <c r="AF38" s="43"/>
      <c r="AG38" s="43"/>
      <c r="AH38" s="53"/>
    </row>
    <row r="39" spans="1:34">
      <c r="A39" s="55">
        <f t="shared" si="0"/>
        <v>32</v>
      </c>
      <c r="B39" s="53" t="s">
        <v>88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>
        <f t="shared" si="1"/>
        <v>0</v>
      </c>
      <c r="V39" s="53"/>
      <c r="W39" s="53"/>
      <c r="X39" s="53"/>
      <c r="Y39" s="43"/>
      <c r="Z39" s="43"/>
      <c r="AA39" s="43"/>
      <c r="AB39" s="43"/>
      <c r="AC39" s="43"/>
      <c r="AD39" s="43"/>
      <c r="AE39" s="43"/>
      <c r="AF39" s="43"/>
      <c r="AG39" s="43"/>
      <c r="AH39" s="53"/>
    </row>
    <row r="40" spans="1:34">
      <c r="A40" s="55">
        <f t="shared" si="0"/>
        <v>33</v>
      </c>
      <c r="B40" s="64" t="s">
        <v>98</v>
      </c>
      <c r="C40" s="65">
        <f t="shared" ref="C40:S40" si="6">SUM(C35:C39)</f>
        <v>0</v>
      </c>
      <c r="D40" s="65">
        <f t="shared" si="6"/>
        <v>0</v>
      </c>
      <c r="E40" s="65">
        <f t="shared" si="6"/>
        <v>0</v>
      </c>
      <c r="F40" s="65">
        <f t="shared" si="6"/>
        <v>0</v>
      </c>
      <c r="G40" s="65">
        <f t="shared" si="6"/>
        <v>0</v>
      </c>
      <c r="H40" s="65">
        <f t="shared" si="6"/>
        <v>0</v>
      </c>
      <c r="I40" s="65">
        <f t="shared" si="6"/>
        <v>0</v>
      </c>
      <c r="J40" s="65">
        <f t="shared" si="6"/>
        <v>0</v>
      </c>
      <c r="K40" s="65">
        <f t="shared" si="6"/>
        <v>0</v>
      </c>
      <c r="L40" s="65">
        <f t="shared" si="6"/>
        <v>0</v>
      </c>
      <c r="M40" s="65">
        <f t="shared" si="6"/>
        <v>0</v>
      </c>
      <c r="N40" s="65">
        <f t="shared" si="6"/>
        <v>0</v>
      </c>
      <c r="O40" s="65">
        <f t="shared" si="6"/>
        <v>0</v>
      </c>
      <c r="P40" s="65">
        <f t="shared" si="6"/>
        <v>0</v>
      </c>
      <c r="Q40" s="65">
        <f t="shared" si="6"/>
        <v>0</v>
      </c>
      <c r="R40" s="65">
        <f t="shared" si="6"/>
        <v>0</v>
      </c>
      <c r="S40" s="65">
        <f t="shared" si="6"/>
        <v>0</v>
      </c>
      <c r="T40" s="65">
        <f>SUM(T35:T39)</f>
        <v>0</v>
      </c>
      <c r="U40" s="65">
        <f t="shared" si="1"/>
        <v>0</v>
      </c>
      <c r="V40" s="53"/>
      <c r="W40" s="43"/>
      <c r="X40" s="53"/>
      <c r="Y40" s="43"/>
      <c r="Z40" s="43"/>
      <c r="AA40" s="43"/>
      <c r="AB40" s="43"/>
      <c r="AC40" s="43"/>
      <c r="AD40" s="43"/>
      <c r="AE40" s="43"/>
      <c r="AF40" s="43"/>
      <c r="AG40" s="43"/>
      <c r="AH40" s="53"/>
    </row>
    <row r="41" spans="1:34">
      <c r="A41" s="55">
        <f t="shared" si="0"/>
        <v>34</v>
      </c>
      <c r="B41" s="5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53"/>
      <c r="W41" s="53"/>
      <c r="X41" s="53"/>
      <c r="Y41" s="43"/>
      <c r="Z41" s="43"/>
      <c r="AA41" s="43"/>
      <c r="AB41" s="43"/>
      <c r="AC41" s="43"/>
      <c r="AD41" s="43"/>
      <c r="AE41" s="43"/>
      <c r="AF41" s="43"/>
      <c r="AG41" s="43"/>
      <c r="AH41" s="53"/>
    </row>
    <row r="42" spans="1:34" ht="14.6" thickBot="1">
      <c r="A42" s="55">
        <f t="shared" si="0"/>
        <v>35</v>
      </c>
      <c r="B42" s="67" t="s">
        <v>89</v>
      </c>
      <c r="C42" s="68">
        <f t="shared" ref="C42:S42" si="7">+C33+C40</f>
        <v>0</v>
      </c>
      <c r="D42" s="68">
        <f t="shared" si="7"/>
        <v>0</v>
      </c>
      <c r="E42" s="68">
        <f t="shared" si="7"/>
        <v>0</v>
      </c>
      <c r="F42" s="68">
        <f t="shared" si="7"/>
        <v>0</v>
      </c>
      <c r="G42" s="68">
        <f t="shared" si="7"/>
        <v>-38333.33</v>
      </c>
      <c r="H42" s="68">
        <f t="shared" si="7"/>
        <v>132053.25</v>
      </c>
      <c r="I42" s="68">
        <f t="shared" si="7"/>
        <v>52787.66000000108</v>
      </c>
      <c r="J42" s="68">
        <f t="shared" si="7"/>
        <v>158922.87999999998</v>
      </c>
      <c r="K42" s="68">
        <f t="shared" si="7"/>
        <v>34103.58</v>
      </c>
      <c r="L42" s="68">
        <f t="shared" si="7"/>
        <v>17027.207634743681</v>
      </c>
      <c r="M42" s="68">
        <f t="shared" si="7"/>
        <v>21970.289999999997</v>
      </c>
      <c r="N42" s="68">
        <f t="shared" si="7"/>
        <v>35535.451799999901</v>
      </c>
      <c r="O42" s="68">
        <f t="shared" si="7"/>
        <v>-402393.97324999946</v>
      </c>
      <c r="P42" s="68">
        <f t="shared" si="7"/>
        <v>-163163.7494520545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>+T33+T40</f>
        <v>0</v>
      </c>
      <c r="U42" s="68">
        <f t="shared" si="1"/>
        <v>-151490.73326730932</v>
      </c>
      <c r="V42" s="53"/>
      <c r="W42" s="43"/>
      <c r="X42" s="53"/>
      <c r="Y42" s="43"/>
      <c r="Z42" s="43"/>
      <c r="AA42" s="43"/>
      <c r="AB42" s="43"/>
      <c r="AC42" s="43"/>
      <c r="AD42" s="43"/>
      <c r="AE42" s="43"/>
      <c r="AF42" s="43"/>
      <c r="AG42" s="43"/>
      <c r="AH42" s="53"/>
    </row>
    <row r="43" spans="1:34" ht="18" customHeight="1" thickTop="1">
      <c r="A43" s="5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ht="18" customHeight="1">
      <c r="A44" s="55"/>
      <c r="B44" s="5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53"/>
      <c r="W44" s="4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ht="18" customHeight="1">
      <c r="A45" s="55"/>
      <c r="B45" s="5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53"/>
      <c r="W45" s="4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</row>
    <row r="46" spans="1:34" ht="18" customHeight="1">
      <c r="A46" s="55"/>
      <c r="B46" s="5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53"/>
      <c r="W46" s="4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ht="18" customHeight="1">
      <c r="A47" s="55"/>
      <c r="B47" s="5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53"/>
      <c r="W47" s="4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ht="18" customHeight="1">
      <c r="A48" s="55"/>
      <c r="B48" s="5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1:34" ht="18" customHeight="1">
      <c r="A49" s="55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0" spans="1:34" ht="18" customHeight="1">
      <c r="A50" s="55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34">
      <c r="A51" s="55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1:34">
      <c r="A52" s="55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1:34">
      <c r="A53" s="55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1:34">
      <c r="A54" s="55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1:34">
      <c r="A55" s="55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1:34">
      <c r="A56" s="55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</row>
    <row r="57" spans="1:34">
      <c r="A57" s="5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</row>
    <row r="58" spans="1:34">
      <c r="A58" s="55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</row>
    <row r="59" spans="1:34">
      <c r="A59" s="55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</row>
    <row r="60" spans="1:34">
      <c r="A60" s="55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</row>
    <row r="61" spans="1:34">
      <c r="A61" s="55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</row>
    <row r="62" spans="1:34">
      <c r="A62" s="55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</row>
    <row r="63" spans="1:34">
      <c r="A63" s="55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</row>
    <row r="64" spans="1:34">
      <c r="A64" s="55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</row>
    <row r="65" spans="1:34">
      <c r="A65" s="55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34">
      <c r="A66" s="55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</row>
    <row r="67" spans="1:34">
      <c r="A67" s="55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</row>
    <row r="68" spans="1:34">
      <c r="A68" s="55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</row>
    <row r="69" spans="1:34">
      <c r="A69" s="55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</row>
    <row r="70" spans="1:34">
      <c r="A70" s="55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</row>
    <row r="71" spans="1:34">
      <c r="A71" s="55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</row>
    <row r="72" spans="1:34">
      <c r="A72" s="55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</row>
    <row r="73" spans="1:34">
      <c r="A73" s="55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</row>
    <row r="74" spans="1:34">
      <c r="A74" s="55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</row>
    <row r="75" spans="1:34">
      <c r="A75" s="55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</row>
    <row r="76" spans="1:34">
      <c r="A76" s="55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</row>
    <row r="77" spans="1:34">
      <c r="A77" s="55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</row>
    <row r="78" spans="1:34">
      <c r="A78" s="55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</row>
    <row r="79" spans="1:34">
      <c r="A79" s="55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</row>
    <row r="80" spans="1:34">
      <c r="A80" s="55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</row>
    <row r="81" spans="1:34">
      <c r="A81" s="55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</row>
    <row r="82" spans="1:34">
      <c r="A82" s="55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</row>
    <row r="83" spans="1:34">
      <c r="A83" s="55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</row>
    <row r="84" spans="1:34">
      <c r="A84" s="55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</row>
    <row r="85" spans="1:34">
      <c r="A85" s="55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</row>
    <row r="86" spans="1:34">
      <c r="A86" s="55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</row>
    <row r="87" spans="1:34">
      <c r="A87" s="55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</row>
    <row r="88" spans="1:34">
      <c r="A88" s="55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</row>
    <row r="89" spans="1:34">
      <c r="A89" s="55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</row>
    <row r="90" spans="1:34">
      <c r="A90" s="55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</row>
    <row r="91" spans="1:34">
      <c r="A91" s="55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</row>
    <row r="92" spans="1:34">
      <c r="A92" s="55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</row>
    <row r="93" spans="1:34">
      <c r="A93" s="55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</row>
    <row r="94" spans="1:34">
      <c r="A94" s="55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</row>
    <row r="95" spans="1:34">
      <c r="A95" s="5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</row>
    <row r="96" spans="1:34">
      <c r="A96" s="55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</row>
    <row r="97" spans="1:34">
      <c r="A97" s="55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</row>
    <row r="98" spans="1:34">
      <c r="A98" s="55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</row>
    <row r="99" spans="1:34">
      <c r="A99" s="55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</row>
    <row r="100" spans="1:34">
      <c r="A100" s="55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</row>
    <row r="101" spans="1:34">
      <c r="A101" s="55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</row>
    <row r="102" spans="1:34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</row>
    <row r="103" spans="1:34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</row>
    <row r="104" spans="1:34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</row>
    <row r="105" spans="1:34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</row>
    <row r="106" spans="1:34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</row>
    <row r="107" spans="1:34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</row>
    <row r="108" spans="1:34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</row>
    <row r="109" spans="1:34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</row>
    <row r="110" spans="1:34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</row>
    <row r="111" spans="1:34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</row>
    <row r="112" spans="1:34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</row>
    <row r="113" spans="2:28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</row>
    <row r="114" spans="2:28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</row>
    <row r="115" spans="2:28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</row>
    <row r="116" spans="2:28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</row>
    <row r="117" spans="2:28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</row>
    <row r="118" spans="2:28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</row>
    <row r="119" spans="2:28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</row>
    <row r="120" spans="2:28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</row>
    <row r="121" spans="2:28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</row>
    <row r="122" spans="2:28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</row>
    <row r="123" spans="2:28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</row>
    <row r="124" spans="2:28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</row>
    <row r="125" spans="2:28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</row>
    <row r="126" spans="2:28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</row>
    <row r="127" spans="2:28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</row>
    <row r="128" spans="2:28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2:28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</row>
    <row r="130" spans="2:28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</row>
    <row r="131" spans="2:28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</row>
    <row r="132" spans="2:28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</row>
    <row r="133" spans="2:28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</row>
    <row r="134" spans="2:28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</row>
    <row r="135" spans="2:28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</row>
    <row r="136" spans="2:28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</row>
    <row r="137" spans="2:28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</row>
    <row r="138" spans="2:28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</row>
    <row r="139" spans="2:28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</row>
    <row r="140" spans="2:28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</row>
    <row r="141" spans="2:28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</row>
    <row r="142" spans="2:28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</row>
    <row r="143" spans="2:28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</row>
    <row r="144" spans="2:28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</row>
    <row r="145" spans="2:28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</row>
    <row r="146" spans="2:28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</row>
    <row r="147" spans="2:28">
      <c r="V147" s="53"/>
      <c r="W147" s="53"/>
      <c r="X147" s="53"/>
      <c r="Y147" s="53"/>
      <c r="Z147" s="53"/>
      <c r="AA147" s="53"/>
      <c r="AB147" s="53"/>
    </row>
    <row r="148" spans="2:28">
      <c r="V148" s="53"/>
      <c r="W148" s="53"/>
      <c r="X148" s="53"/>
      <c r="Y148" s="53"/>
      <c r="Z148" s="53"/>
      <c r="AA148" s="53"/>
      <c r="AB148" s="53"/>
    </row>
    <row r="149" spans="2:28">
      <c r="V149" s="53"/>
      <c r="W149" s="53"/>
      <c r="X149" s="53"/>
      <c r="Y149" s="53"/>
      <c r="Z149" s="53"/>
      <c r="AA149" s="53"/>
      <c r="AB149" s="53"/>
    </row>
    <row r="150" spans="2:28">
      <c r="V150" s="53"/>
      <c r="W150" s="53"/>
      <c r="X150" s="53"/>
      <c r="Y150" s="53"/>
      <c r="Z150" s="53"/>
      <c r="AA150" s="53"/>
      <c r="AB150" s="53"/>
    </row>
    <row r="151" spans="2:28">
      <c r="V151" s="53"/>
      <c r="W151" s="53"/>
      <c r="X151" s="53"/>
      <c r="Y151" s="53"/>
      <c r="Z151" s="53"/>
      <c r="AA151" s="53"/>
      <c r="AB151" s="53"/>
    </row>
  </sheetData>
  <conditionalFormatting sqref="C48:U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W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W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W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W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W44:W47">
    <cfRule type="cellIs" dxfId="1" priority="3" operator="notEqual">
      <formula>0</formula>
    </cfRule>
    <cfRule type="cellIs" dxfId="0" priority="4" operator="equal">
      <formula>0</formula>
    </cfRule>
  </conditionalFormatting>
  <printOptions horizontalCentered="1"/>
  <pageMargins left="0.25" right="0.25" top="0.75" bottom="0.75" header="0.3" footer="0.3"/>
  <pageSetup scale="57" orientation="landscape" r:id="rId1"/>
  <headerFooter>
    <oddFooter>&amp;R&amp;"Times New Roman,Regular"Exhibit  JW-2
Page &amp;P of &amp;N</oddFooter>
  </headerFooter>
  <ignoredErrors>
    <ignoredError sqref="C31:U37 C38:F38 H38:U38 C39:U4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>
    <pageSetUpPr fitToPage="1"/>
  </sheetPr>
  <dimension ref="A1:O34"/>
  <sheetViews>
    <sheetView view="pageBreakPreview" zoomScaleNormal="100" zoomScaleSheetLayoutView="100" workbookViewId="0">
      <selection activeCell="J26" sqref="J26"/>
    </sheetView>
  </sheetViews>
  <sheetFormatPr defaultColWidth="9.15234375" defaultRowHeight="12.45"/>
  <cols>
    <col min="1" max="1" width="5.84375" style="2" customWidth="1"/>
    <col min="2" max="2" width="2.3046875" style="2" customWidth="1"/>
    <col min="3" max="3" width="11.69140625" style="2" customWidth="1"/>
    <col min="4" max="4" width="10.84375" style="2" customWidth="1"/>
    <col min="5" max="5" width="3" style="2" customWidth="1"/>
    <col min="6" max="6" width="15.3046875" style="2" customWidth="1"/>
    <col min="7" max="7" width="3.3046875" style="2" customWidth="1"/>
    <col min="8" max="8" width="15.69140625" style="2" customWidth="1"/>
    <col min="9" max="16384" width="9.15234375" style="2"/>
  </cols>
  <sheetData>
    <row r="1" spans="1:15">
      <c r="G1" s="139"/>
      <c r="H1" s="139" t="s">
        <v>27</v>
      </c>
    </row>
    <row r="2" spans="1:15" ht="20.25" customHeight="1">
      <c r="G2" s="139"/>
      <c r="H2" s="139"/>
    </row>
    <row r="3" spans="1:15">
      <c r="G3" s="139"/>
      <c r="H3" s="139"/>
    </row>
    <row r="4" spans="1:15">
      <c r="A4" s="314" t="str">
        <f>RevReq!A1</f>
        <v>MEADE COUNTY R.E.C.C.</v>
      </c>
      <c r="B4" s="314"/>
      <c r="C4" s="314"/>
      <c r="D4" s="314"/>
      <c r="E4" s="314"/>
      <c r="F4" s="314"/>
      <c r="G4" s="314"/>
      <c r="H4" s="314"/>
      <c r="J4" s="172"/>
      <c r="K4" s="172"/>
      <c r="L4" s="172"/>
      <c r="M4" s="172"/>
      <c r="N4" s="172"/>
      <c r="O4" s="172"/>
    </row>
    <row r="5" spans="1:15">
      <c r="A5" s="314" t="str">
        <f>RevReq!A3</f>
        <v>For the 12 Months Ended December 31, 2024</v>
      </c>
      <c r="B5" s="314"/>
      <c r="C5" s="314"/>
      <c r="D5" s="314"/>
      <c r="E5" s="314"/>
      <c r="F5" s="314"/>
      <c r="G5" s="314"/>
      <c r="H5" s="314"/>
    </row>
    <row r="7" spans="1:15" s="140" customFormat="1" ht="15" customHeight="1">
      <c r="A7" s="315" t="s">
        <v>117</v>
      </c>
      <c r="B7" s="315"/>
      <c r="C7" s="315"/>
      <c r="D7" s="315"/>
      <c r="E7" s="315"/>
      <c r="F7" s="315"/>
      <c r="G7" s="315"/>
      <c r="H7" s="315"/>
    </row>
    <row r="9" spans="1:15">
      <c r="A9" s="1" t="s">
        <v>0</v>
      </c>
      <c r="C9" s="1" t="s">
        <v>16</v>
      </c>
      <c r="D9" s="1" t="s">
        <v>17</v>
      </c>
      <c r="E9" s="1"/>
      <c r="F9" s="1" t="s">
        <v>23</v>
      </c>
      <c r="G9" s="1"/>
      <c r="H9" s="1" t="s">
        <v>24</v>
      </c>
    </row>
    <row r="10" spans="1:15">
      <c r="A10" s="32" t="s">
        <v>21</v>
      </c>
      <c r="C10" s="173" t="s">
        <v>18</v>
      </c>
      <c r="D10" s="173" t="s">
        <v>20</v>
      </c>
      <c r="E10" s="1"/>
      <c r="F10" s="173" t="s">
        <v>19</v>
      </c>
      <c r="G10" s="173"/>
      <c r="H10" s="173" t="s">
        <v>25</v>
      </c>
    </row>
    <row r="11" spans="1:15">
      <c r="A11" s="1"/>
    </row>
    <row r="12" spans="1:15">
      <c r="A12" s="1"/>
      <c r="C12" s="2" t="s">
        <v>429</v>
      </c>
      <c r="F12" s="115">
        <f>-16042.7199999997*1</f>
        <v>-16042.719999999699</v>
      </c>
    </row>
    <row r="13" spans="1:15">
      <c r="A13" s="1">
        <v>1</v>
      </c>
      <c r="C13" s="1">
        <v>2024</v>
      </c>
      <c r="D13" s="1" t="s">
        <v>6</v>
      </c>
      <c r="E13" s="144"/>
      <c r="F13" s="177">
        <v>627992.16</v>
      </c>
      <c r="G13" s="144"/>
      <c r="H13" s="144">
        <v>671015.13</v>
      </c>
    </row>
    <row r="14" spans="1:15">
      <c r="A14" s="1">
        <v>2</v>
      </c>
      <c r="C14" s="1">
        <f>C13</f>
        <v>2024</v>
      </c>
      <c r="D14" s="1" t="s">
        <v>7</v>
      </c>
      <c r="E14" s="144"/>
      <c r="F14" s="177">
        <v>380443.86</v>
      </c>
      <c r="G14" s="144"/>
      <c r="H14" s="144">
        <v>274903.99</v>
      </c>
    </row>
    <row r="15" spans="1:15">
      <c r="A15" s="1">
        <v>3</v>
      </c>
      <c r="C15" s="1">
        <f t="shared" ref="C15:C24" si="0">C14</f>
        <v>2024</v>
      </c>
      <c r="D15" s="1" t="s">
        <v>8</v>
      </c>
      <c r="E15" s="144"/>
      <c r="F15" s="177">
        <v>376765.61</v>
      </c>
      <c r="G15" s="144"/>
      <c r="H15" s="144">
        <v>610273.59</v>
      </c>
    </row>
    <row r="16" spans="1:15">
      <c r="A16" s="1">
        <v>4</v>
      </c>
      <c r="C16" s="1">
        <f t="shared" si="0"/>
        <v>2024</v>
      </c>
      <c r="D16" s="1" t="s">
        <v>9</v>
      </c>
      <c r="E16" s="144"/>
      <c r="F16" s="177">
        <v>600284.51</v>
      </c>
      <c r="G16" s="144"/>
      <c r="H16" s="144">
        <v>352177.21</v>
      </c>
    </row>
    <row r="17" spans="1:10">
      <c r="A17" s="1">
        <v>5</v>
      </c>
      <c r="C17" s="1">
        <f t="shared" si="0"/>
        <v>2024</v>
      </c>
      <c r="D17" s="1" t="s">
        <v>10</v>
      </c>
      <c r="E17" s="144"/>
      <c r="F17" s="177">
        <v>438315.46</v>
      </c>
      <c r="G17" s="144"/>
      <c r="H17" s="144">
        <v>204596.14</v>
      </c>
    </row>
    <row r="18" spans="1:10">
      <c r="A18" s="1">
        <v>6</v>
      </c>
      <c r="C18" s="1">
        <f t="shared" si="0"/>
        <v>2024</v>
      </c>
      <c r="D18" s="1" t="s">
        <v>11</v>
      </c>
      <c r="E18" s="144"/>
      <c r="F18" s="177">
        <v>221852.28</v>
      </c>
      <c r="G18" s="144"/>
      <c r="H18" s="144">
        <v>240586.33</v>
      </c>
    </row>
    <row r="19" spans="1:10">
      <c r="A19" s="1">
        <v>7</v>
      </c>
      <c r="C19" s="1">
        <f t="shared" si="0"/>
        <v>2024</v>
      </c>
      <c r="D19" s="1" t="s">
        <v>12</v>
      </c>
      <c r="E19" s="144"/>
      <c r="F19" s="177">
        <v>226708.34</v>
      </c>
      <c r="G19" s="144"/>
      <c r="H19" s="144">
        <v>329961.81</v>
      </c>
    </row>
    <row r="20" spans="1:10">
      <c r="A20" s="1">
        <v>8</v>
      </c>
      <c r="C20" s="1">
        <f t="shared" si="0"/>
        <v>2024</v>
      </c>
      <c r="D20" s="1" t="s">
        <v>13</v>
      </c>
      <c r="E20" s="144"/>
      <c r="F20" s="177">
        <v>297573.61</v>
      </c>
      <c r="G20" s="144"/>
      <c r="H20" s="144">
        <v>451513.16</v>
      </c>
    </row>
    <row r="21" spans="1:10">
      <c r="A21" s="1">
        <v>9</v>
      </c>
      <c r="C21" s="1">
        <f t="shared" si="0"/>
        <v>2024</v>
      </c>
      <c r="D21" s="1" t="s">
        <v>2</v>
      </c>
      <c r="E21" s="144"/>
      <c r="F21" s="177">
        <v>404516.91</v>
      </c>
      <c r="G21" s="144"/>
      <c r="H21" s="144">
        <v>500932.88</v>
      </c>
    </row>
    <row r="22" spans="1:10">
      <c r="A22" s="1">
        <v>10</v>
      </c>
      <c r="C22" s="1">
        <f t="shared" si="0"/>
        <v>2024</v>
      </c>
      <c r="D22" s="1" t="s">
        <v>3</v>
      </c>
      <c r="E22" s="144"/>
      <c r="F22" s="177">
        <v>489842.49</v>
      </c>
      <c r="G22" s="144"/>
      <c r="H22" s="144">
        <v>515482.15</v>
      </c>
    </row>
    <row r="23" spans="1:10">
      <c r="A23" s="1">
        <v>11</v>
      </c>
      <c r="C23" s="1">
        <f t="shared" si="0"/>
        <v>2024</v>
      </c>
      <c r="D23" s="1" t="s">
        <v>4</v>
      </c>
      <c r="E23" s="144"/>
      <c r="F23" s="177">
        <v>640071.23</v>
      </c>
      <c r="G23" s="144"/>
      <c r="H23" s="144">
        <v>531515.73</v>
      </c>
    </row>
    <row r="24" spans="1:10">
      <c r="A24" s="1">
        <v>12</v>
      </c>
      <c r="C24" s="1">
        <f t="shared" si="0"/>
        <v>2024</v>
      </c>
      <c r="D24" s="1" t="s">
        <v>5</v>
      </c>
      <c r="E24" s="144"/>
      <c r="F24" s="177">
        <v>661734.73</v>
      </c>
      <c r="G24" s="144"/>
      <c r="H24" s="144">
        <v>667100.35</v>
      </c>
    </row>
    <row r="25" spans="1:10">
      <c r="A25" s="1">
        <v>13</v>
      </c>
      <c r="C25" s="37"/>
      <c r="D25" s="4" t="s">
        <v>14</v>
      </c>
      <c r="E25" s="147"/>
      <c r="F25" s="255">
        <f>SUM(F12:F24)</f>
        <v>5350058.4700000007</v>
      </c>
      <c r="G25" s="147"/>
      <c r="H25" s="147">
        <f>SUM(H13:H24)</f>
        <v>5350058.47</v>
      </c>
    </row>
    <row r="26" spans="1:10">
      <c r="A26" s="1">
        <v>14</v>
      </c>
      <c r="E26" s="174"/>
      <c r="F26" s="115"/>
      <c r="G26" s="174"/>
    </row>
    <row r="27" spans="1:10">
      <c r="A27" s="1">
        <v>15</v>
      </c>
      <c r="C27" s="2" t="s">
        <v>37</v>
      </c>
      <c r="E27" s="174"/>
      <c r="F27" s="115">
        <f>F25</f>
        <v>5350058.4700000007</v>
      </c>
      <c r="G27" s="115"/>
      <c r="H27" s="115">
        <f>H25</f>
        <v>5350058.47</v>
      </c>
    </row>
    <row r="28" spans="1:10">
      <c r="A28" s="1">
        <v>16</v>
      </c>
      <c r="E28" s="174"/>
      <c r="F28" s="115"/>
      <c r="G28" s="174"/>
    </row>
    <row r="29" spans="1:10">
      <c r="A29" s="1">
        <v>17</v>
      </c>
      <c r="C29" s="2" t="s">
        <v>38</v>
      </c>
      <c r="E29" s="144"/>
      <c r="F29" s="144">
        <v>0</v>
      </c>
      <c r="G29" s="144"/>
      <c r="H29" s="144">
        <v>0</v>
      </c>
    </row>
    <row r="30" spans="1:10">
      <c r="A30" s="1">
        <v>18</v>
      </c>
    </row>
    <row r="31" spans="1:10" ht="12.9" thickBot="1">
      <c r="A31" s="1">
        <v>19</v>
      </c>
      <c r="C31" s="3" t="s">
        <v>15</v>
      </c>
      <c r="D31" s="3"/>
      <c r="E31" s="175"/>
      <c r="F31" s="176">
        <f>ROUND(F29-F27,2)</f>
        <v>-5350058.47</v>
      </c>
      <c r="G31" s="175"/>
      <c r="H31" s="176">
        <f>ROUND(H29-H27,2)</f>
        <v>-5350058.47</v>
      </c>
      <c r="J31" s="188"/>
    </row>
    <row r="32" spans="1:10" ht="12.9" thickTop="1"/>
    <row r="34" spans="3:8" ht="30" customHeight="1">
      <c r="C34" s="316" t="s">
        <v>39</v>
      </c>
      <c r="D34" s="316"/>
      <c r="E34" s="316"/>
      <c r="F34" s="316"/>
      <c r="G34" s="316"/>
      <c r="H34" s="316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&amp;R&amp;"Times New Roman,Regular"Exhibit JW-2
Page &amp;P of &amp;N</oddFooter>
  </headerFooter>
  <ignoredErrors>
    <ignoredError sqref="D10:H11 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pageSetUpPr fitToPage="1"/>
  </sheetPr>
  <dimension ref="A1:J34"/>
  <sheetViews>
    <sheetView view="pageBreakPreview" zoomScaleNormal="100" zoomScaleSheetLayoutView="100" workbookViewId="0">
      <selection activeCell="N26" sqref="N26"/>
    </sheetView>
  </sheetViews>
  <sheetFormatPr defaultColWidth="9.15234375" defaultRowHeight="12.45"/>
  <cols>
    <col min="1" max="1" width="5.84375" style="2" customWidth="1"/>
    <col min="2" max="2" width="2.3046875" style="2" customWidth="1"/>
    <col min="3" max="3" width="11.69140625" style="2" customWidth="1"/>
    <col min="4" max="4" width="10.84375" style="2" customWidth="1"/>
    <col min="5" max="5" width="3.3828125" style="2" customWidth="1"/>
    <col min="6" max="6" width="15.3046875" style="2" customWidth="1"/>
    <col min="7" max="7" width="3.3046875" style="2" customWidth="1"/>
    <col min="8" max="8" width="14.3828125" style="2" customWidth="1"/>
    <col min="9" max="16384" width="9.15234375" style="2"/>
  </cols>
  <sheetData>
    <row r="1" spans="1:8">
      <c r="G1" s="139"/>
      <c r="H1" s="139" t="s">
        <v>26</v>
      </c>
    </row>
    <row r="2" spans="1:8" ht="20.25" customHeight="1">
      <c r="G2" s="139"/>
      <c r="H2" s="139"/>
    </row>
    <row r="3" spans="1:8">
      <c r="G3" s="139"/>
      <c r="H3" s="139"/>
    </row>
    <row r="4" spans="1:8">
      <c r="A4" s="314" t="str">
        <f>RevReq!A1</f>
        <v>MEADE COUNTY R.E.C.C.</v>
      </c>
      <c r="B4" s="314"/>
      <c r="C4" s="314"/>
      <c r="D4" s="314"/>
      <c r="E4" s="314"/>
      <c r="F4" s="314"/>
      <c r="G4" s="314"/>
      <c r="H4" s="314"/>
    </row>
    <row r="5" spans="1:8">
      <c r="A5" s="314" t="str">
        <f>RevReq!A3</f>
        <v>For the 12 Months Ended December 31, 2024</v>
      </c>
      <c r="B5" s="314"/>
      <c r="C5" s="314"/>
      <c r="D5" s="314"/>
      <c r="E5" s="314"/>
      <c r="F5" s="314"/>
      <c r="G5" s="314"/>
      <c r="H5" s="314"/>
    </row>
    <row r="7" spans="1:8" s="140" customFormat="1" ht="15" customHeight="1">
      <c r="A7" s="315" t="s">
        <v>116</v>
      </c>
      <c r="B7" s="315"/>
      <c r="C7" s="315"/>
      <c r="D7" s="315"/>
      <c r="E7" s="315"/>
      <c r="F7" s="315"/>
      <c r="G7" s="315"/>
      <c r="H7" s="315"/>
    </row>
    <row r="9" spans="1:8">
      <c r="A9" s="1" t="s">
        <v>0</v>
      </c>
      <c r="C9" s="1" t="s">
        <v>16</v>
      </c>
      <c r="D9" s="1" t="s">
        <v>17</v>
      </c>
      <c r="E9" s="1"/>
      <c r="F9" s="1" t="s">
        <v>23</v>
      </c>
      <c r="G9" s="1"/>
      <c r="H9" s="1" t="s">
        <v>24</v>
      </c>
    </row>
    <row r="10" spans="1:8">
      <c r="A10" s="32" t="s">
        <v>21</v>
      </c>
      <c r="C10" s="173" t="s">
        <v>18</v>
      </c>
      <c r="D10" s="173" t="s">
        <v>20</v>
      </c>
      <c r="E10" s="1"/>
      <c r="F10" s="173" t="s">
        <v>19</v>
      </c>
      <c r="G10" s="173"/>
      <c r="H10" s="173" t="s">
        <v>25</v>
      </c>
    </row>
    <row r="11" spans="1:8">
      <c r="A11" s="1"/>
    </row>
    <row r="12" spans="1:8">
      <c r="A12" s="1"/>
      <c r="C12" s="2" t="s">
        <v>429</v>
      </c>
      <c r="F12" s="177">
        <f>25954.0499999998*1</f>
        <v>25954.049999999799</v>
      </c>
    </row>
    <row r="13" spans="1:8">
      <c r="A13" s="1">
        <v>1</v>
      </c>
      <c r="C13" s="1">
        <v>2024</v>
      </c>
      <c r="D13" s="1" t="s">
        <v>6</v>
      </c>
      <c r="E13" s="144"/>
      <c r="F13" s="177">
        <v>332946.76</v>
      </c>
      <c r="G13" s="144"/>
      <c r="H13" s="144">
        <v>462660.57</v>
      </c>
    </row>
    <row r="14" spans="1:8">
      <c r="A14" s="1">
        <v>2</v>
      </c>
      <c r="C14" s="1">
        <f>C13</f>
        <v>2024</v>
      </c>
      <c r="D14" s="1" t="s">
        <v>7</v>
      </c>
      <c r="E14" s="144"/>
      <c r="F14" s="177">
        <v>277044.56</v>
      </c>
      <c r="G14" s="144"/>
      <c r="H14" s="144">
        <v>246892.54</v>
      </c>
    </row>
    <row r="15" spans="1:8">
      <c r="A15" s="1">
        <v>3</v>
      </c>
      <c r="C15" s="1">
        <f t="shared" ref="C15:C24" si="0">C14</f>
        <v>2024</v>
      </c>
      <c r="D15" s="1" t="s">
        <v>8</v>
      </c>
      <c r="E15" s="144"/>
      <c r="F15" s="177">
        <v>314833.71999999997</v>
      </c>
      <c r="G15" s="144"/>
      <c r="H15" s="144">
        <v>195286.46</v>
      </c>
    </row>
    <row r="16" spans="1:8">
      <c r="A16" s="1">
        <v>4</v>
      </c>
      <c r="C16" s="1">
        <f t="shared" si="0"/>
        <v>2024</v>
      </c>
      <c r="D16" s="1" t="s">
        <v>9</v>
      </c>
      <c r="E16" s="144"/>
      <c r="F16" s="177">
        <v>218815.42</v>
      </c>
      <c r="G16" s="144"/>
      <c r="H16" s="144">
        <v>204473.53</v>
      </c>
    </row>
    <row r="17" spans="1:10">
      <c r="A17" s="1">
        <v>5</v>
      </c>
      <c r="C17" s="1">
        <f t="shared" si="0"/>
        <v>2024</v>
      </c>
      <c r="D17" s="1" t="s">
        <v>10</v>
      </c>
      <c r="E17" s="144"/>
      <c r="F17" s="177">
        <v>239242.36</v>
      </c>
      <c r="G17" s="144"/>
      <c r="H17" s="144">
        <v>208483.3</v>
      </c>
    </row>
    <row r="18" spans="1:10">
      <c r="A18" s="1">
        <v>6</v>
      </c>
      <c r="C18" s="1">
        <f t="shared" si="0"/>
        <v>2024</v>
      </c>
      <c r="D18" s="1" t="s">
        <v>11</v>
      </c>
      <c r="E18" s="144"/>
      <c r="F18" s="177">
        <v>236531.73</v>
      </c>
      <c r="G18" s="144"/>
      <c r="H18" s="144">
        <v>265052</v>
      </c>
    </row>
    <row r="19" spans="1:10">
      <c r="A19" s="1">
        <v>7</v>
      </c>
      <c r="C19" s="1">
        <f t="shared" si="0"/>
        <v>2024</v>
      </c>
      <c r="D19" s="1" t="s">
        <v>12</v>
      </c>
      <c r="E19" s="144"/>
      <c r="F19" s="177">
        <v>251164.71</v>
      </c>
      <c r="G19" s="144"/>
      <c r="H19" s="144">
        <v>327896.83</v>
      </c>
    </row>
    <row r="20" spans="1:10">
      <c r="A20" s="1">
        <v>8</v>
      </c>
      <c r="C20" s="1">
        <f t="shared" si="0"/>
        <v>2024</v>
      </c>
      <c r="D20" s="1" t="s">
        <v>13</v>
      </c>
      <c r="E20" s="144"/>
      <c r="F20" s="177">
        <v>293238.09999999998</v>
      </c>
      <c r="G20" s="144"/>
      <c r="H20" s="144">
        <v>303275.46999999997</v>
      </c>
    </row>
    <row r="21" spans="1:10">
      <c r="A21" s="1">
        <v>9</v>
      </c>
      <c r="C21" s="1">
        <f t="shared" si="0"/>
        <v>2024</v>
      </c>
      <c r="D21" s="1" t="s">
        <v>2</v>
      </c>
      <c r="E21" s="144"/>
      <c r="F21" s="177">
        <v>274615.45</v>
      </c>
      <c r="G21" s="144"/>
      <c r="H21" s="144">
        <v>236156.94</v>
      </c>
    </row>
    <row r="22" spans="1:10">
      <c r="A22" s="1">
        <v>10</v>
      </c>
      <c r="C22" s="1">
        <f t="shared" si="0"/>
        <v>2024</v>
      </c>
      <c r="D22" s="1" t="s">
        <v>3</v>
      </c>
      <c r="E22" s="144"/>
      <c r="F22" s="177">
        <v>241389.96</v>
      </c>
      <c r="G22" s="144"/>
      <c r="H22" s="144">
        <v>206291.9</v>
      </c>
    </row>
    <row r="23" spans="1:10">
      <c r="A23" s="1">
        <v>11</v>
      </c>
      <c r="C23" s="1">
        <f t="shared" si="0"/>
        <v>2024</v>
      </c>
      <c r="D23" s="1" t="s">
        <v>4</v>
      </c>
      <c r="E23" s="144"/>
      <c r="F23" s="177">
        <v>263150.95</v>
      </c>
      <c r="G23" s="144"/>
      <c r="H23" s="144">
        <v>215348.57</v>
      </c>
    </row>
    <row r="24" spans="1:10">
      <c r="A24" s="1">
        <v>12</v>
      </c>
      <c r="C24" s="1">
        <f t="shared" si="0"/>
        <v>2024</v>
      </c>
      <c r="D24" s="1" t="s">
        <v>5</v>
      </c>
      <c r="E24" s="144"/>
      <c r="F24" s="177">
        <v>267613.63</v>
      </c>
      <c r="G24" s="144"/>
      <c r="H24" s="144">
        <v>364723.29</v>
      </c>
    </row>
    <row r="25" spans="1:10">
      <c r="A25" s="1">
        <v>13</v>
      </c>
      <c r="C25" s="37"/>
      <c r="D25" s="4" t="s">
        <v>14</v>
      </c>
      <c r="E25" s="147"/>
      <c r="F25" s="147">
        <f>SUM(F12:F24)</f>
        <v>3236541.4</v>
      </c>
      <c r="G25" s="147"/>
      <c r="H25" s="147">
        <f>SUM(H13:H24)</f>
        <v>3236541.4</v>
      </c>
    </row>
    <row r="26" spans="1:10">
      <c r="A26" s="1">
        <v>14</v>
      </c>
      <c r="E26" s="174"/>
      <c r="F26" s="174"/>
      <c r="G26" s="174"/>
    </row>
    <row r="27" spans="1:10">
      <c r="A27" s="1">
        <v>15</v>
      </c>
      <c r="C27" s="2" t="s">
        <v>37</v>
      </c>
      <c r="E27" s="174"/>
      <c r="F27" s="115">
        <f>F25</f>
        <v>3236541.4</v>
      </c>
      <c r="G27" s="115"/>
      <c r="H27" s="115">
        <f>H25</f>
        <v>3236541.4</v>
      </c>
    </row>
    <row r="28" spans="1:10">
      <c r="A28" s="1">
        <v>16</v>
      </c>
      <c r="E28" s="174"/>
      <c r="F28" s="115"/>
      <c r="G28" s="115"/>
    </row>
    <row r="29" spans="1:10">
      <c r="A29" s="1">
        <v>17</v>
      </c>
      <c r="C29" s="2" t="s">
        <v>38</v>
      </c>
      <c r="E29" s="144"/>
      <c r="F29" s="144">
        <v>0</v>
      </c>
      <c r="G29" s="144"/>
      <c r="H29" s="144">
        <v>0</v>
      </c>
    </row>
    <row r="30" spans="1:10">
      <c r="A30" s="1">
        <v>18</v>
      </c>
    </row>
    <row r="31" spans="1:10" ht="12.9" thickBot="1">
      <c r="A31" s="1">
        <v>19</v>
      </c>
      <c r="C31" s="3" t="s">
        <v>15</v>
      </c>
      <c r="D31" s="3"/>
      <c r="E31" s="175"/>
      <c r="F31" s="176">
        <f>ROUND(F29-F27,2)</f>
        <v>-3236541.4</v>
      </c>
      <c r="G31" s="175"/>
      <c r="H31" s="176">
        <f>ROUND(H29-H27,2)</f>
        <v>-3236541.4</v>
      </c>
      <c r="J31" s="188"/>
    </row>
    <row r="32" spans="1:10" ht="12.9" thickTop="1"/>
    <row r="34" spans="3:8" ht="29.25" customHeight="1">
      <c r="C34" s="316" t="s">
        <v>40</v>
      </c>
      <c r="D34" s="316"/>
      <c r="E34" s="316"/>
      <c r="F34" s="316"/>
      <c r="G34" s="316"/>
      <c r="H34" s="316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&amp;R&amp;"Times New Roman,Regular"Exhibit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6"/>
  <sheetViews>
    <sheetView view="pageBreakPreview" topLeftCell="A4" zoomScaleNormal="100" zoomScaleSheetLayoutView="100" workbookViewId="0">
      <selection activeCell="K31" sqref="K31"/>
    </sheetView>
  </sheetViews>
  <sheetFormatPr defaultColWidth="9.15234375" defaultRowHeight="12.45"/>
  <cols>
    <col min="1" max="1" width="5.84375" style="2" customWidth="1"/>
    <col min="2" max="2" width="2.3046875" style="2" customWidth="1"/>
    <col min="3" max="3" width="11.69140625" style="2" customWidth="1"/>
    <col min="4" max="4" width="10.84375" style="2" customWidth="1"/>
    <col min="5" max="5" width="3.53515625" style="2" customWidth="1"/>
    <col min="6" max="6" width="15.3046875" style="2" customWidth="1"/>
    <col min="7" max="7" width="3.3046875" style="2" customWidth="1"/>
    <col min="8" max="8" width="14.3828125" style="2" customWidth="1"/>
    <col min="9" max="16384" width="9.15234375" style="2"/>
  </cols>
  <sheetData>
    <row r="1" spans="1:8">
      <c r="G1" s="139"/>
      <c r="H1" s="139" t="s">
        <v>113</v>
      </c>
    </row>
    <row r="2" spans="1:8" ht="20.25" customHeight="1">
      <c r="G2" s="139"/>
      <c r="H2" s="139"/>
    </row>
    <row r="3" spans="1:8">
      <c r="G3" s="139"/>
      <c r="H3" s="139"/>
    </row>
    <row r="4" spans="1:8">
      <c r="A4" s="314" t="str">
        <f>RevReq!A1</f>
        <v>MEADE COUNTY R.E.C.C.</v>
      </c>
      <c r="B4" s="314"/>
      <c r="C4" s="314"/>
      <c r="D4" s="314"/>
      <c r="E4" s="314"/>
      <c r="F4" s="314"/>
      <c r="G4" s="314"/>
      <c r="H4" s="314"/>
    </row>
    <row r="5" spans="1:8">
      <c r="A5" s="314" t="str">
        <f>RevReq!A3</f>
        <v>For the 12 Months Ended December 31, 2024</v>
      </c>
      <c r="B5" s="314"/>
      <c r="C5" s="314"/>
      <c r="D5" s="314"/>
      <c r="E5" s="314"/>
      <c r="F5" s="314"/>
      <c r="G5" s="314"/>
      <c r="H5" s="314"/>
    </row>
    <row r="7" spans="1:8" s="140" customFormat="1" ht="15" customHeight="1">
      <c r="A7" s="315" t="s">
        <v>250</v>
      </c>
      <c r="B7" s="315"/>
      <c r="C7" s="315"/>
      <c r="D7" s="315"/>
      <c r="E7" s="315"/>
      <c r="F7" s="315"/>
      <c r="G7" s="315"/>
      <c r="H7" s="315"/>
    </row>
    <row r="9" spans="1:8">
      <c r="A9" s="1" t="s">
        <v>0</v>
      </c>
      <c r="C9" s="1" t="s">
        <v>16</v>
      </c>
      <c r="D9" s="1" t="s">
        <v>17</v>
      </c>
      <c r="E9" s="1"/>
      <c r="F9" s="1" t="s">
        <v>23</v>
      </c>
      <c r="G9" s="1"/>
      <c r="H9" s="1" t="s">
        <v>24</v>
      </c>
    </row>
    <row r="10" spans="1:8">
      <c r="A10" s="32" t="s">
        <v>21</v>
      </c>
      <c r="C10" s="173" t="s">
        <v>18</v>
      </c>
      <c r="D10" s="173" t="s">
        <v>20</v>
      </c>
      <c r="E10" s="1"/>
      <c r="F10" s="173" t="s">
        <v>19</v>
      </c>
      <c r="G10" s="173"/>
      <c r="H10" s="173" t="s">
        <v>25</v>
      </c>
    </row>
    <row r="11" spans="1:8">
      <c r="A11" s="1"/>
    </row>
    <row r="12" spans="1:8">
      <c r="A12" s="1"/>
      <c r="C12" s="2" t="s">
        <v>429</v>
      </c>
      <c r="F12" s="144">
        <f>37642.0899999994*1</f>
        <v>37642.0899999994</v>
      </c>
    </row>
    <row r="13" spans="1:8">
      <c r="A13" s="1">
        <v>1</v>
      </c>
      <c r="C13" s="1">
        <v>2024</v>
      </c>
      <c r="D13" s="1" t="s">
        <v>6</v>
      </c>
      <c r="E13" s="144"/>
      <c r="F13" s="144">
        <v>-171108</v>
      </c>
      <c r="G13" s="144"/>
      <c r="H13" s="144">
        <v>-150592.04</v>
      </c>
    </row>
    <row r="14" spans="1:8">
      <c r="A14" s="1">
        <v>2</v>
      </c>
      <c r="C14" s="1">
        <f>C13</f>
        <v>2024</v>
      </c>
      <c r="D14" s="1" t="s">
        <v>7</v>
      </c>
      <c r="E14" s="144"/>
      <c r="F14" s="144">
        <v>-80948.289999999994</v>
      </c>
      <c r="G14" s="144"/>
      <c r="H14" s="144">
        <v>-156047.42000000001</v>
      </c>
    </row>
    <row r="15" spans="1:8">
      <c r="A15" s="1">
        <v>3</v>
      </c>
      <c r="C15" s="1">
        <f t="shared" ref="C15:C24" si="0">C14</f>
        <v>2024</v>
      </c>
      <c r="D15" s="1" t="s">
        <v>8</v>
      </c>
      <c r="E15" s="144"/>
      <c r="F15" s="144">
        <v>-164758.51</v>
      </c>
      <c r="G15" s="144"/>
      <c r="H15" s="144">
        <v>-151892.32</v>
      </c>
    </row>
    <row r="16" spans="1:8">
      <c r="A16" s="1">
        <v>4</v>
      </c>
      <c r="C16" s="1">
        <f t="shared" si="0"/>
        <v>2024</v>
      </c>
      <c r="D16" s="1" t="s">
        <v>9</v>
      </c>
      <c r="E16" s="144"/>
      <c r="F16" s="144">
        <v>-159175.37</v>
      </c>
      <c r="G16" s="144"/>
      <c r="H16" s="144">
        <v>-146730.68</v>
      </c>
    </row>
    <row r="17" spans="1:8">
      <c r="A17" s="1">
        <v>5</v>
      </c>
      <c r="C17" s="1">
        <f t="shared" si="0"/>
        <v>2024</v>
      </c>
      <c r="D17" s="1" t="s">
        <v>10</v>
      </c>
      <c r="E17" s="144"/>
      <c r="F17" s="144">
        <v>-171931.76</v>
      </c>
      <c r="G17" s="144"/>
      <c r="H17" s="144">
        <v>-137809.26999999999</v>
      </c>
    </row>
    <row r="18" spans="1:8">
      <c r="A18" s="1">
        <v>6</v>
      </c>
      <c r="C18" s="1">
        <f t="shared" si="0"/>
        <v>2024</v>
      </c>
      <c r="D18" s="1" t="s">
        <v>11</v>
      </c>
      <c r="E18" s="144"/>
      <c r="F18" s="144">
        <v>-155654.20000000001</v>
      </c>
      <c r="G18" s="144"/>
      <c r="H18" s="144">
        <v>-129112.97</v>
      </c>
    </row>
    <row r="19" spans="1:8">
      <c r="A19" s="1">
        <v>7</v>
      </c>
      <c r="C19" s="1">
        <f t="shared" si="0"/>
        <v>2024</v>
      </c>
      <c r="D19" s="1" t="s">
        <v>12</v>
      </c>
      <c r="E19" s="144"/>
      <c r="F19" s="144">
        <v>-115127.55</v>
      </c>
      <c r="G19" s="144"/>
      <c r="H19" s="144">
        <v>-129242.67</v>
      </c>
    </row>
    <row r="20" spans="1:8">
      <c r="A20" s="1">
        <v>8</v>
      </c>
      <c r="C20" s="1">
        <f t="shared" si="0"/>
        <v>2024</v>
      </c>
      <c r="D20" s="1" t="s">
        <v>13</v>
      </c>
      <c r="E20" s="144"/>
      <c r="F20" s="144">
        <v>-114076.08</v>
      </c>
      <c r="G20" s="144"/>
      <c r="H20" s="144">
        <v>-130403.24</v>
      </c>
    </row>
    <row r="21" spans="1:8">
      <c r="A21" s="1">
        <v>9</v>
      </c>
      <c r="C21" s="1">
        <f t="shared" si="0"/>
        <v>2024</v>
      </c>
      <c r="D21" s="1" t="s">
        <v>2</v>
      </c>
      <c r="E21" s="144"/>
      <c r="F21" s="144">
        <v>-117710.12</v>
      </c>
      <c r="G21" s="144"/>
      <c r="H21" s="144">
        <v>-129276.61</v>
      </c>
    </row>
    <row r="22" spans="1:8">
      <c r="A22" s="1">
        <v>10</v>
      </c>
      <c r="C22" s="1">
        <f t="shared" si="0"/>
        <v>2024</v>
      </c>
      <c r="D22" s="1" t="s">
        <v>3</v>
      </c>
      <c r="E22" s="144"/>
      <c r="F22" s="144">
        <v>-128067.75</v>
      </c>
      <c r="G22" s="144"/>
      <c r="H22" s="144">
        <v>-128556.09</v>
      </c>
    </row>
    <row r="23" spans="1:8">
      <c r="A23" s="1">
        <v>11</v>
      </c>
      <c r="C23" s="1">
        <f t="shared" si="0"/>
        <v>2024</v>
      </c>
      <c r="D23" s="1" t="s">
        <v>4</v>
      </c>
      <c r="E23" s="144"/>
      <c r="F23" s="144">
        <v>-160564.66</v>
      </c>
      <c r="G23" s="144"/>
      <c r="H23" s="144">
        <v>-133786.34</v>
      </c>
    </row>
    <row r="24" spans="1:8">
      <c r="A24" s="1">
        <v>12</v>
      </c>
      <c r="C24" s="1">
        <f t="shared" si="0"/>
        <v>2024</v>
      </c>
      <c r="D24" s="1" t="s">
        <v>5</v>
      </c>
      <c r="E24" s="144"/>
      <c r="F24" s="144">
        <v>-166604.21</v>
      </c>
      <c r="G24" s="144"/>
      <c r="H24" s="144">
        <v>-144634.76</v>
      </c>
    </row>
    <row r="25" spans="1:8">
      <c r="A25" s="1">
        <v>13</v>
      </c>
      <c r="C25" s="37"/>
      <c r="D25" s="4" t="s">
        <v>14</v>
      </c>
      <c r="E25" s="147"/>
      <c r="F25" s="147">
        <f>SUM(F12:F24)</f>
        <v>-1668084.4100000004</v>
      </c>
      <c r="G25" s="147"/>
      <c r="H25" s="147">
        <f>SUM(H13:H24)</f>
        <v>-1668084.4100000004</v>
      </c>
    </row>
    <row r="26" spans="1:8">
      <c r="A26" s="1">
        <v>14</v>
      </c>
      <c r="E26" s="174"/>
      <c r="F26" s="174"/>
      <c r="G26" s="174"/>
    </row>
    <row r="27" spans="1:8">
      <c r="A27" s="1">
        <v>15</v>
      </c>
      <c r="C27" s="2" t="s">
        <v>37</v>
      </c>
      <c r="E27" s="174"/>
      <c r="F27" s="115">
        <f>F25</f>
        <v>-1668084.4100000004</v>
      </c>
      <c r="G27" s="115"/>
      <c r="H27" s="115">
        <f>H25</f>
        <v>-1668084.4100000004</v>
      </c>
    </row>
    <row r="28" spans="1:8">
      <c r="A28" s="1">
        <v>16</v>
      </c>
      <c r="E28" s="174"/>
      <c r="F28" s="115"/>
      <c r="G28" s="115"/>
    </row>
    <row r="29" spans="1:8">
      <c r="A29" s="1">
        <v>17</v>
      </c>
      <c r="C29" s="2" t="s">
        <v>38</v>
      </c>
      <c r="E29" s="144"/>
      <c r="F29" s="144">
        <v>0</v>
      </c>
      <c r="G29" s="144"/>
      <c r="H29" s="144">
        <v>0</v>
      </c>
    </row>
    <row r="30" spans="1:8">
      <c r="A30" s="1">
        <v>18</v>
      </c>
    </row>
    <row r="31" spans="1:8" ht="12.9" thickBot="1">
      <c r="A31" s="1">
        <v>19</v>
      </c>
      <c r="C31" s="3" t="s">
        <v>15</v>
      </c>
      <c r="D31" s="3"/>
      <c r="E31" s="175"/>
      <c r="F31" s="176">
        <f>ROUND(F29-F27,2)</f>
        <v>1668084.41</v>
      </c>
      <c r="G31" s="175"/>
      <c r="H31" s="176">
        <f>ROUND(H29-H27,2)</f>
        <v>1668084.41</v>
      </c>
    </row>
    <row r="32" spans="1:8" ht="12.9" thickTop="1"/>
    <row r="34" spans="3:8" ht="29.25" customHeight="1">
      <c r="C34" s="316" t="s">
        <v>335</v>
      </c>
      <c r="D34" s="316"/>
      <c r="E34" s="316"/>
      <c r="F34" s="316"/>
      <c r="G34" s="316"/>
      <c r="H34" s="316"/>
    </row>
    <row r="36" spans="3:8" ht="15.45">
      <c r="F36" s="262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&amp;R&amp;"Times New Roman,Regular"Exhibit JW-2
Page &amp;P of &amp;N</oddFooter>
  </headerFooter>
  <ignoredErrors>
    <ignoredError sqref="C10:H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4"/>
  <sheetViews>
    <sheetView view="pageBreakPreview" topLeftCell="A9" zoomScaleNormal="100" zoomScaleSheetLayoutView="100" workbookViewId="0">
      <selection activeCell="K27" sqref="K27:L27"/>
    </sheetView>
  </sheetViews>
  <sheetFormatPr defaultColWidth="9.15234375" defaultRowHeight="12.45"/>
  <cols>
    <col min="1" max="1" width="5.84375" style="2" customWidth="1"/>
    <col min="2" max="2" width="2.3046875" style="2" customWidth="1"/>
    <col min="3" max="3" width="11.69140625" style="2" customWidth="1"/>
    <col min="4" max="4" width="10.84375" style="2" customWidth="1"/>
    <col min="5" max="5" width="4.15234375" style="2" customWidth="1"/>
    <col min="6" max="6" width="15.3046875" style="2" customWidth="1"/>
    <col min="7" max="7" width="3.3046875" style="2" customWidth="1"/>
    <col min="8" max="8" width="14.3828125" style="2" customWidth="1"/>
    <col min="9" max="16384" width="9.15234375" style="2"/>
  </cols>
  <sheetData>
    <row r="1" spans="1:8">
      <c r="G1" s="139"/>
      <c r="H1" s="139" t="s">
        <v>112</v>
      </c>
    </row>
    <row r="2" spans="1:8" ht="20.25" customHeight="1">
      <c r="G2" s="139"/>
      <c r="H2" s="139"/>
    </row>
    <row r="3" spans="1:8">
      <c r="G3" s="139"/>
      <c r="H3" s="139"/>
    </row>
    <row r="4" spans="1:8">
      <c r="A4" s="314" t="str">
        <f>RevReq!A1</f>
        <v>MEADE COUNTY R.E.C.C.</v>
      </c>
      <c r="B4" s="314"/>
      <c r="C4" s="314"/>
      <c r="D4" s="314"/>
      <c r="E4" s="314"/>
      <c r="F4" s="314"/>
      <c r="G4" s="314"/>
      <c r="H4" s="314"/>
    </row>
    <row r="5" spans="1:8">
      <c r="A5" s="314" t="str">
        <f>RevReq!A3</f>
        <v>For the 12 Months Ended December 31, 2024</v>
      </c>
      <c r="B5" s="314"/>
      <c r="C5" s="314"/>
      <c r="D5" s="314"/>
      <c r="E5" s="314"/>
      <c r="F5" s="314"/>
      <c r="G5" s="314"/>
      <c r="H5" s="314"/>
    </row>
    <row r="7" spans="1:8" s="140" customFormat="1" ht="15" customHeight="1">
      <c r="A7" s="315" t="s">
        <v>249</v>
      </c>
      <c r="B7" s="315"/>
      <c r="C7" s="315"/>
      <c r="D7" s="315"/>
      <c r="E7" s="315"/>
      <c r="F7" s="315"/>
      <c r="G7" s="315"/>
      <c r="H7" s="315"/>
    </row>
    <row r="9" spans="1:8">
      <c r="A9" s="1" t="s">
        <v>0</v>
      </c>
      <c r="C9" s="1" t="s">
        <v>16</v>
      </c>
      <c r="D9" s="1" t="s">
        <v>17</v>
      </c>
      <c r="E9" s="1"/>
      <c r="F9" s="1" t="s">
        <v>23</v>
      </c>
      <c r="G9" s="1"/>
      <c r="H9" s="1" t="s">
        <v>24</v>
      </c>
    </row>
    <row r="10" spans="1:8">
      <c r="A10" s="32" t="s">
        <v>21</v>
      </c>
      <c r="C10" s="173" t="s">
        <v>18</v>
      </c>
      <c r="D10" s="173" t="s">
        <v>20</v>
      </c>
      <c r="E10" s="1"/>
      <c r="F10" s="173" t="s">
        <v>19</v>
      </c>
      <c r="G10" s="173"/>
      <c r="H10" s="173" t="s">
        <v>25</v>
      </c>
    </row>
    <row r="11" spans="1:8">
      <c r="A11" s="1"/>
    </row>
    <row r="12" spans="1:8">
      <c r="A12" s="1"/>
      <c r="C12" s="2" t="s">
        <v>429</v>
      </c>
      <c r="F12" s="144">
        <f>16790.3199999998*1</f>
        <v>16790.3199999998</v>
      </c>
    </row>
    <row r="13" spans="1:8">
      <c r="A13" s="1">
        <v>1</v>
      </c>
      <c r="C13" s="1">
        <v>2024</v>
      </c>
      <c r="D13" s="1" t="s">
        <v>6</v>
      </c>
      <c r="E13" s="144"/>
      <c r="F13" s="144">
        <v>300659.09999999998</v>
      </c>
      <c r="G13" s="144"/>
      <c r="H13" s="144">
        <v>388014.51</v>
      </c>
    </row>
    <row r="14" spans="1:8">
      <c r="A14" s="1">
        <v>2</v>
      </c>
      <c r="C14" s="1">
        <f>C13</f>
        <v>2024</v>
      </c>
      <c r="D14" s="1" t="s">
        <v>7</v>
      </c>
      <c r="E14" s="144"/>
      <c r="F14" s="144">
        <v>229194.75</v>
      </c>
      <c r="G14" s="144"/>
      <c r="H14" s="144">
        <v>257976.78</v>
      </c>
    </row>
    <row r="15" spans="1:8">
      <c r="A15" s="1">
        <v>3</v>
      </c>
      <c r="C15" s="1">
        <f t="shared" ref="C15:C24" si="0">C14</f>
        <v>2024</v>
      </c>
      <c r="D15" s="1" t="s">
        <v>8</v>
      </c>
      <c r="E15" s="144"/>
      <c r="F15" s="144">
        <v>307051.18</v>
      </c>
      <c r="G15" s="144"/>
      <c r="H15" s="144">
        <v>230585.16</v>
      </c>
    </row>
    <row r="16" spans="1:8">
      <c r="A16" s="1">
        <v>4</v>
      </c>
      <c r="C16" s="1">
        <f t="shared" si="0"/>
        <v>2024</v>
      </c>
      <c r="D16" s="1" t="s">
        <v>9</v>
      </c>
      <c r="E16" s="144"/>
      <c r="F16" s="144">
        <v>249472.42</v>
      </c>
      <c r="G16" s="144"/>
      <c r="H16" s="144">
        <v>198922.86</v>
      </c>
    </row>
    <row r="17" spans="1:8">
      <c r="A17" s="1">
        <v>5</v>
      </c>
      <c r="C17" s="1">
        <f t="shared" si="0"/>
        <v>2024</v>
      </c>
      <c r="D17" s="1" t="s">
        <v>10</v>
      </c>
      <c r="E17" s="144"/>
      <c r="F17" s="144">
        <v>237053.31</v>
      </c>
      <c r="G17" s="144"/>
      <c r="H17" s="144">
        <v>215531.45</v>
      </c>
    </row>
    <row r="18" spans="1:8">
      <c r="A18" s="1">
        <v>6</v>
      </c>
      <c r="C18" s="1">
        <f t="shared" si="0"/>
        <v>2024</v>
      </c>
      <c r="D18" s="1" t="s">
        <v>11</v>
      </c>
      <c r="E18" s="144"/>
      <c r="F18" s="144">
        <v>245044.25</v>
      </c>
      <c r="G18" s="144"/>
      <c r="H18" s="144">
        <v>261816.82</v>
      </c>
    </row>
    <row r="19" spans="1:8">
      <c r="A19" s="1">
        <v>7</v>
      </c>
      <c r="C19" s="1">
        <f t="shared" si="0"/>
        <v>2024</v>
      </c>
      <c r="D19" s="1" t="s">
        <v>12</v>
      </c>
      <c r="E19" s="144"/>
      <c r="F19" s="144">
        <v>246063.91</v>
      </c>
      <c r="G19" s="144"/>
      <c r="H19" s="144">
        <v>291377.39</v>
      </c>
    </row>
    <row r="20" spans="1:8">
      <c r="A20" s="1">
        <v>8</v>
      </c>
      <c r="C20" s="1">
        <f t="shared" si="0"/>
        <v>2024</v>
      </c>
      <c r="D20" s="1" t="s">
        <v>13</v>
      </c>
      <c r="E20" s="144"/>
      <c r="F20" s="144">
        <v>258439.61</v>
      </c>
      <c r="G20" s="144"/>
      <c r="H20" s="144">
        <v>284300.15999999997</v>
      </c>
    </row>
    <row r="21" spans="1:8">
      <c r="A21" s="1">
        <v>9</v>
      </c>
      <c r="C21" s="1">
        <f t="shared" si="0"/>
        <v>2024</v>
      </c>
      <c r="D21" s="1" t="s">
        <v>2</v>
      </c>
      <c r="E21" s="144"/>
      <c r="F21" s="144">
        <v>256921.95</v>
      </c>
      <c r="G21" s="144"/>
      <c r="H21" s="144">
        <v>245300.42</v>
      </c>
    </row>
    <row r="22" spans="1:8">
      <c r="A22" s="1">
        <v>10</v>
      </c>
      <c r="C22" s="1">
        <f t="shared" si="0"/>
        <v>2024</v>
      </c>
      <c r="D22" s="1" t="s">
        <v>3</v>
      </c>
      <c r="E22" s="144"/>
      <c r="F22" s="144">
        <v>247204.81</v>
      </c>
      <c r="G22" s="144"/>
      <c r="H22" s="144">
        <v>216838.19</v>
      </c>
    </row>
    <row r="23" spans="1:8">
      <c r="A23" s="1">
        <v>11</v>
      </c>
      <c r="C23" s="1">
        <f t="shared" si="0"/>
        <v>2024</v>
      </c>
      <c r="D23" s="1" t="s">
        <v>4</v>
      </c>
      <c r="E23" s="144"/>
      <c r="F23" s="144">
        <v>275606.93</v>
      </c>
      <c r="G23" s="144"/>
      <c r="H23" s="144">
        <v>242320.07</v>
      </c>
    </row>
    <row r="24" spans="1:8">
      <c r="A24" s="1">
        <v>12</v>
      </c>
      <c r="C24" s="1">
        <f t="shared" si="0"/>
        <v>2024</v>
      </c>
      <c r="D24" s="1" t="s">
        <v>5</v>
      </c>
      <c r="E24" s="144"/>
      <c r="F24" s="144">
        <v>303625.59999999998</v>
      </c>
      <c r="G24" s="144"/>
      <c r="H24" s="144">
        <v>340144.33</v>
      </c>
    </row>
    <row r="25" spans="1:8">
      <c r="A25" s="1">
        <v>13</v>
      </c>
      <c r="C25" s="37"/>
      <c r="D25" s="4" t="s">
        <v>14</v>
      </c>
      <c r="E25" s="147"/>
      <c r="F25" s="147">
        <f>SUM(F12:F24)</f>
        <v>3173128.14</v>
      </c>
      <c r="G25" s="147"/>
      <c r="H25" s="147">
        <f>SUM(H13:H24)</f>
        <v>3173128.14</v>
      </c>
    </row>
    <row r="26" spans="1:8">
      <c r="A26" s="1">
        <v>14</v>
      </c>
      <c r="E26" s="174"/>
      <c r="F26" s="174"/>
      <c r="G26" s="174"/>
    </row>
    <row r="27" spans="1:8">
      <c r="A27" s="1">
        <v>15</v>
      </c>
      <c r="C27" s="2" t="s">
        <v>37</v>
      </c>
      <c r="E27" s="174"/>
      <c r="F27" s="115">
        <f>F25</f>
        <v>3173128.14</v>
      </c>
      <c r="G27" s="115"/>
      <c r="H27" s="115">
        <f>H25</f>
        <v>3173128.14</v>
      </c>
    </row>
    <row r="28" spans="1:8">
      <c r="A28" s="1">
        <v>16</v>
      </c>
      <c r="E28" s="174"/>
      <c r="F28" s="115"/>
      <c r="G28" s="115"/>
    </row>
    <row r="29" spans="1:8">
      <c r="A29" s="1">
        <v>17</v>
      </c>
      <c r="C29" s="2" t="s">
        <v>38</v>
      </c>
      <c r="E29" s="144"/>
      <c r="F29" s="144">
        <v>0</v>
      </c>
      <c r="G29" s="144"/>
      <c r="H29" s="144">
        <v>0</v>
      </c>
    </row>
    <row r="30" spans="1:8">
      <c r="A30" s="1">
        <v>18</v>
      </c>
    </row>
    <row r="31" spans="1:8" ht="12.9" thickBot="1">
      <c r="A31" s="1">
        <v>19</v>
      </c>
      <c r="C31" s="3" t="s">
        <v>15</v>
      </c>
      <c r="D31" s="3"/>
      <c r="E31" s="175"/>
      <c r="F31" s="176">
        <f>ROUND(F29-F27,2)</f>
        <v>-3173128.14</v>
      </c>
      <c r="G31" s="175"/>
      <c r="H31" s="176">
        <f>ROUND(H29-H27,2)</f>
        <v>-3173128.14</v>
      </c>
    </row>
    <row r="32" spans="1:8" ht="12.9" thickTop="1"/>
    <row r="34" spans="3:8" ht="29.25" customHeight="1">
      <c r="C34" s="316" t="s">
        <v>336</v>
      </c>
      <c r="D34" s="316"/>
      <c r="E34" s="316"/>
      <c r="F34" s="316"/>
      <c r="G34" s="316"/>
      <c r="H34" s="316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&amp;R&amp;"Times New Roman,Regular"Exhibit JW-2
Page &amp;P of &amp;N</oddFooter>
  </headerFooter>
  <ignoredErrors>
    <ignoredError sqref="C10:H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>
    <pageSetUpPr fitToPage="1"/>
  </sheetPr>
  <dimension ref="A1:E26"/>
  <sheetViews>
    <sheetView view="pageBreakPreview" zoomScaleNormal="100" zoomScaleSheetLayoutView="100" workbookViewId="0">
      <selection activeCell="L13" sqref="L13"/>
    </sheetView>
  </sheetViews>
  <sheetFormatPr defaultColWidth="9.15234375" defaultRowHeight="12.45"/>
  <cols>
    <col min="1" max="1" width="5.84375" style="9" customWidth="1"/>
    <col min="2" max="2" width="2.3046875" style="9" customWidth="1"/>
    <col min="3" max="3" width="37.69140625" style="9" bestFit="1" customWidth="1"/>
    <col min="4" max="4" width="2.3828125" style="9" customWidth="1"/>
    <col min="5" max="5" width="15.69140625" style="9" customWidth="1"/>
    <col min="6" max="16384" width="9.15234375" style="9"/>
  </cols>
  <sheetData>
    <row r="1" spans="1:5">
      <c r="E1" s="5" t="s">
        <v>111</v>
      </c>
    </row>
    <row r="2" spans="1:5" ht="20.25" customHeight="1">
      <c r="E2" s="5"/>
    </row>
    <row r="3" spans="1:5">
      <c r="A3" s="318" t="str">
        <f>RevReq!A1</f>
        <v>MEADE COUNTY R.E.C.C.</v>
      </c>
      <c r="B3" s="318"/>
      <c r="C3" s="318"/>
      <c r="D3" s="318"/>
      <c r="E3" s="318"/>
    </row>
    <row r="4" spans="1:5">
      <c r="A4" s="318" t="str">
        <f>RevReq!A3</f>
        <v>For the 12 Months Ended December 31, 2024</v>
      </c>
      <c r="B4" s="318"/>
      <c r="C4" s="318"/>
      <c r="D4" s="318"/>
      <c r="E4" s="318"/>
    </row>
    <row r="6" spans="1:5" s="6" customFormat="1" ht="15" customHeight="1">
      <c r="A6" s="315" t="s">
        <v>31</v>
      </c>
      <c r="B6" s="315"/>
      <c r="C6" s="315"/>
      <c r="D6" s="315"/>
      <c r="E6" s="315"/>
    </row>
    <row r="8" spans="1:5">
      <c r="A8" s="8" t="s">
        <v>0</v>
      </c>
      <c r="C8" s="8" t="s">
        <v>41</v>
      </c>
      <c r="D8" s="8"/>
      <c r="E8" s="8" t="s">
        <v>24</v>
      </c>
    </row>
    <row r="9" spans="1:5">
      <c r="A9" s="10" t="s">
        <v>21</v>
      </c>
      <c r="C9" s="11" t="s">
        <v>18</v>
      </c>
      <c r="D9" s="11"/>
      <c r="E9" s="11" t="s">
        <v>20</v>
      </c>
    </row>
    <row r="10" spans="1:5">
      <c r="A10" s="8"/>
    </row>
    <row r="11" spans="1:5">
      <c r="A11" s="8">
        <v>1</v>
      </c>
      <c r="C11" s="13" t="s">
        <v>338</v>
      </c>
      <c r="E11" s="177">
        <v>70000</v>
      </c>
    </row>
    <row r="12" spans="1:5">
      <c r="A12" s="8">
        <f>A11+1</f>
        <v>2</v>
      </c>
      <c r="C12" s="13" t="s">
        <v>108</v>
      </c>
      <c r="E12" s="177">
        <v>45000</v>
      </c>
    </row>
    <row r="13" spans="1:5">
      <c r="A13" s="8">
        <f t="shared" ref="A13:A23" si="0">A12+1</f>
        <v>3</v>
      </c>
      <c r="C13" s="14" t="s">
        <v>22</v>
      </c>
      <c r="D13" s="4"/>
      <c r="E13" s="27">
        <f>SUM(E11:E12)</f>
        <v>115000</v>
      </c>
    </row>
    <row r="14" spans="1:5">
      <c r="A14" s="8">
        <f t="shared" si="0"/>
        <v>4</v>
      </c>
      <c r="D14" s="2"/>
    </row>
    <row r="15" spans="1:5">
      <c r="A15" s="8">
        <f t="shared" si="0"/>
        <v>5</v>
      </c>
      <c r="C15" s="2" t="s">
        <v>42</v>
      </c>
      <c r="D15" s="2"/>
      <c r="E15" s="15">
        <f>E13</f>
        <v>115000</v>
      </c>
    </row>
    <row r="16" spans="1:5">
      <c r="A16" s="8">
        <f t="shared" si="0"/>
        <v>6</v>
      </c>
      <c r="C16" s="2" t="s">
        <v>43</v>
      </c>
      <c r="D16" s="2"/>
      <c r="E16" s="15">
        <v>3</v>
      </c>
    </row>
    <row r="17" spans="1:5">
      <c r="A17" s="8">
        <f t="shared" si="0"/>
        <v>7</v>
      </c>
      <c r="C17" s="2" t="s">
        <v>45</v>
      </c>
      <c r="D17" s="2"/>
      <c r="E17" s="15">
        <f>E15/E16</f>
        <v>38333.333333333336</v>
      </c>
    </row>
    <row r="18" spans="1:5">
      <c r="A18" s="8">
        <f t="shared" si="0"/>
        <v>8</v>
      </c>
      <c r="C18" s="2"/>
      <c r="D18" s="2"/>
      <c r="E18" s="15"/>
    </row>
    <row r="19" spans="1:5">
      <c r="A19" s="8">
        <f t="shared" si="0"/>
        <v>9</v>
      </c>
      <c r="C19" s="2" t="s">
        <v>37</v>
      </c>
      <c r="D19" s="2"/>
      <c r="E19" s="15">
        <v>0</v>
      </c>
    </row>
    <row r="20" spans="1:5">
      <c r="A20" s="8">
        <f t="shared" si="0"/>
        <v>10</v>
      </c>
      <c r="C20" s="2"/>
      <c r="D20" s="2"/>
    </row>
    <row r="21" spans="1:5">
      <c r="A21" s="8">
        <f t="shared" si="0"/>
        <v>11</v>
      </c>
      <c r="C21" s="2" t="s">
        <v>38</v>
      </c>
      <c r="E21" s="12">
        <f>E17</f>
        <v>38333.333333333336</v>
      </c>
    </row>
    <row r="22" spans="1:5">
      <c r="A22" s="8">
        <f t="shared" si="0"/>
        <v>12</v>
      </c>
      <c r="C22" s="2"/>
    </row>
    <row r="23" spans="1:5" ht="12.9" thickBot="1">
      <c r="A23" s="8">
        <f t="shared" si="0"/>
        <v>13</v>
      </c>
      <c r="C23" s="3" t="s">
        <v>15</v>
      </c>
      <c r="D23" s="16"/>
      <c r="E23" s="17">
        <f>ROUND(E21-E19,2)</f>
        <v>38333.33</v>
      </c>
    </row>
    <row r="24" spans="1:5" ht="12.9" thickTop="1"/>
    <row r="26" spans="1:5" ht="30" customHeight="1">
      <c r="C26" s="317" t="s">
        <v>46</v>
      </c>
      <c r="D26" s="317"/>
      <c r="E26" s="317"/>
    </row>
  </sheetData>
  <mergeCells count="4">
    <mergeCell ref="C26:E26"/>
    <mergeCell ref="A3:E3"/>
    <mergeCell ref="A4:E4"/>
    <mergeCell ref="A6:E6"/>
  </mergeCells>
  <printOptions horizontalCentered="1"/>
  <pageMargins left="1" right="0.75" top="0.75" bottom="0.5" header="0.5" footer="0.5"/>
  <pageSetup orientation="portrait" r:id="rId1"/>
  <headerFooter alignWithMargins="0">
    <oddFooter>&amp;R&amp;"Times New Roman,Regular"Exhibit JW-2
Page &amp;P of &amp;N</oddFooter>
  </headerFooter>
  <ignoredErrors>
    <ignoredError sqref="C9: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21</vt:i4>
      </vt:variant>
    </vt:vector>
  </HeadingPairs>
  <TitlesOfParts>
    <vt:vector size="39" baseType="lpstr">
      <vt:lpstr>RevReq</vt:lpstr>
      <vt:lpstr>Adj List</vt:lpstr>
      <vt:lpstr>Adj BS</vt:lpstr>
      <vt:lpstr>Adj IS</vt:lpstr>
      <vt:lpstr>1.01 FAC</vt:lpstr>
      <vt:lpstr>1.02 ES</vt:lpstr>
      <vt:lpstr>1.03 MRSM</vt:lpstr>
      <vt:lpstr>1.04 NFPPA</vt:lpstr>
      <vt:lpstr>1.05 RC</vt:lpstr>
      <vt:lpstr>1.06 CUST</vt:lpstr>
      <vt:lpstr>1.07 Depr</vt:lpstr>
      <vt:lpstr>1.08 DonaAdsDues</vt:lpstr>
      <vt:lpstr>1.09 Dir</vt:lpstr>
      <vt:lpstr>1.10 Life Ins</vt:lpstr>
      <vt:lpstr>1.11 401K</vt:lpstr>
      <vt:lpstr>1.12 Health</vt:lpstr>
      <vt:lpstr>1.13 Labor</vt:lpstr>
      <vt:lpstr>1.14 Interest</vt:lpstr>
      <vt:lpstr>'1.01 FAC'!Print_Area</vt:lpstr>
      <vt:lpstr>'1.02 ES'!Print_Area</vt:lpstr>
      <vt:lpstr>'1.03 MRSM'!Print_Area</vt:lpstr>
      <vt:lpstr>'1.04 NFPPA'!Print_Area</vt:lpstr>
      <vt:lpstr>'1.05 RC'!Print_Area</vt:lpstr>
      <vt:lpstr>'1.06 CUST'!Print_Area</vt:lpstr>
      <vt:lpstr>'1.07 Depr'!Print_Area</vt:lpstr>
      <vt:lpstr>'1.08 DonaAdsDues'!Print_Area</vt:lpstr>
      <vt:lpstr>'1.09 Dir'!Print_Area</vt:lpstr>
      <vt:lpstr>'1.10 Life Ins'!Print_Area</vt:lpstr>
      <vt:lpstr>'1.11 401K'!Print_Area</vt:lpstr>
      <vt:lpstr>'1.12 Health'!Print_Area</vt:lpstr>
      <vt:lpstr>'1.13 Labor'!Print_Area</vt:lpstr>
      <vt:lpstr>'Adj BS'!Print_Area</vt:lpstr>
      <vt:lpstr>'Adj IS'!Print_Area</vt:lpstr>
      <vt:lpstr>'Adj List'!Print_Area</vt:lpstr>
      <vt:lpstr>RevReq!Print_Area</vt:lpstr>
      <vt:lpstr>'1.06 CUST'!Print_Titles</vt:lpstr>
      <vt:lpstr>'1.07 Depr'!Print_Titles</vt:lpstr>
      <vt:lpstr>'1.10 Life Ins'!Print_Titles</vt:lpstr>
      <vt:lpstr>'1.12 Health'!Print_Titles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Heather Temple</cp:lastModifiedBy>
  <cp:lastPrinted>2025-07-13T15:56:41Z</cp:lastPrinted>
  <dcterms:created xsi:type="dcterms:W3CDTF">2012-11-02T18:45:21Z</dcterms:created>
  <dcterms:modified xsi:type="dcterms:W3CDTF">2025-07-14T19:16:23Z</dcterms:modified>
</cp:coreProperties>
</file>