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ac385686f0d07d2/Documents/CATALYST Consulting/Clients/Meade/2025 Rate Case 2025-00xxx/COS and Rates/"/>
    </mc:Choice>
  </mc:AlternateContent>
  <xr:revisionPtr revIDLastSave="16" documentId="8_{B7F7CA31-607F-4B75-AC7A-D94EFEF962BD}" xr6:coauthVersionLast="47" xr6:coauthVersionMax="47" xr10:uidLastSave="{61AA35EB-30B2-47B7-8A1D-2AADFA984E0A}"/>
  <bookViews>
    <workbookView xWindow="-120" yWindow="-120" windowWidth="29040" windowHeight="15720" tabRatio="741" activeTab="10" xr2:uid="{00000000-000D-0000-FFFF-FFFF00000000}"/>
  </bookViews>
  <sheets>
    <sheet name="Present and Proposed Rates" sheetId="61" r:id="rId1"/>
    <sheet name="Res-1" sheetId="60" r:id="rId2"/>
    <sheet name="Residential NonTOU" sheetId="24" state="hidden" r:id="rId3"/>
    <sheet name="Resid. - TOU" sheetId="28" state="hidden" r:id="rId4"/>
    <sheet name="SmCom-2" sheetId="62" r:id="rId5"/>
    <sheet name="3Ph-3" sheetId="63" r:id="rId6"/>
    <sheet name="3PhTOD-3A" sheetId="65" r:id="rId7"/>
    <sheet name="LgTOD-4" sheetId="66" r:id="rId8"/>
    <sheet name="YL-5" sheetId="64" r:id="rId9"/>
    <sheet name="SL-6" sheetId="43" r:id="rId10"/>
    <sheet name="Reconciliaton" sheetId="13" r:id="rId11"/>
    <sheet name="ResIncr" sheetId="68" r:id="rId12"/>
    <sheet name="NoticeTables" sheetId="69" r:id="rId13"/>
    <sheet name="BillDet" sheetId="73" state="hidden" r:id="rId14"/>
    <sheet name="BillDetLt" sheetId="74" state="hidden" r:id="rId15"/>
    <sheet name="List" sheetId="70" state="hidden" r:id="rId16"/>
  </sheets>
  <definedNames>
    <definedName name="_xlnm.Print_Area" localSheetId="5">'3Ph-3'!$A$1:$P$37</definedName>
    <definedName name="_xlnm.Print_Area" localSheetId="6">'3PhTOD-3A'!$A$1:$P$35</definedName>
    <definedName name="_xlnm.Print_Area" localSheetId="13">BillDet!$A$1:$J$70</definedName>
    <definedName name="_xlnm.Print_Area" localSheetId="7">'LgTOD-4'!$A$1:$P$38</definedName>
    <definedName name="_xlnm.Print_Area" localSheetId="12">NoticeTables!$A$1:$G$62</definedName>
    <definedName name="_xlnm.Print_Area" localSheetId="0">'Present and Proposed Rates'!$A$1:$M$47</definedName>
    <definedName name="_xlnm.Print_Area" localSheetId="10">Reconciliaton!$A$1:$G$16</definedName>
    <definedName name="_xlnm.Print_Area" localSheetId="1">'Res-1'!$A$1:$P$32</definedName>
    <definedName name="_xlnm.Print_Area" localSheetId="3">'Resid. - TOU'!$A$1:$H$35</definedName>
    <definedName name="_xlnm.Print_Area" localSheetId="2">'Residential NonTOU'!$A$1:$W$28</definedName>
    <definedName name="_xlnm.Print_Area" localSheetId="9">'SL-6'!$A$1:$R$32</definedName>
    <definedName name="_xlnm.Print_Area" localSheetId="4">'SmCom-2'!$A$1:$P$32</definedName>
    <definedName name="_xlnm.Print_Area" localSheetId="8">'YL-5'!$A$1:$R$29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0" i="61" l="1"/>
  <c r="E49" i="61"/>
  <c r="F14" i="61"/>
  <c r="F12" i="69" s="1"/>
  <c r="C56" i="69"/>
  <c r="C57" i="69"/>
  <c r="C58" i="69"/>
  <c r="C59" i="69"/>
  <c r="C60" i="69"/>
  <c r="C61" i="69"/>
  <c r="C55" i="69"/>
  <c r="C44" i="69"/>
  <c r="C45" i="69"/>
  <c r="C46" i="69"/>
  <c r="C47" i="69"/>
  <c r="C48" i="69"/>
  <c r="C49" i="69"/>
  <c r="C43" i="69"/>
  <c r="B34" i="69"/>
  <c r="B29" i="69"/>
  <c r="B23" i="69"/>
  <c r="B19" i="69"/>
  <c r="B13" i="69"/>
  <c r="B10" i="69"/>
  <c r="B7" i="69"/>
  <c r="C34" i="69"/>
  <c r="C29" i="69"/>
  <c r="C23" i="69"/>
  <c r="C19" i="69"/>
  <c r="C13" i="69"/>
  <c r="C10" i="69"/>
  <c r="C7" i="69"/>
  <c r="A38" i="61"/>
  <c r="A32" i="61"/>
  <c r="A26" i="61"/>
  <c r="A22" i="61"/>
  <c r="A16" i="61"/>
  <c r="A13" i="61"/>
  <c r="A10" i="61"/>
  <c r="E12" i="69"/>
  <c r="E9" i="69"/>
  <c r="E11" i="69"/>
  <c r="I11" i="69" s="1"/>
  <c r="E14" i="69"/>
  <c r="I14" i="69" s="1"/>
  <c r="E15" i="69"/>
  <c r="I15" i="69" s="1"/>
  <c r="E16" i="69"/>
  <c r="I16" i="69" s="1"/>
  <c r="E17" i="69"/>
  <c r="E18" i="69"/>
  <c r="E20" i="69"/>
  <c r="I20" i="69" s="1"/>
  <c r="E21" i="69"/>
  <c r="E22" i="69"/>
  <c r="E24" i="69"/>
  <c r="E25" i="69"/>
  <c r="E26" i="69"/>
  <c r="E27" i="69"/>
  <c r="E28" i="69"/>
  <c r="E30" i="69"/>
  <c r="E31" i="69"/>
  <c r="E32" i="69"/>
  <c r="E33" i="69"/>
  <c r="E35" i="69"/>
  <c r="E36" i="69"/>
  <c r="E8" i="69"/>
  <c r="I8" i="69" s="1"/>
  <c r="D8" i="69"/>
  <c r="D9" i="69"/>
  <c r="D11" i="69"/>
  <c r="D12" i="69"/>
  <c r="D14" i="69"/>
  <c r="D15" i="69"/>
  <c r="D16" i="69"/>
  <c r="D17" i="69"/>
  <c r="D18" i="69"/>
  <c r="D20" i="69"/>
  <c r="D21" i="69"/>
  <c r="D22" i="69"/>
  <c r="D24" i="69"/>
  <c r="D25" i="69"/>
  <c r="D26" i="69"/>
  <c r="D27" i="69"/>
  <c r="D28" i="69"/>
  <c r="D30" i="69"/>
  <c r="D31" i="69"/>
  <c r="D32" i="69"/>
  <c r="D33" i="69"/>
  <c r="D35" i="69"/>
  <c r="D36" i="69"/>
  <c r="H12" i="69" l="1"/>
  <c r="R23" i="43"/>
  <c r="R22" i="43"/>
  <c r="R21" i="43"/>
  <c r="R20" i="43"/>
  <c r="P30" i="66"/>
  <c r="P29" i="66"/>
  <c r="P28" i="66"/>
  <c r="P27" i="66"/>
  <c r="P26" i="65"/>
  <c r="P25" i="65"/>
  <c r="P24" i="65"/>
  <c r="P23" i="65"/>
  <c r="P26" i="63"/>
  <c r="P27" i="63"/>
  <c r="P28" i="63"/>
  <c r="P29" i="63"/>
  <c r="P55" i="62"/>
  <c r="P49" i="62"/>
  <c r="P23" i="62"/>
  <c r="P22" i="62"/>
  <c r="P21" i="62"/>
  <c r="P20" i="62"/>
  <c r="P23" i="60"/>
  <c r="P22" i="60"/>
  <c r="P21" i="60"/>
  <c r="P20" i="60"/>
  <c r="F10" i="61" l="1"/>
  <c r="F8" i="69" l="1"/>
  <c r="J8" i="69" s="1"/>
  <c r="F49" i="61"/>
  <c r="Q21" i="43"/>
  <c r="Q22" i="43"/>
  <c r="Q23" i="43"/>
  <c r="Q20" i="43"/>
  <c r="K23" i="43"/>
  <c r="K22" i="43"/>
  <c r="K21" i="43"/>
  <c r="K20" i="43"/>
  <c r="H8" i="69" l="1"/>
  <c r="I41" i="61"/>
  <c r="D14" i="13" s="1"/>
  <c r="M41" i="61"/>
  <c r="L41" i="61"/>
  <c r="K41" i="61"/>
  <c r="D15" i="13" l="1"/>
  <c r="E14" i="13"/>
  <c r="J41" i="61"/>
  <c r="F68" i="73" l="1"/>
  <c r="I67" i="73"/>
  <c r="H67" i="73"/>
  <c r="F67" i="73"/>
  <c r="E67" i="73"/>
  <c r="D67" i="73"/>
  <c r="C67" i="73"/>
  <c r="B67" i="73"/>
  <c r="J28" i="66"/>
  <c r="J29" i="66"/>
  <c r="J30" i="66"/>
  <c r="J27" i="66"/>
  <c r="J24" i="65"/>
  <c r="J25" i="65"/>
  <c r="J26" i="65"/>
  <c r="J23" i="65"/>
  <c r="J27" i="63"/>
  <c r="J28" i="63"/>
  <c r="J29" i="63"/>
  <c r="J26" i="63"/>
  <c r="J21" i="62"/>
  <c r="J22" i="62"/>
  <c r="J23" i="62"/>
  <c r="J20" i="62"/>
  <c r="J21" i="60"/>
  <c r="J22" i="60"/>
  <c r="J23" i="60"/>
  <c r="J20" i="60"/>
  <c r="D20" i="65"/>
  <c r="P33" i="74"/>
  <c r="P34" i="74"/>
  <c r="E34" i="74"/>
  <c r="F34" i="74"/>
  <c r="G34" i="74"/>
  <c r="H34" i="74"/>
  <c r="I34" i="74"/>
  <c r="J34" i="74"/>
  <c r="K34" i="74"/>
  <c r="L34" i="74"/>
  <c r="M34" i="74"/>
  <c r="N34" i="74"/>
  <c r="O34" i="74"/>
  <c r="D34" i="74"/>
  <c r="P31" i="74"/>
  <c r="P32" i="74"/>
  <c r="P30" i="74"/>
  <c r="E30" i="74"/>
  <c r="F30" i="74"/>
  <c r="G30" i="74"/>
  <c r="H30" i="74"/>
  <c r="H32" i="74" s="1"/>
  <c r="I30" i="74"/>
  <c r="J30" i="74"/>
  <c r="K30" i="74"/>
  <c r="K32" i="74" s="1"/>
  <c r="L30" i="74"/>
  <c r="L32" i="74" s="1"/>
  <c r="M30" i="74"/>
  <c r="N30" i="74"/>
  <c r="O30" i="74"/>
  <c r="E31" i="74"/>
  <c r="F31" i="74"/>
  <c r="G31" i="74"/>
  <c r="H31" i="74"/>
  <c r="I31" i="74"/>
  <c r="I32" i="74" s="1"/>
  <c r="J31" i="74"/>
  <c r="K31" i="74"/>
  <c r="L31" i="74"/>
  <c r="M31" i="74"/>
  <c r="N31" i="74"/>
  <c r="O31" i="74"/>
  <c r="E32" i="74"/>
  <c r="F32" i="74"/>
  <c r="G32" i="74"/>
  <c r="J32" i="74"/>
  <c r="M32" i="74"/>
  <c r="N32" i="74"/>
  <c r="O32" i="74"/>
  <c r="D31" i="74"/>
  <c r="D30" i="74"/>
  <c r="D32" i="74" s="1"/>
  <c r="P26" i="74"/>
  <c r="P25" i="74"/>
  <c r="E17" i="64"/>
  <c r="E16" i="64"/>
  <c r="E15" i="64"/>
  <c r="E14" i="64"/>
  <c r="R16" i="74"/>
  <c r="R11" i="74"/>
  <c r="E15" i="43"/>
  <c r="E14" i="43"/>
  <c r="P19" i="74"/>
  <c r="P18" i="74"/>
  <c r="Q18" i="74" s="1"/>
  <c r="P17" i="74"/>
  <c r="Q17" i="74" s="1"/>
  <c r="P15" i="74"/>
  <c r="R15" i="74" s="1"/>
  <c r="P14" i="74"/>
  <c r="R14" i="74" s="1"/>
  <c r="P10" i="74"/>
  <c r="R10" i="74" s="1"/>
  <c r="P9" i="74"/>
  <c r="R9" i="74" s="1"/>
  <c r="R8" i="74"/>
  <c r="Q8" i="74"/>
  <c r="P8" i="74"/>
  <c r="P7" i="74"/>
  <c r="R7" i="74" s="1"/>
  <c r="O17" i="74"/>
  <c r="N17" i="74"/>
  <c r="M17" i="74"/>
  <c r="L17" i="74"/>
  <c r="K17" i="74"/>
  <c r="J17" i="74"/>
  <c r="I17" i="74"/>
  <c r="H17" i="74"/>
  <c r="G17" i="74"/>
  <c r="F17" i="74"/>
  <c r="E17" i="74"/>
  <c r="D17" i="74"/>
  <c r="Q14" i="74" l="1"/>
  <c r="Q19" i="74"/>
  <c r="P21" i="74"/>
  <c r="P22" i="74" s="1"/>
  <c r="Q15" i="74"/>
  <c r="Q7" i="74"/>
  <c r="Q10" i="74"/>
  <c r="Q9" i="74"/>
  <c r="G33" i="63"/>
  <c r="D19" i="63"/>
  <c r="G34" i="66"/>
  <c r="D18" i="66"/>
  <c r="G30" i="65"/>
  <c r="D16" i="65"/>
  <c r="D17" i="65" s="1"/>
  <c r="G27" i="62"/>
  <c r="D17" i="62"/>
  <c r="G27" i="60"/>
  <c r="D17" i="60"/>
  <c r="H24" i="64"/>
  <c r="D19" i="64"/>
  <c r="H27" i="43"/>
  <c r="D16" i="43"/>
  <c r="D24" i="66"/>
  <c r="D12" i="66"/>
  <c r="D23" i="63"/>
  <c r="D14" i="63"/>
  <c r="D13" i="63"/>
  <c r="D12" i="65"/>
  <c r="D12" i="62"/>
  <c r="D12" i="60"/>
  <c r="T66" i="73"/>
  <c r="R66" i="73"/>
  <c r="Q66" i="73"/>
  <c r="P66" i="73"/>
  <c r="O66" i="73"/>
  <c r="N66" i="73"/>
  <c r="M66" i="73"/>
  <c r="U66" i="73" s="1"/>
  <c r="I66" i="73"/>
  <c r="H66" i="73"/>
  <c r="G66" i="73"/>
  <c r="F66" i="73"/>
  <c r="E66" i="73"/>
  <c r="D66" i="73"/>
  <c r="C66" i="73"/>
  <c r="B66" i="73"/>
  <c r="U65" i="73"/>
  <c r="S65" i="73"/>
  <c r="J65" i="73"/>
  <c r="S64" i="73"/>
  <c r="U64" i="73" s="1"/>
  <c r="J64" i="73"/>
  <c r="U63" i="73"/>
  <c r="S63" i="73"/>
  <c r="J63" i="73"/>
  <c r="U62" i="73"/>
  <c r="S62" i="73"/>
  <c r="J62" i="73"/>
  <c r="S61" i="73"/>
  <c r="U61" i="73" s="1"/>
  <c r="J61" i="73"/>
  <c r="S60" i="73"/>
  <c r="U60" i="73" s="1"/>
  <c r="J60" i="73"/>
  <c r="S59" i="73"/>
  <c r="U59" i="73" s="1"/>
  <c r="J59" i="73"/>
  <c r="U58" i="73"/>
  <c r="S58" i="73"/>
  <c r="J58" i="73"/>
  <c r="U57" i="73"/>
  <c r="S57" i="73"/>
  <c r="J57" i="73"/>
  <c r="S56" i="73"/>
  <c r="U56" i="73" s="1"/>
  <c r="J56" i="73"/>
  <c r="U55" i="73"/>
  <c r="S55" i="73"/>
  <c r="J55" i="73"/>
  <c r="U54" i="73"/>
  <c r="S54" i="73"/>
  <c r="S66" i="73" s="1"/>
  <c r="J54" i="73"/>
  <c r="J66" i="73" s="1"/>
  <c r="I51" i="73"/>
  <c r="H51" i="73"/>
  <c r="F51" i="73"/>
  <c r="E51" i="73"/>
  <c r="D51" i="73"/>
  <c r="C51" i="73"/>
  <c r="B51" i="73"/>
  <c r="J50" i="73"/>
  <c r="J49" i="73"/>
  <c r="J48" i="73"/>
  <c r="J47" i="73"/>
  <c r="J46" i="73"/>
  <c r="J45" i="73"/>
  <c r="J44" i="73"/>
  <c r="J43" i="73"/>
  <c r="J42" i="73"/>
  <c r="J41" i="73"/>
  <c r="J51" i="73" s="1"/>
  <c r="J40" i="73"/>
  <c r="J39" i="73"/>
  <c r="T36" i="73"/>
  <c r="S36" i="73"/>
  <c r="Q36" i="73"/>
  <c r="O36" i="73"/>
  <c r="N36" i="73"/>
  <c r="M36" i="73"/>
  <c r="R35" i="73"/>
  <c r="I35" i="73"/>
  <c r="H35" i="73"/>
  <c r="G35" i="73"/>
  <c r="F35" i="73"/>
  <c r="E35" i="73"/>
  <c r="D35" i="73"/>
  <c r="C35" i="73"/>
  <c r="B35" i="73"/>
  <c r="J35" i="73" s="1"/>
  <c r="R34" i="73"/>
  <c r="I34" i="73"/>
  <c r="H34" i="73"/>
  <c r="G34" i="73"/>
  <c r="F34" i="73"/>
  <c r="E34" i="73"/>
  <c r="D34" i="73"/>
  <c r="C34" i="73"/>
  <c r="B34" i="73"/>
  <c r="J34" i="73" s="1"/>
  <c r="P33" i="73"/>
  <c r="P34" i="73" s="1"/>
  <c r="I33" i="73"/>
  <c r="H33" i="73"/>
  <c r="G33" i="73"/>
  <c r="F33" i="73"/>
  <c r="E33" i="73"/>
  <c r="D33" i="73"/>
  <c r="C33" i="73"/>
  <c r="B33" i="73"/>
  <c r="J33" i="73" s="1"/>
  <c r="U32" i="73"/>
  <c r="P32" i="73"/>
  <c r="I32" i="73"/>
  <c r="H32" i="73"/>
  <c r="G32" i="73"/>
  <c r="F32" i="73"/>
  <c r="E32" i="73"/>
  <c r="D32" i="73"/>
  <c r="C32" i="73"/>
  <c r="B32" i="73"/>
  <c r="J32" i="73" s="1"/>
  <c r="U31" i="73"/>
  <c r="I31" i="73"/>
  <c r="H31" i="73"/>
  <c r="G31" i="73"/>
  <c r="F31" i="73"/>
  <c r="E31" i="73"/>
  <c r="D31" i="73"/>
  <c r="C31" i="73"/>
  <c r="B31" i="73"/>
  <c r="J31" i="73" s="1"/>
  <c r="I30" i="73"/>
  <c r="J30" i="73" s="1"/>
  <c r="H30" i="73"/>
  <c r="G30" i="73"/>
  <c r="F30" i="73"/>
  <c r="E30" i="73"/>
  <c r="D30" i="73"/>
  <c r="C30" i="73"/>
  <c r="B30" i="73"/>
  <c r="I29" i="73"/>
  <c r="H29" i="73"/>
  <c r="G29" i="73"/>
  <c r="F29" i="73"/>
  <c r="E29" i="73"/>
  <c r="D29" i="73"/>
  <c r="C29" i="73"/>
  <c r="B29" i="73"/>
  <c r="J29" i="73" s="1"/>
  <c r="I28" i="73"/>
  <c r="H28" i="73"/>
  <c r="G28" i="73"/>
  <c r="F28" i="73"/>
  <c r="E28" i="73"/>
  <c r="D28" i="73"/>
  <c r="C28" i="73"/>
  <c r="B28" i="73"/>
  <c r="J28" i="73" s="1"/>
  <c r="R27" i="73"/>
  <c r="P27" i="73"/>
  <c r="U27" i="73" s="1"/>
  <c r="I27" i="73"/>
  <c r="H27" i="73"/>
  <c r="G27" i="73"/>
  <c r="F27" i="73"/>
  <c r="E27" i="73"/>
  <c r="D27" i="73"/>
  <c r="C27" i="73"/>
  <c r="B27" i="73"/>
  <c r="J27" i="73" s="1"/>
  <c r="P26" i="73"/>
  <c r="U26" i="73" s="1"/>
  <c r="I26" i="73"/>
  <c r="H26" i="73"/>
  <c r="G26" i="73"/>
  <c r="G36" i="73" s="1"/>
  <c r="F26" i="73"/>
  <c r="F36" i="73" s="1"/>
  <c r="E26" i="73"/>
  <c r="D26" i="73"/>
  <c r="C26" i="73"/>
  <c r="B26" i="73"/>
  <c r="J26" i="73" s="1"/>
  <c r="U25" i="73"/>
  <c r="I25" i="73"/>
  <c r="H25" i="73"/>
  <c r="H36" i="73" s="1"/>
  <c r="G25" i="73"/>
  <c r="F25" i="73"/>
  <c r="E25" i="73"/>
  <c r="D25" i="73"/>
  <c r="C25" i="73"/>
  <c r="B25" i="73"/>
  <c r="U24" i="73"/>
  <c r="I24" i="73"/>
  <c r="I36" i="73" s="1"/>
  <c r="H24" i="73"/>
  <c r="G24" i="73"/>
  <c r="F24" i="73"/>
  <c r="E24" i="73"/>
  <c r="E36" i="73" s="1"/>
  <c r="D24" i="73"/>
  <c r="D36" i="73" s="1"/>
  <c r="C24" i="73"/>
  <c r="C36" i="73" s="1"/>
  <c r="B24" i="73"/>
  <c r="B36" i="73" s="1"/>
  <c r="I21" i="73"/>
  <c r="H21" i="73"/>
  <c r="G21" i="73"/>
  <c r="F21" i="73"/>
  <c r="E21" i="73"/>
  <c r="D21" i="73"/>
  <c r="C21" i="73"/>
  <c r="B21" i="73"/>
  <c r="J20" i="73"/>
  <c r="J19" i="73"/>
  <c r="J18" i="73"/>
  <c r="J17" i="73"/>
  <c r="J16" i="73"/>
  <c r="J15" i="73"/>
  <c r="J14" i="73"/>
  <c r="J13" i="73"/>
  <c r="J12" i="73"/>
  <c r="J11" i="73"/>
  <c r="J10" i="73"/>
  <c r="J9" i="73"/>
  <c r="J21" i="73" s="1"/>
  <c r="D18" i="62" l="1"/>
  <c r="E22" i="60"/>
  <c r="E23" i="60"/>
  <c r="E21" i="60"/>
  <c r="E20" i="60"/>
  <c r="F7" i="68" s="1"/>
  <c r="J7" i="68" s="1"/>
  <c r="D18" i="60"/>
  <c r="C39" i="68" s="1"/>
  <c r="Q21" i="74"/>
  <c r="Q22" i="74" s="1"/>
  <c r="U34" i="73"/>
  <c r="P35" i="73"/>
  <c r="U35" i="73" s="1"/>
  <c r="J24" i="73"/>
  <c r="U33" i="73"/>
  <c r="R28" i="73"/>
  <c r="P36" i="73"/>
  <c r="J25" i="73"/>
  <c r="R29" i="73" l="1"/>
  <c r="U28" i="73"/>
  <c r="J36" i="73"/>
  <c r="U29" i="73" l="1"/>
  <c r="R30" i="73"/>
  <c r="U30" i="73" l="1"/>
  <c r="R36" i="73"/>
  <c r="U36" i="73" s="1"/>
  <c r="X14" i="61" l="1"/>
  <c r="D7" i="68"/>
  <c r="D39" i="68" s="1"/>
  <c r="M19" i="64"/>
  <c r="M16" i="43"/>
  <c r="F15" i="64"/>
  <c r="L14" i="63"/>
  <c r="T10" i="61"/>
  <c r="T13" i="61" s="1"/>
  <c r="D11" i="13"/>
  <c r="D10" i="13"/>
  <c r="D8" i="13"/>
  <c r="D56" i="69"/>
  <c r="D57" i="69"/>
  <c r="D58" i="69"/>
  <c r="D59" i="69"/>
  <c r="D60" i="69"/>
  <c r="D61" i="69"/>
  <c r="D55" i="69"/>
  <c r="D44" i="69"/>
  <c r="D45" i="69"/>
  <c r="D46" i="69"/>
  <c r="D47" i="69"/>
  <c r="D48" i="69"/>
  <c r="D49" i="69"/>
  <c r="D43" i="69"/>
  <c r="A1" i="70"/>
  <c r="A1" i="69"/>
  <c r="I7" i="68"/>
  <c r="E7" i="68"/>
  <c r="A1" i="68"/>
  <c r="C9" i="68"/>
  <c r="C10" i="68" s="1"/>
  <c r="O28" i="66"/>
  <c r="O29" i="66"/>
  <c r="O30" i="66"/>
  <c r="O27" i="66"/>
  <c r="L19" i="66"/>
  <c r="L13" i="66"/>
  <c r="O24" i="65"/>
  <c r="Q24" i="65"/>
  <c r="O25" i="65"/>
  <c r="Q25" i="65" s="1"/>
  <c r="O26" i="65"/>
  <c r="Q26" i="65" s="1"/>
  <c r="O23" i="65"/>
  <c r="Q23" i="65" s="1"/>
  <c r="O27" i="63"/>
  <c r="O28" i="63"/>
  <c r="O29" i="63"/>
  <c r="O26" i="63"/>
  <c r="L13" i="63"/>
  <c r="L12" i="63"/>
  <c r="O21" i="62"/>
  <c r="O22" i="62"/>
  <c r="O23" i="62"/>
  <c r="O20" i="62"/>
  <c r="F28" i="61"/>
  <c r="M18" i="66" s="1"/>
  <c r="F29" i="61"/>
  <c r="F23" i="61"/>
  <c r="F19" i="61"/>
  <c r="F17" i="69" s="1"/>
  <c r="H17" i="69" s="1"/>
  <c r="F39" i="61"/>
  <c r="F38" i="61"/>
  <c r="O14" i="43" s="1"/>
  <c r="F35" i="61"/>
  <c r="O17" i="64" s="1"/>
  <c r="F34" i="61"/>
  <c r="G34" i="61" s="1"/>
  <c r="F33" i="61"/>
  <c r="F32" i="61"/>
  <c r="F30" i="61"/>
  <c r="F28" i="69" s="1"/>
  <c r="H28" i="69" s="1"/>
  <c r="F27" i="61"/>
  <c r="F26" i="61"/>
  <c r="F24" i="69" s="1"/>
  <c r="H24" i="69" s="1"/>
  <c r="F24" i="61"/>
  <c r="G24" i="61" s="1"/>
  <c r="F22" i="61"/>
  <c r="F20" i="61"/>
  <c r="F18" i="61"/>
  <c r="F17" i="61"/>
  <c r="F16" i="61"/>
  <c r="F11" i="61"/>
  <c r="F9" i="69" s="1"/>
  <c r="H9" i="69" s="1"/>
  <c r="O21" i="60"/>
  <c r="O22" i="60"/>
  <c r="O23" i="60"/>
  <c r="O20" i="60"/>
  <c r="F16" i="64"/>
  <c r="F17" i="64"/>
  <c r="F14" i="64"/>
  <c r="F15" i="43"/>
  <c r="F14" i="43"/>
  <c r="A3" i="43"/>
  <c r="B13" i="13" s="1"/>
  <c r="A2" i="43"/>
  <c r="A13" i="13" s="1"/>
  <c r="A3" i="64"/>
  <c r="B12" i="13" s="1"/>
  <c r="A2" i="64"/>
  <c r="A12" i="13" s="1"/>
  <c r="C13" i="13"/>
  <c r="C12" i="13"/>
  <c r="E23" i="63"/>
  <c r="E19" i="63"/>
  <c r="E14" i="63"/>
  <c r="G14" i="63" s="1"/>
  <c r="E13" i="63"/>
  <c r="G13" i="63" s="1"/>
  <c r="E12" i="63"/>
  <c r="G12" i="63" s="1"/>
  <c r="D15" i="63"/>
  <c r="E24" i="66"/>
  <c r="E19" i="66"/>
  <c r="G19" i="66" s="1"/>
  <c r="E18" i="66"/>
  <c r="E13" i="66"/>
  <c r="G13" i="66" s="1"/>
  <c r="E12" i="66"/>
  <c r="A3" i="66"/>
  <c r="B11" i="13" s="1"/>
  <c r="A2" i="66"/>
  <c r="A11" i="13" s="1"/>
  <c r="P60" i="66"/>
  <c r="P54" i="66"/>
  <c r="E20" i="65"/>
  <c r="E16" i="65"/>
  <c r="E12" i="65"/>
  <c r="G12" i="65" s="1"/>
  <c r="A3" i="65"/>
  <c r="B10" i="13" s="1"/>
  <c r="A2" i="65"/>
  <c r="A10" i="13" s="1"/>
  <c r="P58" i="65"/>
  <c r="P52" i="65"/>
  <c r="A3" i="63"/>
  <c r="B9" i="13" s="1"/>
  <c r="A2" i="63"/>
  <c r="A9" i="13" s="1"/>
  <c r="P61" i="63"/>
  <c r="P55" i="63"/>
  <c r="E17" i="62"/>
  <c r="E12" i="62"/>
  <c r="A3" i="62"/>
  <c r="B8" i="13" s="1"/>
  <c r="A2" i="62"/>
  <c r="A8" i="13" s="1"/>
  <c r="E17" i="60"/>
  <c r="E12" i="60"/>
  <c r="G12" i="60" s="1"/>
  <c r="A3" i="60"/>
  <c r="B7" i="13" s="1"/>
  <c r="A2" i="60"/>
  <c r="A7" i="13" s="1"/>
  <c r="D17" i="28"/>
  <c r="T17" i="28" s="1"/>
  <c r="W17" i="28" s="1"/>
  <c r="W21" i="28" s="1"/>
  <c r="E18" i="24"/>
  <c r="G18" i="24" s="1"/>
  <c r="D20" i="28"/>
  <c r="G20" i="28" s="1"/>
  <c r="D19" i="28"/>
  <c r="G19" i="28"/>
  <c r="G106" i="28"/>
  <c r="E106" i="28"/>
  <c r="D106" i="28"/>
  <c r="C106" i="28"/>
  <c r="G88" i="28"/>
  <c r="E88" i="28"/>
  <c r="D88" i="28"/>
  <c r="C88" i="28"/>
  <c r="D18" i="28"/>
  <c r="T18" i="28" s="1"/>
  <c r="W18" i="28" s="1"/>
  <c r="G70" i="28"/>
  <c r="E70" i="28"/>
  <c r="D70" i="28"/>
  <c r="C70" i="28"/>
  <c r="U12" i="24"/>
  <c r="U18" i="28"/>
  <c r="U12" i="28"/>
  <c r="M22" i="28"/>
  <c r="T24" i="28"/>
  <c r="W24" i="28"/>
  <c r="U19" i="24"/>
  <c r="M19" i="24"/>
  <c r="G52" i="28"/>
  <c r="G28" i="28" s="1"/>
  <c r="O24" i="28"/>
  <c r="E66" i="24"/>
  <c r="E46" i="24"/>
  <c r="D46" i="24"/>
  <c r="E52" i="28"/>
  <c r="F66" i="24"/>
  <c r="G24" i="24" s="1"/>
  <c r="D66" i="24"/>
  <c r="C66" i="24"/>
  <c r="F46" i="24"/>
  <c r="C46" i="24"/>
  <c r="D12" i="24" s="1"/>
  <c r="D52" i="28"/>
  <c r="D12" i="28"/>
  <c r="G12" i="28" s="1"/>
  <c r="C52" i="28"/>
  <c r="D16" i="24"/>
  <c r="G16" i="24" s="1"/>
  <c r="L16" i="24"/>
  <c r="L18" i="24" s="1"/>
  <c r="L12" i="28"/>
  <c r="O12" i="28" s="1"/>
  <c r="P49" i="60"/>
  <c r="P55" i="60"/>
  <c r="G17" i="61"/>
  <c r="G18" i="61"/>
  <c r="I9" i="68"/>
  <c r="G26" i="61" l="1"/>
  <c r="M12" i="66"/>
  <c r="M13" i="63"/>
  <c r="F15" i="69"/>
  <c r="M14" i="63"/>
  <c r="O14" i="63" s="1"/>
  <c r="P14" i="63" s="1"/>
  <c r="F16" i="69"/>
  <c r="G32" i="61"/>
  <c r="F30" i="69"/>
  <c r="H30" i="69" s="1"/>
  <c r="G23" i="61"/>
  <c r="F21" i="69"/>
  <c r="H21" i="69" s="1"/>
  <c r="G19" i="61"/>
  <c r="G20" i="61"/>
  <c r="F18" i="69"/>
  <c r="H18" i="69" s="1"/>
  <c r="O15" i="64"/>
  <c r="F31" i="69"/>
  <c r="H31" i="69" s="1"/>
  <c r="G29" i="61"/>
  <c r="F27" i="69"/>
  <c r="H27" i="69" s="1"/>
  <c r="M12" i="65"/>
  <c r="F20" i="69"/>
  <c r="O16" i="64"/>
  <c r="F32" i="69"/>
  <c r="H32" i="69" s="1"/>
  <c r="M24" i="66"/>
  <c r="G30" i="61"/>
  <c r="G28" i="61"/>
  <c r="F26" i="69"/>
  <c r="H26" i="69" s="1"/>
  <c r="M20" i="65"/>
  <c r="F22" i="69"/>
  <c r="H22" i="69" s="1"/>
  <c r="G35" i="61"/>
  <c r="F33" i="69"/>
  <c r="H33" i="69" s="1"/>
  <c r="M19" i="63"/>
  <c r="G38" i="61"/>
  <c r="F35" i="69"/>
  <c r="H35" i="69" s="1"/>
  <c r="M12" i="63"/>
  <c r="O12" i="63" s="1"/>
  <c r="F14" i="69"/>
  <c r="M13" i="66"/>
  <c r="F25" i="69"/>
  <c r="H25" i="69" s="1"/>
  <c r="G39" i="61"/>
  <c r="F36" i="69"/>
  <c r="H36" i="69" s="1"/>
  <c r="G14" i="61"/>
  <c r="L15" i="63"/>
  <c r="D20" i="63"/>
  <c r="M17" i="60"/>
  <c r="G11" i="61"/>
  <c r="G16" i="61"/>
  <c r="E8" i="68"/>
  <c r="I39" i="68"/>
  <c r="J39" i="68"/>
  <c r="M23" i="63"/>
  <c r="E39" i="68"/>
  <c r="G39" i="68" s="1"/>
  <c r="M16" i="65"/>
  <c r="D14" i="68"/>
  <c r="J14" i="68" s="1"/>
  <c r="D27" i="68"/>
  <c r="J27" i="68" s="1"/>
  <c r="D25" i="68"/>
  <c r="F25" i="68" s="1"/>
  <c r="D21" i="68"/>
  <c r="F21" i="68" s="1"/>
  <c r="D26" i="68"/>
  <c r="F26" i="68" s="1"/>
  <c r="D28" i="68"/>
  <c r="J28" i="68" s="1"/>
  <c r="D29" i="68"/>
  <c r="J29" i="68" s="1"/>
  <c r="D22" i="68"/>
  <c r="F22" i="68" s="1"/>
  <c r="D24" i="68"/>
  <c r="F24" i="68" s="1"/>
  <c r="D23" i="68"/>
  <c r="J23" i="68" s="1"/>
  <c r="D18" i="68"/>
  <c r="F18" i="68" s="1"/>
  <c r="D34" i="68"/>
  <c r="F34" i="68" s="1"/>
  <c r="D36" i="68"/>
  <c r="J36" i="68" s="1"/>
  <c r="D38" i="68"/>
  <c r="F38" i="68" s="1"/>
  <c r="D32" i="68"/>
  <c r="J32" i="68" s="1"/>
  <c r="D11" i="68"/>
  <c r="J11" i="68" s="1"/>
  <c r="D19" i="68"/>
  <c r="J19" i="68" s="1"/>
  <c r="I8" i="68"/>
  <c r="D15" i="68"/>
  <c r="F15" i="68" s="1"/>
  <c r="D16" i="68"/>
  <c r="F16" i="68" s="1"/>
  <c r="D17" i="68"/>
  <c r="F17" i="68" s="1"/>
  <c r="D13" i="68"/>
  <c r="F13" i="68" s="1"/>
  <c r="D10" i="68"/>
  <c r="F10" i="68" s="1"/>
  <c r="D31" i="68"/>
  <c r="J31" i="68" s="1"/>
  <c r="D33" i="68"/>
  <c r="F33" i="68" s="1"/>
  <c r="D35" i="68"/>
  <c r="F35" i="68" s="1"/>
  <c r="D9" i="68"/>
  <c r="F9" i="68" s="1"/>
  <c r="D20" i="68"/>
  <c r="J20" i="68" s="1"/>
  <c r="D37" i="68"/>
  <c r="J37" i="68" s="1"/>
  <c r="D30" i="68"/>
  <c r="F30" i="68" s="1"/>
  <c r="D8" i="68"/>
  <c r="J8" i="68" s="1"/>
  <c r="D12" i="68"/>
  <c r="J12" i="68" s="1"/>
  <c r="O13" i="66"/>
  <c r="O13" i="63"/>
  <c r="M17" i="62"/>
  <c r="H16" i="64"/>
  <c r="G33" i="61"/>
  <c r="O14" i="64"/>
  <c r="G15" i="63"/>
  <c r="O15" i="43"/>
  <c r="N14" i="64"/>
  <c r="H14" i="64"/>
  <c r="H15" i="43"/>
  <c r="N15" i="43"/>
  <c r="I10" i="68"/>
  <c r="C11" i="68"/>
  <c r="E10" i="68"/>
  <c r="N14" i="43"/>
  <c r="E16" i="43"/>
  <c r="H14" i="43"/>
  <c r="L12" i="24"/>
  <c r="G12" i="24"/>
  <c r="G22" i="24" s="1"/>
  <c r="G26" i="24" s="1"/>
  <c r="G28" i="24" s="1"/>
  <c r="O18" i="24"/>
  <c r="T16" i="24"/>
  <c r="N17" i="64"/>
  <c r="Q17" i="64" s="1"/>
  <c r="H17" i="64"/>
  <c r="D21" i="28"/>
  <c r="L17" i="28" s="1"/>
  <c r="E9" i="68"/>
  <c r="T12" i="28"/>
  <c r="W12" i="28" s="1"/>
  <c r="W27" i="28" s="1"/>
  <c r="G18" i="28"/>
  <c r="M19" i="66"/>
  <c r="O19" i="66" s="1"/>
  <c r="G17" i="28"/>
  <c r="G21" i="28" s="1"/>
  <c r="G26" i="28" s="1"/>
  <c r="G30" i="28" s="1"/>
  <c r="G32" i="28" s="1"/>
  <c r="N16" i="64"/>
  <c r="D36" i="65"/>
  <c r="E58" i="69" s="1"/>
  <c r="G27" i="61"/>
  <c r="L17" i="24"/>
  <c r="O17" i="24" s="1"/>
  <c r="G22" i="61"/>
  <c r="D7" i="13"/>
  <c r="O16" i="24"/>
  <c r="O19" i="24" s="1"/>
  <c r="D9" i="13"/>
  <c r="E11" i="68"/>
  <c r="D13" i="13"/>
  <c r="D12" i="13"/>
  <c r="L20" i="65"/>
  <c r="G20" i="65"/>
  <c r="L24" i="66"/>
  <c r="G24" i="66"/>
  <c r="D33" i="60"/>
  <c r="E55" i="69" s="1"/>
  <c r="D33" i="62"/>
  <c r="E56" i="69" s="1"/>
  <c r="L12" i="62"/>
  <c r="G12" i="62"/>
  <c r="L12" i="60"/>
  <c r="L12" i="65"/>
  <c r="W11" i="61"/>
  <c r="W10" i="61"/>
  <c r="Q16" i="64" l="1"/>
  <c r="J14" i="69"/>
  <c r="H14" i="69"/>
  <c r="O24" i="66"/>
  <c r="P24" i="66" s="1"/>
  <c r="O20" i="65"/>
  <c r="J15" i="69"/>
  <c r="H15" i="69"/>
  <c r="J16" i="69"/>
  <c r="H16" i="69"/>
  <c r="J20" i="69"/>
  <c r="H20" i="69"/>
  <c r="R16" i="64"/>
  <c r="J10" i="68"/>
  <c r="P20" i="65"/>
  <c r="F32" i="68"/>
  <c r="F29" i="68"/>
  <c r="J22" i="68"/>
  <c r="F14" i="68"/>
  <c r="F8" i="68"/>
  <c r="G8" i="68" s="1"/>
  <c r="O15" i="63"/>
  <c r="P15" i="63" s="1"/>
  <c r="P13" i="63"/>
  <c r="J30" i="68"/>
  <c r="R17" i="64"/>
  <c r="J24" i="68"/>
  <c r="J13" i="68"/>
  <c r="F12" i="68"/>
  <c r="F31" i="68"/>
  <c r="J38" i="68"/>
  <c r="G10" i="68"/>
  <c r="J35" i="68"/>
  <c r="F37" i="68"/>
  <c r="F23" i="68"/>
  <c r="F11" i="68"/>
  <c r="G11" i="68" s="1"/>
  <c r="J15" i="68"/>
  <c r="J25" i="68"/>
  <c r="J16" i="68"/>
  <c r="J9" i="68"/>
  <c r="J17" i="68"/>
  <c r="J18" i="68"/>
  <c r="J33" i="68"/>
  <c r="J21" i="68"/>
  <c r="F19" i="68"/>
  <c r="F20" i="68"/>
  <c r="Q15" i="43"/>
  <c r="R15" i="43" s="1"/>
  <c r="J26" i="68"/>
  <c r="F27" i="68"/>
  <c r="F28" i="68"/>
  <c r="J34" i="68"/>
  <c r="F36" i="68"/>
  <c r="G9" i="68"/>
  <c r="H16" i="43"/>
  <c r="H15" i="64"/>
  <c r="H19" i="64" s="1"/>
  <c r="H22" i="64" s="1"/>
  <c r="N15" i="64"/>
  <c r="Q15" i="64" s="1"/>
  <c r="O12" i="24"/>
  <c r="O23" i="24" s="1"/>
  <c r="O25" i="24" s="1"/>
  <c r="O27" i="24" s="1"/>
  <c r="T12" i="24"/>
  <c r="W12" i="24" s="1"/>
  <c r="W16" i="24"/>
  <c r="W19" i="24" s="1"/>
  <c r="T17" i="24"/>
  <c r="W17" i="24" s="1"/>
  <c r="T18" i="24"/>
  <c r="W18" i="24" s="1"/>
  <c r="L16" i="65"/>
  <c r="O16" i="65" s="1"/>
  <c r="G16" i="65"/>
  <c r="N16" i="43"/>
  <c r="Q14" i="43"/>
  <c r="Q14" i="64"/>
  <c r="R14" i="64" s="1"/>
  <c r="Q20" i="65"/>
  <c r="L18" i="28"/>
  <c r="O18" i="28" s="1"/>
  <c r="L21" i="28"/>
  <c r="O21" i="28" s="1"/>
  <c r="O17" i="28"/>
  <c r="E19" i="64"/>
  <c r="C10" i="13"/>
  <c r="W29" i="28"/>
  <c r="W31" i="28" s="1"/>
  <c r="I11" i="68"/>
  <c r="C12" i="68"/>
  <c r="L23" i="63"/>
  <c r="O23" i="63" s="1"/>
  <c r="G23" i="63"/>
  <c r="D20" i="66"/>
  <c r="L18" i="66"/>
  <c r="O18" i="66" s="1"/>
  <c r="G18" i="66"/>
  <c r="G20" i="66" s="1"/>
  <c r="L19" i="63"/>
  <c r="O19" i="63" s="1"/>
  <c r="C9" i="13"/>
  <c r="G19" i="63"/>
  <c r="D38" i="63"/>
  <c r="E57" i="69" s="1"/>
  <c r="L17" i="60"/>
  <c r="O17" i="60" s="1"/>
  <c r="G17" i="60"/>
  <c r="G38" i="60" s="1"/>
  <c r="C7" i="13"/>
  <c r="C8" i="13"/>
  <c r="L17" i="62"/>
  <c r="O17" i="62" s="1"/>
  <c r="G17" i="62"/>
  <c r="G25" i="62" s="1"/>
  <c r="D14" i="66"/>
  <c r="G12" i="66"/>
  <c r="G14" i="66" s="1"/>
  <c r="L12" i="66"/>
  <c r="O12" i="66" s="1"/>
  <c r="O12" i="65"/>
  <c r="G41" i="66" l="1"/>
  <c r="P12" i="66"/>
  <c r="P16" i="65"/>
  <c r="G44" i="63"/>
  <c r="P17" i="60"/>
  <c r="H25" i="43"/>
  <c r="H29" i="43" s="1"/>
  <c r="Q16" i="43"/>
  <c r="R14" i="43"/>
  <c r="P23" i="63"/>
  <c r="P19" i="63"/>
  <c r="Q12" i="65"/>
  <c r="P12" i="65"/>
  <c r="P17" i="62"/>
  <c r="P18" i="66"/>
  <c r="G28" i="65"/>
  <c r="E10" i="13" s="1"/>
  <c r="G39" i="65"/>
  <c r="R15" i="64"/>
  <c r="G35" i="62"/>
  <c r="D39" i="66"/>
  <c r="D21" i="66"/>
  <c r="N19" i="64"/>
  <c r="Q19" i="64"/>
  <c r="G32" i="66"/>
  <c r="G36" i="66" s="1"/>
  <c r="G38" i="66" s="1"/>
  <c r="I12" i="68"/>
  <c r="C13" i="68"/>
  <c r="E12" i="68"/>
  <c r="G12" i="68" s="1"/>
  <c r="O22" i="28"/>
  <c r="O27" i="28" s="1"/>
  <c r="O29" i="28" s="1"/>
  <c r="O31" i="28" s="1"/>
  <c r="O28" i="65"/>
  <c r="Q16" i="65"/>
  <c r="E12" i="13"/>
  <c r="I32" i="61"/>
  <c r="H26" i="64"/>
  <c r="H28" i="64"/>
  <c r="W23" i="24"/>
  <c r="W25" i="24" s="1"/>
  <c r="W27" i="24" s="1"/>
  <c r="E8" i="13"/>
  <c r="I13" i="61"/>
  <c r="G29" i="62"/>
  <c r="G31" i="62" s="1"/>
  <c r="O31" i="63"/>
  <c r="G31" i="63"/>
  <c r="G40" i="63"/>
  <c r="G41" i="63" s="1"/>
  <c r="O20" i="66"/>
  <c r="P20" i="66" s="1"/>
  <c r="G35" i="60"/>
  <c r="G36" i="60" s="1"/>
  <c r="G25" i="60"/>
  <c r="C11" i="13"/>
  <c r="C15" i="13" s="1"/>
  <c r="L20" i="66"/>
  <c r="L14" i="66"/>
  <c r="E59" i="69"/>
  <c r="O14" i="66"/>
  <c r="P14" i="66" s="1"/>
  <c r="I38" i="61" l="1"/>
  <c r="P28" i="65"/>
  <c r="I22" i="61"/>
  <c r="H31" i="43"/>
  <c r="Q22" i="64"/>
  <c r="R19" i="64"/>
  <c r="R16" i="43"/>
  <c r="Q25" i="43"/>
  <c r="G32" i="65"/>
  <c r="G34" i="65" s="1"/>
  <c r="E13" i="13"/>
  <c r="F13" i="13" s="1"/>
  <c r="G13" i="13" s="1"/>
  <c r="P31" i="63"/>
  <c r="F8" i="13"/>
  <c r="G8" i="13" s="1"/>
  <c r="E11" i="13"/>
  <c r="F11" i="13" s="1"/>
  <c r="G11" i="13" s="1"/>
  <c r="I26" i="61"/>
  <c r="C14" i="68"/>
  <c r="I13" i="68"/>
  <c r="E13" i="68"/>
  <c r="G13" i="68" s="1"/>
  <c r="O30" i="65"/>
  <c r="Q28" i="65"/>
  <c r="J22" i="61"/>
  <c r="F12" i="13"/>
  <c r="G12" i="13" s="1"/>
  <c r="F10" i="13"/>
  <c r="G10" i="13" s="1"/>
  <c r="E7" i="13"/>
  <c r="G29" i="60"/>
  <c r="G31" i="60" s="1"/>
  <c r="I10" i="61"/>
  <c r="E9" i="13"/>
  <c r="I16" i="61"/>
  <c r="G35" i="63"/>
  <c r="G37" i="63" s="1"/>
  <c r="J16" i="61"/>
  <c r="O33" i="63"/>
  <c r="O32" i="66"/>
  <c r="P32" i="66" s="1"/>
  <c r="R25" i="43" l="1"/>
  <c r="J38" i="61"/>
  <c r="Q27" i="43"/>
  <c r="E15" i="13"/>
  <c r="J32" i="61"/>
  <c r="R22" i="64"/>
  <c r="Q24" i="64"/>
  <c r="I43" i="61"/>
  <c r="O34" i="65"/>
  <c r="M22" i="61" s="1"/>
  <c r="F58" i="69" s="1"/>
  <c r="O32" i="65"/>
  <c r="L22" i="61" s="1"/>
  <c r="K22" i="61"/>
  <c r="E46" i="69" s="1"/>
  <c r="I14" i="68"/>
  <c r="C15" i="68"/>
  <c r="E14" i="68"/>
  <c r="G14" i="68" s="1"/>
  <c r="F9" i="13"/>
  <c r="G9" i="13" s="1"/>
  <c r="K16" i="61"/>
  <c r="E45" i="69" s="1"/>
  <c r="O35" i="63"/>
  <c r="L16" i="61" s="1"/>
  <c r="O37" i="63"/>
  <c r="M16" i="61" s="1"/>
  <c r="F57" i="69" s="1"/>
  <c r="F7" i="13"/>
  <c r="G7" i="13" s="1"/>
  <c r="O34" i="66"/>
  <c r="J26" i="61"/>
  <c r="K32" i="61" l="1"/>
  <c r="E48" i="69" s="1"/>
  <c r="Q28" i="64"/>
  <c r="M32" i="61" s="1"/>
  <c r="F60" i="69" s="1"/>
  <c r="Q26" i="64"/>
  <c r="L32" i="61" s="1"/>
  <c r="Q31" i="43"/>
  <c r="M38" i="61" s="1"/>
  <c r="F61" i="69" s="1"/>
  <c r="K38" i="61"/>
  <c r="E49" i="69" s="1"/>
  <c r="Q29" i="43"/>
  <c r="L38" i="61" s="1"/>
  <c r="G58" i="69"/>
  <c r="F46" i="69"/>
  <c r="C16" i="68"/>
  <c r="I15" i="68"/>
  <c r="E15" i="68"/>
  <c r="G15" i="68" s="1"/>
  <c r="G57" i="69"/>
  <c r="F45" i="69"/>
  <c r="F15" i="13"/>
  <c r="G15" i="13" s="1"/>
  <c r="O36" i="66"/>
  <c r="L26" i="61" s="1"/>
  <c r="K26" i="61"/>
  <c r="O38" i="66"/>
  <c r="M26" i="61" s="1"/>
  <c r="F59" i="69" s="1"/>
  <c r="G61" i="69" l="1"/>
  <c r="F49" i="69"/>
  <c r="F48" i="69"/>
  <c r="G60" i="69"/>
  <c r="C17" i="68"/>
  <c r="I16" i="68"/>
  <c r="E16" i="68"/>
  <c r="G16" i="68" s="1"/>
  <c r="E47" i="69"/>
  <c r="G59" i="69"/>
  <c r="F47" i="69"/>
  <c r="I17" i="68" l="1"/>
  <c r="C18" i="68"/>
  <c r="E17" i="68"/>
  <c r="G17" i="68" s="1"/>
  <c r="I18" i="68" l="1"/>
  <c r="C19" i="68"/>
  <c r="E18" i="68"/>
  <c r="G18" i="68" s="1"/>
  <c r="M12" i="60"/>
  <c r="O12" i="60" s="1"/>
  <c r="P12" i="60" s="1"/>
  <c r="G10" i="61"/>
  <c r="H7" i="68"/>
  <c r="W14" i="61" l="1"/>
  <c r="V14" i="61" s="1"/>
  <c r="F13" i="61"/>
  <c r="F50" i="61" s="1"/>
  <c r="G49" i="61"/>
  <c r="C20" i="68"/>
  <c r="I19" i="68"/>
  <c r="E19" i="68"/>
  <c r="G19" i="68" s="1"/>
  <c r="H24" i="68"/>
  <c r="H15" i="68"/>
  <c r="H21" i="68"/>
  <c r="H26" i="68"/>
  <c r="H11" i="68"/>
  <c r="H23" i="68"/>
  <c r="H34" i="68"/>
  <c r="H39" i="68"/>
  <c r="H22" i="68"/>
  <c r="H30" i="68"/>
  <c r="H31" i="68"/>
  <c r="H36" i="68"/>
  <c r="H20" i="68"/>
  <c r="H38" i="68"/>
  <c r="H29" i="68"/>
  <c r="H25" i="68"/>
  <c r="H14" i="68"/>
  <c r="H33" i="68"/>
  <c r="H12" i="68"/>
  <c r="H27" i="68"/>
  <c r="H35" i="68"/>
  <c r="H16" i="68"/>
  <c r="H19" i="68"/>
  <c r="K19" i="68" s="1"/>
  <c r="H28" i="68"/>
  <c r="H32" i="68"/>
  <c r="H37" i="68"/>
  <c r="H8" i="68"/>
  <c r="H13" i="68"/>
  <c r="H10" i="68"/>
  <c r="H17" i="68"/>
  <c r="H9" i="68"/>
  <c r="H18" i="68"/>
  <c r="O25" i="60"/>
  <c r="P25" i="60" s="1"/>
  <c r="G50" i="61" l="1"/>
  <c r="F11" i="69"/>
  <c r="M12" i="62"/>
  <c r="O12" i="62" s="1"/>
  <c r="G13" i="61"/>
  <c r="K15" i="68"/>
  <c r="L15" i="68" s="1"/>
  <c r="M15" i="68" s="1"/>
  <c r="K12" i="68"/>
  <c r="L12" i="68" s="1"/>
  <c r="M12" i="68" s="1"/>
  <c r="K14" i="68"/>
  <c r="L14" i="68" s="1"/>
  <c r="M14" i="68" s="1"/>
  <c r="K18" i="68"/>
  <c r="L18" i="68" s="1"/>
  <c r="M18" i="68" s="1"/>
  <c r="K39" i="68"/>
  <c r="L39" i="68" s="1"/>
  <c r="M39" i="68" s="1"/>
  <c r="K9" i="68"/>
  <c r="L9" i="68" s="1"/>
  <c r="M9" i="68" s="1"/>
  <c r="K10" i="68"/>
  <c r="L10" i="68" s="1"/>
  <c r="M10" i="68" s="1"/>
  <c r="K11" i="68"/>
  <c r="L11" i="68" s="1"/>
  <c r="M11" i="68" s="1"/>
  <c r="K13" i="68"/>
  <c r="L13" i="68" s="1"/>
  <c r="M13" i="68" s="1"/>
  <c r="K8" i="68"/>
  <c r="L8" i="68" s="1"/>
  <c r="M8" i="68" s="1"/>
  <c r="K17" i="68"/>
  <c r="L17" i="68" s="1"/>
  <c r="M17" i="68" s="1"/>
  <c r="K16" i="68"/>
  <c r="L16" i="68" s="1"/>
  <c r="M16" i="68" s="1"/>
  <c r="L19" i="68"/>
  <c r="M19" i="68" s="1"/>
  <c r="I20" i="68"/>
  <c r="K20" i="68" s="1"/>
  <c r="C21" i="68"/>
  <c r="E20" i="68"/>
  <c r="G20" i="68" s="1"/>
  <c r="O27" i="60"/>
  <c r="J10" i="61"/>
  <c r="J11" i="69" l="1"/>
  <c r="H11" i="69"/>
  <c r="P12" i="62"/>
  <c r="O25" i="62"/>
  <c r="L20" i="68"/>
  <c r="M20" i="68" s="1"/>
  <c r="C22" i="68"/>
  <c r="I21" i="68"/>
  <c r="K21" i="68" s="1"/>
  <c r="E21" i="68"/>
  <c r="G21" i="68" s="1"/>
  <c r="O29" i="60"/>
  <c r="L10" i="61" s="1"/>
  <c r="K10" i="61"/>
  <c r="O31" i="60"/>
  <c r="M10" i="61" s="1"/>
  <c r="F55" i="69" s="1"/>
  <c r="P25" i="62" l="1"/>
  <c r="O27" i="62"/>
  <c r="J13" i="61"/>
  <c r="J43" i="61" s="1"/>
  <c r="L21" i="68"/>
  <c r="M21" i="68" s="1"/>
  <c r="I22" i="68"/>
  <c r="K22" i="68" s="1"/>
  <c r="E22" i="68"/>
  <c r="G22" i="68" s="1"/>
  <c r="C23" i="68"/>
  <c r="E43" i="69"/>
  <c r="F43" i="69"/>
  <c r="G55" i="69"/>
  <c r="K13" i="61" l="1"/>
  <c r="O29" i="62"/>
  <c r="L13" i="61" s="1"/>
  <c r="O31" i="62"/>
  <c r="M13" i="61" s="1"/>
  <c r="F56" i="69" s="1"/>
  <c r="C24" i="68"/>
  <c r="I23" i="68"/>
  <c r="K23" i="68" s="1"/>
  <c r="E23" i="68"/>
  <c r="G23" i="68" s="1"/>
  <c r="L22" i="68"/>
  <c r="M22" i="68" s="1"/>
  <c r="G56" i="69" l="1"/>
  <c r="F44" i="69"/>
  <c r="E44" i="69"/>
  <c r="K43" i="61"/>
  <c r="L23" i="68"/>
  <c r="M23" i="68" s="1"/>
  <c r="C25" i="68"/>
  <c r="I24" i="68"/>
  <c r="K24" i="68" s="1"/>
  <c r="E24" i="68"/>
  <c r="G24" i="68" s="1"/>
  <c r="K46" i="61" l="1"/>
  <c r="L43" i="61"/>
  <c r="E50" i="69"/>
  <c r="L24" i="68"/>
  <c r="M24" i="68" s="1"/>
  <c r="I25" i="68"/>
  <c r="K25" i="68" s="1"/>
  <c r="C26" i="68"/>
  <c r="E25" i="68"/>
  <c r="G25" i="68" s="1"/>
  <c r="F50" i="69" l="1"/>
  <c r="G62" i="69"/>
  <c r="K47" i="61"/>
  <c r="C27" i="68"/>
  <c r="I26" i="68"/>
  <c r="K26" i="68" s="1"/>
  <c r="E26" i="68"/>
  <c r="G26" i="68" s="1"/>
  <c r="L25" i="68"/>
  <c r="M25" i="68" s="1"/>
  <c r="L26" i="68" l="1"/>
  <c r="M26" i="68" s="1"/>
  <c r="I27" i="68"/>
  <c r="K27" i="68" s="1"/>
  <c r="C28" i="68"/>
  <c r="E27" i="68"/>
  <c r="G27" i="68" s="1"/>
  <c r="L27" i="68" l="1"/>
  <c r="M27" i="68" s="1"/>
  <c r="E28" i="68"/>
  <c r="G28" i="68" s="1"/>
  <c r="I28" i="68"/>
  <c r="C29" i="68"/>
  <c r="K28" i="68" l="1"/>
  <c r="L28" i="68" s="1"/>
  <c r="M28" i="68" s="1"/>
  <c r="E29" i="68"/>
  <c r="G29" i="68" s="1"/>
  <c r="I29" i="68"/>
  <c r="C30" i="68"/>
  <c r="K29" i="68" l="1"/>
  <c r="L29" i="68" s="1"/>
  <c r="M29" i="68" s="1"/>
  <c r="I30" i="68"/>
  <c r="K30" i="68" s="1"/>
  <c r="C31" i="68"/>
  <c r="E30" i="68"/>
  <c r="G30" i="68" s="1"/>
  <c r="C32" i="68" l="1"/>
  <c r="I31" i="68"/>
  <c r="K31" i="68" s="1"/>
  <c r="E31" i="68"/>
  <c r="G31" i="68" s="1"/>
  <c r="L30" i="68"/>
  <c r="M30" i="68" s="1"/>
  <c r="L31" i="68" l="1"/>
  <c r="M31" i="68" s="1"/>
  <c r="C33" i="68"/>
  <c r="I32" i="68"/>
  <c r="K32" i="68" s="1"/>
  <c r="E32" i="68"/>
  <c r="G32" i="68" s="1"/>
  <c r="L32" i="68" l="1"/>
  <c r="M32" i="68" s="1"/>
  <c r="C34" i="68"/>
  <c r="I33" i="68"/>
  <c r="K33" i="68" s="1"/>
  <c r="E33" i="68"/>
  <c r="G33" i="68" s="1"/>
  <c r="L33" i="68" l="1"/>
  <c r="M33" i="68" s="1"/>
  <c r="I34" i="68"/>
  <c r="K34" i="68" s="1"/>
  <c r="E34" i="68"/>
  <c r="G34" i="68" s="1"/>
  <c r="C35" i="68"/>
  <c r="E35" i="68" l="1"/>
  <c r="G35" i="68" s="1"/>
  <c r="C36" i="68"/>
  <c r="I35" i="68"/>
  <c r="L34" i="68"/>
  <c r="M34" i="68" s="1"/>
  <c r="K35" i="68" l="1"/>
  <c r="L35" i="68" s="1"/>
  <c r="M35" i="68" s="1"/>
  <c r="I36" i="68"/>
  <c r="K36" i="68" s="1"/>
  <c r="C37" i="68"/>
  <c r="E36" i="68"/>
  <c r="G36" i="68" s="1"/>
  <c r="E37" i="68" l="1"/>
  <c r="G37" i="68" s="1"/>
  <c r="I37" i="68"/>
  <c r="C38" i="68"/>
  <c r="L36" i="68"/>
  <c r="M36" i="68" s="1"/>
  <c r="K37" i="68" l="1"/>
  <c r="L37" i="68" s="1"/>
  <c r="M37" i="68" s="1"/>
  <c r="I38" i="68"/>
  <c r="K38" i="68" s="1"/>
  <c r="E38" i="68"/>
  <c r="G38" i="68" s="1"/>
  <c r="L38" i="68" l="1"/>
  <c r="M38" i="68" s="1"/>
</calcChain>
</file>

<file path=xl/sharedStrings.xml><?xml version="1.0" encoding="utf-8"?>
<sst xmlns="http://schemas.openxmlformats.org/spreadsheetml/2006/main" count="823" uniqueCount="254">
  <si>
    <t>Proposed Rate</t>
  </si>
  <si>
    <t>Billing</t>
  </si>
  <si>
    <t>Calculated</t>
  </si>
  <si>
    <t>Description</t>
  </si>
  <si>
    <t>Units</t>
  </si>
  <si>
    <t>Rate</t>
  </si>
  <si>
    <t>Billings</t>
  </si>
  <si>
    <t>Energy Charge</t>
  </si>
  <si>
    <t>kWh</t>
  </si>
  <si>
    <t>Customer Months</t>
  </si>
  <si>
    <t>Customer Charge</t>
  </si>
  <si>
    <t>Per kWh</t>
  </si>
  <si>
    <t>Per Customer</t>
  </si>
  <si>
    <t>Difference</t>
  </si>
  <si>
    <t>Customer Class</t>
  </si>
  <si>
    <t>Lights</t>
  </si>
  <si>
    <t>Per Light</t>
  </si>
  <si>
    <t>Minimum Bills</t>
  </si>
  <si>
    <t>Revenue Per Books</t>
  </si>
  <si>
    <t>Percentage Difference</t>
  </si>
  <si>
    <t>Kwh</t>
  </si>
  <si>
    <t>All Kwh's</t>
  </si>
  <si>
    <t>Percent Change</t>
  </si>
  <si>
    <t>All kWh</t>
  </si>
  <si>
    <t>Cust</t>
  </si>
  <si>
    <t>Yard Lights</t>
  </si>
  <si>
    <t>MO-YR</t>
  </si>
  <si>
    <t>Percent Difference</t>
  </si>
  <si>
    <t>Distribution Demand</t>
  </si>
  <si>
    <t>Residential Service</t>
  </si>
  <si>
    <t>All Cust. Months</t>
  </si>
  <si>
    <t>Test Year Rate</t>
  </si>
  <si>
    <t>Purchased Power Demand</t>
  </si>
  <si>
    <t>Purchased Power Energy</t>
  </si>
  <si>
    <t>Test Year Rate Calculated Billings</t>
  </si>
  <si>
    <t>Facility Charge</t>
  </si>
  <si>
    <t>Total Rate 11</t>
  </si>
  <si>
    <t>Total Rate 10 &amp; 13</t>
  </si>
  <si>
    <t xml:space="preserve">No. Consumers </t>
  </si>
  <si>
    <t>On Peak</t>
  </si>
  <si>
    <t>Off Peak</t>
  </si>
  <si>
    <t>All Months</t>
  </si>
  <si>
    <t>Revenue</t>
  </si>
  <si>
    <t>Cost Based Rate @ 7% ROR</t>
  </si>
  <si>
    <t>All Customers</t>
  </si>
  <si>
    <t>kWh Sold</t>
  </si>
  <si>
    <t>kWh Revenue</t>
  </si>
  <si>
    <t>Service Revenue</t>
  </si>
  <si>
    <t>Cost Based Rates - 7% ROR</t>
  </si>
  <si>
    <t xml:space="preserve">Purchased Power Energy </t>
  </si>
  <si>
    <t>On Peak Energy</t>
  </si>
  <si>
    <t>Off Peak Energy</t>
  </si>
  <si>
    <t>Cost Based TOU Rates - 7% ROR</t>
  </si>
  <si>
    <t>Present and Proposed Rates</t>
  </si>
  <si>
    <t>Rate Class</t>
  </si>
  <si>
    <t xml:space="preserve">Billing  </t>
  </si>
  <si>
    <t>Present</t>
  </si>
  <si>
    <t xml:space="preserve">Increase </t>
  </si>
  <si>
    <t>Proposed</t>
  </si>
  <si>
    <t>Increase</t>
  </si>
  <si>
    <t>Classification</t>
  </si>
  <si>
    <t>Code</t>
  </si>
  <si>
    <t>Unit</t>
  </si>
  <si>
    <t>(Decrease)</t>
  </si>
  <si>
    <t>$</t>
  </si>
  <si>
    <t>%</t>
  </si>
  <si>
    <t>TOTAL</t>
  </si>
  <si>
    <t>Intermountain Rural Electric Association</t>
  </si>
  <si>
    <t>Service $</t>
  </si>
  <si>
    <t>Energy $</t>
  </si>
  <si>
    <t>Residential - Overhead A02</t>
  </si>
  <si>
    <t>Residential - Underground A03</t>
  </si>
  <si>
    <t>Residential TOU - Overhead A02T</t>
  </si>
  <si>
    <t>Residential TOU - Underground A03T</t>
  </si>
  <si>
    <t>Residential TOU Service</t>
  </si>
  <si>
    <t>On Peak Kwh - Rural</t>
  </si>
  <si>
    <t>Off Peak Kwh - Rural</t>
  </si>
  <si>
    <t>On Peak Kwh - City</t>
  </si>
  <si>
    <t>Off Peak Kwh - City</t>
  </si>
  <si>
    <t>Residential TOU - City Overhead CS2T</t>
  </si>
  <si>
    <t>Residential TOU - City Underground CS3T</t>
  </si>
  <si>
    <t>Total Rate Revenue</t>
  </si>
  <si>
    <t>Rate Code</t>
  </si>
  <si>
    <t>A02 &amp; A03</t>
  </si>
  <si>
    <t>A02T, A03T, C02T, C03T</t>
  </si>
  <si>
    <t>Total</t>
  </si>
  <si>
    <t>Difference from Test Year</t>
  </si>
  <si>
    <t>Percent Change from Test Year</t>
  </si>
  <si>
    <t>Avg Incr/(Decr) Per Customer Per Month</t>
  </si>
  <si>
    <t>Current</t>
  </si>
  <si>
    <t>Revenues</t>
  </si>
  <si>
    <t xml:space="preserve">Present </t>
  </si>
  <si>
    <t>Energy Charge (per kWh)</t>
  </si>
  <si>
    <t>Demand Charge (per kW)</t>
  </si>
  <si>
    <t>Proposed Rates</t>
  </si>
  <si>
    <t>Avg Bill</t>
  </si>
  <si>
    <t>Meade County RECC</t>
  </si>
  <si>
    <t>Small Comm</t>
  </si>
  <si>
    <t>3 Ph 0-999 KVA TOD</t>
  </si>
  <si>
    <t>Large 1000 KVA TOD</t>
  </si>
  <si>
    <t>Per Day</t>
  </si>
  <si>
    <t>Jan to Dec</t>
  </si>
  <si>
    <t>Other Charges</t>
  </si>
  <si>
    <t>Customer Charge (per day)</t>
  </si>
  <si>
    <t>Residential</t>
  </si>
  <si>
    <t>3 Phase</t>
  </si>
  <si>
    <t>3A</t>
  </si>
  <si>
    <t>175W Unmetered</t>
  </si>
  <si>
    <t>175W Metered</t>
  </si>
  <si>
    <t>400W Unmetered</t>
  </si>
  <si>
    <t>400W Metered</t>
  </si>
  <si>
    <t xml:space="preserve">175W </t>
  </si>
  <si>
    <t>400W</t>
  </si>
  <si>
    <t>Customers</t>
  </si>
  <si>
    <t>Environmental Surcharge</t>
  </si>
  <si>
    <t>Member Rate Stability</t>
  </si>
  <si>
    <t>Non-FAC PPA</t>
  </si>
  <si>
    <t>Fuel Adjustment Clause</t>
  </si>
  <si>
    <t>Charge 0-100 KVA</t>
  </si>
  <si>
    <t>Charge 101-1,000 KVA</t>
  </si>
  <si>
    <t>Charge Over 1,000 KVA</t>
  </si>
  <si>
    <t>Demand Charge</t>
  </si>
  <si>
    <t>kW</t>
  </si>
  <si>
    <t>Per kW</t>
  </si>
  <si>
    <t>Jan-Dec (Customer XF)</t>
  </si>
  <si>
    <t>Jan-Dec (Utility XF)</t>
  </si>
  <si>
    <t>First 300 kWh/KVA</t>
  </si>
  <si>
    <t>All Remaining kWh</t>
  </si>
  <si>
    <t>Per Month</t>
  </si>
  <si>
    <t>175 W</t>
  </si>
  <si>
    <t>400 W</t>
  </si>
  <si>
    <t>Summary of Consumption Analysis</t>
  </si>
  <si>
    <t>Private Outdoor Lighting</t>
  </si>
  <si>
    <t>Monthly</t>
  </si>
  <si>
    <t>Annual</t>
  </si>
  <si>
    <t>MEADE COUNTY RECC</t>
  </si>
  <si>
    <t>Rates</t>
  </si>
  <si>
    <t xml:space="preserve">Customer </t>
  </si>
  <si>
    <t>Energy</t>
  </si>
  <si>
    <t>Customer</t>
  </si>
  <si>
    <t>Monthly Base Rate Increase by KWH</t>
  </si>
  <si>
    <t xml:space="preserve">Residential </t>
  </si>
  <si>
    <t>Present Base Rates</t>
  </si>
  <si>
    <t>Proposed Base Rates</t>
  </si>
  <si>
    <t>#</t>
  </si>
  <si>
    <t xml:space="preserve">Energy </t>
  </si>
  <si>
    <t>AVG</t>
  </si>
  <si>
    <t>Public Notice of Proposed Rate Revisions</t>
  </si>
  <si>
    <t>The amount of the change requested in both dollar amounts and percentage change for each customer classification to which the proposed rates will apply is set forth below:</t>
  </si>
  <si>
    <t>Dollars</t>
  </si>
  <si>
    <t>Percent</t>
  </si>
  <si>
    <t>The amount of the average usage and the effect upon the average bill for each customer classification to which the proposed rates will apply is set forth below:</t>
  </si>
  <si>
    <t>Average</t>
  </si>
  <si>
    <t>Usage (kWh)</t>
  </si>
  <si>
    <t>NA</t>
  </si>
  <si>
    <t>Street &amp; Hwy Lights</t>
  </si>
  <si>
    <t>List of Rate Schedules</t>
  </si>
  <si>
    <t>Item 6 - Monthly Billing Determinants</t>
  </si>
  <si>
    <t>Tariff Schedule</t>
  </si>
  <si>
    <t>Private Out Lights</t>
  </si>
  <si>
    <t>a. Number of Customers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</si>
  <si>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</si>
  <si>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</si>
  <si>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</si>
  <si>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</si>
  <si>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</si>
  <si>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</si>
  <si>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</si>
  <si>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</si>
  <si>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</si>
  <si>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</si>
  <si>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</si>
  <si>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</si>
  <si>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TOTALS</t>
  </si>
  <si>
    <t>b. kWh Sales</t>
  </si>
  <si>
    <t>c. kW Billing Demand (NCP)</t>
  </si>
  <si>
    <t xml:space="preserve">d. Revenue </t>
  </si>
  <si>
    <t>CostBased</t>
  </si>
  <si>
    <t>Diff</t>
  </si>
  <si>
    <t>Target</t>
  </si>
  <si>
    <t>Number of Lights Billed</t>
  </si>
  <si>
    <t>Schedule 5 Outdoor Lighting</t>
  </si>
  <si>
    <t>per month</t>
  </si>
  <si>
    <t>Unmetered Small (USL) 175W/70LED</t>
  </si>
  <si>
    <t>RATE 5 TYPE 1</t>
  </si>
  <si>
    <t>Unmetered Large (ULL) 400W/200LED</t>
  </si>
  <si>
    <t>RATE 5 TYPE 2</t>
  </si>
  <si>
    <t>Metered Small (MSL) 175W/70LED</t>
  </si>
  <si>
    <t>RATE 5 TYPE 3</t>
  </si>
  <si>
    <t>Metered Large (MLL) 400W/200LED</t>
  </si>
  <si>
    <t>RATE 5 TYPE 4</t>
  </si>
  <si>
    <t>Schedule 6 Street Lighting</t>
  </si>
  <si>
    <t>Street Light Small 175W</t>
  </si>
  <si>
    <t>RATE 6 TYPE 1</t>
  </si>
  <si>
    <t>Street Light Large 400W</t>
  </si>
  <si>
    <t>RATE 6 TYPE 2</t>
  </si>
  <si>
    <t>NUMBER OF LIGHTS BILLED</t>
  </si>
  <si>
    <t>KWH BILLED</t>
  </si>
  <si>
    <t>DOLLAR AMOUNT BILLED</t>
  </si>
  <si>
    <t>Total $</t>
  </si>
  <si>
    <t>Target:</t>
  </si>
  <si>
    <t>Variance $:</t>
  </si>
  <si>
    <t>Variance %:</t>
  </si>
  <si>
    <t>Residential Customer Charge Range Analysis</t>
  </si>
  <si>
    <t>Daily</t>
  </si>
  <si>
    <t>Movement</t>
  </si>
  <si>
    <t>^</t>
  </si>
  <si>
    <t>Total movement across gap btwn Current and Cost-Based</t>
  </si>
  <si>
    <t>Res Cust Chg per month:</t>
  </si>
  <si>
    <t>Year 2024</t>
  </si>
  <si>
    <t>Lighting Adjustments</t>
  </si>
  <si>
    <t>1/5</t>
  </si>
  <si>
    <t>2/5</t>
  </si>
  <si>
    <t>3A/5</t>
  </si>
  <si>
    <t>3/5</t>
  </si>
  <si>
    <t>4/5</t>
  </si>
  <si>
    <t>**Schedule 5 Outdoor Lighting</t>
  </si>
  <si>
    <t>Residential-Rural</t>
  </si>
  <si>
    <t>3 Ph 0-1000 KVA</t>
  </si>
  <si>
    <t>3 Ph Over 1000 KVA</t>
  </si>
  <si>
    <t>Nucor</t>
  </si>
  <si>
    <t xml:space="preserve">  TOTAL</t>
  </si>
  <si>
    <t>Class</t>
  </si>
  <si>
    <t>Revenue Account</t>
  </si>
  <si>
    <t>**Rate schedule 1 includes 170 residential net meters</t>
  </si>
  <si>
    <t>**Rate schedule 2 includes 2 commercial net meters</t>
  </si>
  <si>
    <t>**Rate schedule 3 includes 2 commercial co-gen meters</t>
  </si>
  <si>
    <t>Item 16 Street &amp; Outdoor Lights</t>
  </si>
  <si>
    <t xml:space="preserve"> </t>
  </si>
  <si>
    <t>Riders</t>
  </si>
  <si>
    <t>Avg</t>
  </si>
  <si>
    <t>Adjusted for 5 YL</t>
  </si>
  <si>
    <t>SC</t>
  </si>
  <si>
    <t>Special Contract</t>
  </si>
  <si>
    <t>Incr</t>
  </si>
  <si>
    <t>Commercial Rate</t>
  </si>
  <si>
    <t>Large Power Service, 1,000 KVA and Larger (TOD)</t>
  </si>
  <si>
    <t>Street Lighting - Community, Municipalities, Towns</t>
  </si>
  <si>
    <t>Outdoor Lighting Service - Individual Consumers</t>
  </si>
  <si>
    <t>Three Phase Power Service, 0 KVA and greater- 3 Phase Service</t>
  </si>
  <si>
    <t>No changes are proposed to any other Rate Schedules.</t>
  </si>
  <si>
    <t>Small Comm Cust Chg per month:</t>
  </si>
  <si>
    <t>Customer Charge (Utility Transformer)</t>
  </si>
  <si>
    <t>Energy Charge (per kWh) (First 300 kWh/kW)</t>
  </si>
  <si>
    <t>Energy Charge (per kWh) (All remaining kWh)</t>
  </si>
  <si>
    <t>Customer Charge (per day) (0-100 KVA)</t>
  </si>
  <si>
    <t>Customer Charge (per day) (101-1,000 KVA)</t>
  </si>
  <si>
    <t>Customer Charge (per day) (Over 1,000 KVA)</t>
  </si>
  <si>
    <t>Target Delta &gt;</t>
  </si>
  <si>
    <t>Scalar &gt;</t>
  </si>
  <si>
    <t>Incr(Decr)</t>
  </si>
  <si>
    <t>Three Phase Power Service, 0 KVA - 999 KVA- Optional Time-of-Day (TOD) Rate</t>
  </si>
  <si>
    <t>Residential, Farm and Non- Farm, Schools &amp; Churches</t>
  </si>
  <si>
    <t>Customer Charge (Customer Transformer)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</si>
</sst>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.0000"/>
    <numFmt numFmtId="166" formatCode="&quot;$&quot;#,##0.00000"/>
    <numFmt numFmtId="167" formatCode="0.0%"/>
    <numFmt numFmtId="168" formatCode="0.000%"/>
    <numFmt numFmtId="169" formatCode="_(* #,##0_);_(* \(#,##0\);_(* &quot;-&quot;??_);_(@_)"/>
    <numFmt numFmtId="170" formatCode="_(* #,##0.000_);_(* \(#,##0.000\);_(* &quot;-&quot;??_);_(@_)"/>
    <numFmt numFmtId="171" formatCode="_(* #,##0.0000_);_(* \(#,##0.0000\);_(* &quot;-&quot;??_);_(@_)"/>
    <numFmt numFmtId="172" formatCode="_(* #,##0.00000_);_(* \(#,##0.00000\);_(* &quot;-&quot;??_);_(@_)"/>
    <numFmt numFmtId="173" formatCode="_(* #,##0.000000_);_(* \(#,##0.000000\);_(* &quot;-&quot;??_);_(@_)"/>
    <numFmt numFmtId="174" formatCode="_(&quot;$&quot;* #,##0.0000_);_(&quot;$&quot;* \(#,##0.0000\);_(&quot;$&quot;* &quot;-&quot;??_);_(@_)"/>
    <numFmt numFmtId="175" formatCode="_(&quot;$&quot;* #,##0.00000_);_(&quot;$&quot;* \(#,##0.00000\);_(&quot;$&quot;* &quot;-&quot;??_);_(@_)"/>
    <numFmt numFmtId="176" formatCode="&quot;$&quot;#,##0.00"/>
    <numFmt numFmtId="177" formatCode="0.000000"/>
    <numFmt numFmtId="178" formatCode="[$-409]mmmm\-yy;@"/>
    <numFmt numFmtId="179" formatCode="&quot;$&quot;#,##0"/>
    <numFmt numFmtId="180" formatCode="_(&quot;$&quot;* #,##0.000_);_(&quot;$&quot;* \(#,##0.000\);_(&quot;$&quot;* &quot;-&quot;??_);_(@_)"/>
    <numFmt numFmtId="181" formatCode="&quot;$&quot;#,##0.000000"/>
    <numFmt numFmtId="182" formatCode="0.000"/>
    <numFmt numFmtId="183" formatCode="#,##0.0_);\(#,##0.0\)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b/>
      <sz val="10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color rgb="FF0000FF"/>
      <name val="Times New Roman"/>
      <family val="1"/>
    </font>
    <font>
      <b/>
      <sz val="12"/>
      <color rgb="FFC00000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rgb="FF7030A0"/>
      <name val="Times New Roman"/>
      <family val="1"/>
    </font>
    <font>
      <sz val="12"/>
      <color rgb="FF000099"/>
      <name val="Times New Roman"/>
      <family val="1"/>
    </font>
    <font>
      <sz val="12"/>
      <color rgb="FF0000CC"/>
      <name val="Times New Roman"/>
      <family val="1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u/>
      <sz val="12"/>
      <name val="Times New Roman"/>
      <family val="1"/>
    </font>
    <font>
      <b/>
      <sz val="12"/>
      <color rgb="FF7030A0"/>
      <name val="Times New Roman"/>
      <family val="1"/>
    </font>
    <font>
      <sz val="12"/>
      <color indexed="12"/>
      <name val="Calibri"/>
      <family val="2"/>
      <scheme val="minor"/>
    </font>
    <font>
      <sz val="12"/>
      <name val="Calibri"/>
      <family val="2"/>
      <scheme val="minor"/>
    </font>
    <font>
      <sz val="12"/>
      <color indexed="12"/>
      <name val="Calibri"/>
      <family val="2"/>
    </font>
    <font>
      <sz val="12"/>
      <color indexed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20">
    <xf numFmtId="0" fontId="0" fillId="0" borderId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06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right"/>
    </xf>
    <xf numFmtId="0" fontId="5" fillId="0" borderId="2" xfId="0" applyFont="1" applyBorder="1" applyAlignment="1">
      <alignment wrapText="1"/>
    </xf>
    <xf numFmtId="0" fontId="4" fillId="0" borderId="2" xfId="0" applyFont="1" applyBorder="1"/>
    <xf numFmtId="41" fontId="4" fillId="0" borderId="0" xfId="0" applyNumberFormat="1" applyFont="1"/>
    <xf numFmtId="44" fontId="4" fillId="0" borderId="0" xfId="5" applyFont="1"/>
    <xf numFmtId="44" fontId="4" fillId="0" borderId="0" xfId="0" applyNumberFormat="1" applyFont="1"/>
    <xf numFmtId="164" fontId="4" fillId="0" borderId="0" xfId="0" applyNumberFormat="1" applyFont="1"/>
    <xf numFmtId="0" fontId="5" fillId="0" borderId="2" xfId="0" applyFont="1" applyBorder="1"/>
    <xf numFmtId="41" fontId="5" fillId="0" borderId="2" xfId="0" applyNumberFormat="1" applyFont="1" applyBorder="1"/>
    <xf numFmtId="169" fontId="4" fillId="0" borderId="0" xfId="1" applyNumberFormat="1" applyFont="1"/>
    <xf numFmtId="165" fontId="4" fillId="0" borderId="0" xfId="0" applyNumberFormat="1" applyFont="1"/>
    <xf numFmtId="0" fontId="5" fillId="0" borderId="0" xfId="0" applyFont="1"/>
    <xf numFmtId="41" fontId="4" fillId="0" borderId="2" xfId="0" applyNumberFormat="1" applyFont="1" applyBorder="1"/>
    <xf numFmtId="166" fontId="4" fillId="0" borderId="0" xfId="0" applyNumberFormat="1" applyFont="1"/>
    <xf numFmtId="169" fontId="4" fillId="0" borderId="0" xfId="0" applyNumberFormat="1" applyFont="1"/>
    <xf numFmtId="43" fontId="4" fillId="0" borderId="0" xfId="0" applyNumberFormat="1" applyFont="1"/>
    <xf numFmtId="174" fontId="4" fillId="0" borderId="0" xfId="0" applyNumberFormat="1" applyFont="1"/>
    <xf numFmtId="164" fontId="4" fillId="0" borderId="0" xfId="12" applyNumberFormat="1" applyFont="1"/>
    <xf numFmtId="10" fontId="4" fillId="0" borderId="0" xfId="12" applyNumberFormat="1" applyFont="1" applyBorder="1"/>
    <xf numFmtId="164" fontId="4" fillId="0" borderId="3" xfId="0" applyNumberFormat="1" applyFont="1" applyBorder="1"/>
    <xf numFmtId="10" fontId="4" fillId="0" borderId="0" xfId="12" applyNumberFormat="1" applyFont="1"/>
    <xf numFmtId="43" fontId="4" fillId="0" borderId="0" xfId="1" applyFont="1"/>
    <xf numFmtId="175" fontId="4" fillId="0" borderId="0" xfId="0" applyNumberFormat="1" applyFont="1"/>
    <xf numFmtId="166" fontId="4" fillId="0" borderId="2" xfId="0" applyNumberFormat="1" applyFont="1" applyBorder="1"/>
    <xf numFmtId="164" fontId="4" fillId="0" borderId="0" xfId="5" applyNumberFormat="1" applyFont="1"/>
    <xf numFmtId="169" fontId="4" fillId="0" borderId="2" xfId="1" applyNumberFormat="1" applyFont="1" applyBorder="1" applyAlignment="1">
      <alignment horizontal="right"/>
    </xf>
    <xf numFmtId="44" fontId="4" fillId="0" borderId="0" xfId="5" applyFont="1" applyBorder="1"/>
    <xf numFmtId="43" fontId="4" fillId="0" borderId="0" xfId="1" applyFont="1" applyBorder="1"/>
    <xf numFmtId="169" fontId="4" fillId="0" borderId="0" xfId="1" applyNumberFormat="1" applyFont="1" applyBorder="1"/>
    <xf numFmtId="169" fontId="4" fillId="0" borderId="2" xfId="1" applyNumberFormat="1" applyFont="1" applyBorder="1"/>
    <xf numFmtId="164" fontId="4" fillId="0" borderId="0" xfId="5" applyNumberFormat="1" applyFont="1" applyBorder="1"/>
    <xf numFmtId="169" fontId="4" fillId="0" borderId="0" xfId="1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169" fontId="4" fillId="0" borderId="0" xfId="1" applyNumberFormat="1" applyFont="1" applyAlignment="1">
      <alignment horizontal="right"/>
    </xf>
    <xf numFmtId="17" fontId="4" fillId="0" borderId="0" xfId="0" applyNumberFormat="1" applyFont="1"/>
    <xf numFmtId="0" fontId="4" fillId="0" borderId="0" xfId="0" applyFont="1" applyAlignment="1">
      <alignment horizontal="left"/>
    </xf>
    <xf numFmtId="0" fontId="3" fillId="0" borderId="1" xfId="0" applyFont="1" applyBorder="1"/>
    <xf numFmtId="0" fontId="4" fillId="0" borderId="1" xfId="0" applyFont="1" applyBorder="1"/>
    <xf numFmtId="0" fontId="4" fillId="0" borderId="2" xfId="0" applyFont="1" applyBorder="1" applyAlignment="1">
      <alignment horizontal="right"/>
    </xf>
    <xf numFmtId="169" fontId="4" fillId="0" borderId="0" xfId="1" applyNumberFormat="1" applyFont="1" applyFill="1"/>
    <xf numFmtId="169" fontId="4" fillId="0" borderId="0" xfId="1" applyNumberFormat="1" applyFont="1" applyFill="1" applyBorder="1"/>
    <xf numFmtId="176" fontId="4" fillId="0" borderId="2" xfId="0" applyNumberFormat="1" applyFont="1" applyBorder="1"/>
    <xf numFmtId="0" fontId="3" fillId="0" borderId="0" xfId="0" quotePrefix="1" applyFont="1"/>
    <xf numFmtId="164" fontId="4" fillId="0" borderId="0" xfId="12" applyNumberFormat="1" applyFont="1" applyFill="1"/>
    <xf numFmtId="10" fontId="4" fillId="0" borderId="0" xfId="12" applyNumberFormat="1" applyFont="1" applyFill="1" applyBorder="1"/>
    <xf numFmtId="164" fontId="4" fillId="0" borderId="2" xfId="0" applyNumberFormat="1" applyFont="1" applyBorder="1"/>
    <xf numFmtId="164" fontId="4" fillId="0" borderId="0" xfId="12" applyNumberFormat="1" applyFont="1" applyFill="1" applyBorder="1"/>
    <xf numFmtId="168" fontId="4" fillId="0" borderId="0" xfId="12" applyNumberFormat="1" applyFont="1" applyFill="1" applyBorder="1"/>
    <xf numFmtId="175" fontId="4" fillId="0" borderId="0" xfId="5" applyNumberFormat="1" applyFont="1" applyBorder="1"/>
    <xf numFmtId="175" fontId="4" fillId="0" borderId="0" xfId="5" applyNumberFormat="1" applyFont="1"/>
    <xf numFmtId="177" fontId="4" fillId="0" borderId="0" xfId="0" applyNumberFormat="1" applyFont="1"/>
    <xf numFmtId="164" fontId="4" fillId="0" borderId="0" xfId="5" applyNumberFormat="1" applyFont="1" applyFill="1" applyBorder="1"/>
    <xf numFmtId="0" fontId="4" fillId="0" borderId="0" xfId="0" applyFont="1" applyAlignment="1">
      <alignment horizontal="center"/>
    </xf>
    <xf numFmtId="2" fontId="4" fillId="0" borderId="0" xfId="0" applyNumberFormat="1" applyFont="1"/>
    <xf numFmtId="169" fontId="4" fillId="0" borderId="2" xfId="0" applyNumberFormat="1" applyFont="1" applyBorder="1"/>
    <xf numFmtId="164" fontId="4" fillId="0" borderId="3" xfId="5" applyNumberFormat="1" applyFont="1" applyFill="1" applyBorder="1"/>
    <xf numFmtId="8" fontId="4" fillId="0" borderId="0" xfId="0" applyNumberFormat="1" applyFont="1"/>
    <xf numFmtId="2" fontId="4" fillId="0" borderId="0" xfId="0" applyNumberFormat="1" applyFont="1" applyAlignment="1">
      <alignment horizontal="right"/>
    </xf>
    <xf numFmtId="169" fontId="4" fillId="0" borderId="0" xfId="1" applyNumberFormat="1" applyFont="1" applyFill="1" applyBorder="1" applyAlignment="1">
      <alignment horizontal="right"/>
    </xf>
    <xf numFmtId="169" fontId="4" fillId="0" borderId="0" xfId="1" applyNumberFormat="1" applyFont="1" applyFill="1" applyAlignment="1">
      <alignment horizontal="right"/>
    </xf>
    <xf numFmtId="0" fontId="3" fillId="0" borderId="0" xfId="0" applyFont="1" applyAlignment="1">
      <alignment horizontal="left"/>
    </xf>
    <xf numFmtId="1" fontId="4" fillId="0" borderId="0" xfId="0" applyNumberFormat="1" applyFont="1"/>
    <xf numFmtId="171" fontId="4" fillId="0" borderId="0" xfId="1" applyNumberFormat="1" applyFont="1" applyBorder="1" applyAlignment="1">
      <alignment horizontal="right"/>
    </xf>
    <xf numFmtId="44" fontId="4" fillId="0" borderId="0" xfId="5" applyFont="1" applyBorder="1" applyAlignment="1">
      <alignment horizontal="right"/>
    </xf>
    <xf numFmtId="176" fontId="4" fillId="0" borderId="0" xfId="0" applyNumberFormat="1" applyFont="1"/>
    <xf numFmtId="172" fontId="4" fillId="0" borderId="2" xfId="1" applyNumberFormat="1" applyFont="1" applyBorder="1"/>
    <xf numFmtId="1" fontId="4" fillId="0" borderId="0" xfId="0" applyNumberFormat="1" applyFont="1" applyAlignment="1">
      <alignment horizontal="right"/>
    </xf>
    <xf numFmtId="43" fontId="4" fillId="0" borderId="0" xfId="1" applyFont="1" applyFill="1"/>
    <xf numFmtId="44" fontId="4" fillId="0" borderId="0" xfId="5" applyFont="1" applyFill="1"/>
    <xf numFmtId="1" fontId="4" fillId="0" borderId="2" xfId="0" applyNumberFormat="1" applyFont="1" applyBorder="1" applyAlignment="1">
      <alignment horizontal="right"/>
    </xf>
    <xf numFmtId="1" fontId="4" fillId="0" borderId="2" xfId="0" applyNumberFormat="1" applyFont="1" applyBorder="1"/>
    <xf numFmtId="172" fontId="4" fillId="0" borderId="0" xfId="1" applyNumberFormat="1" applyFont="1" applyBorder="1"/>
    <xf numFmtId="172" fontId="4" fillId="0" borderId="0" xfId="1" applyNumberFormat="1" applyFont="1"/>
    <xf numFmtId="41" fontId="5" fillId="0" borderId="0" xfId="0" applyNumberFormat="1" applyFont="1" applyAlignment="1">
      <alignment horizontal="left"/>
    </xf>
    <xf numFmtId="0" fontId="7" fillId="0" borderId="0" xfId="0" applyFont="1"/>
    <xf numFmtId="164" fontId="4" fillId="0" borderId="0" xfId="6" applyNumberFormat="1" applyFont="1"/>
    <xf numFmtId="164" fontId="4" fillId="0" borderId="0" xfId="5" applyNumberFormat="1" applyFont="1" applyFill="1"/>
    <xf numFmtId="178" fontId="4" fillId="0" borderId="0" xfId="0" applyNumberFormat="1" applyFont="1"/>
    <xf numFmtId="2" fontId="4" fillId="0" borderId="2" xfId="0" applyNumberFormat="1" applyFont="1" applyBorder="1" applyAlignment="1">
      <alignment horizontal="right"/>
    </xf>
    <xf numFmtId="44" fontId="4" fillId="0" borderId="0" xfId="5" applyFont="1" applyFill="1" applyBorder="1"/>
    <xf numFmtId="44" fontId="4" fillId="0" borderId="2" xfId="5" applyFont="1" applyBorder="1"/>
    <xf numFmtId="44" fontId="4" fillId="0" borderId="2" xfId="5" applyFont="1" applyFill="1" applyBorder="1"/>
    <xf numFmtId="44" fontId="4" fillId="0" borderId="0" xfId="0" applyNumberFormat="1" applyFont="1" applyAlignment="1">
      <alignment horizontal="left"/>
    </xf>
    <xf numFmtId="9" fontId="4" fillId="0" borderId="0" xfId="12" applyFont="1"/>
    <xf numFmtId="0" fontId="3" fillId="0" borderId="0" xfId="11" applyFont="1" applyAlignment="1">
      <alignment horizontal="left"/>
    </xf>
    <xf numFmtId="0" fontId="4" fillId="0" borderId="0" xfId="11" applyFont="1"/>
    <xf numFmtId="10" fontId="4" fillId="0" borderId="0" xfId="15" applyNumberFormat="1" applyFont="1"/>
    <xf numFmtId="0" fontId="7" fillId="0" borderId="0" xfId="11" applyFont="1"/>
    <xf numFmtId="0" fontId="4" fillId="0" borderId="0" xfId="11" applyFont="1" applyAlignment="1">
      <alignment horizontal="left"/>
    </xf>
    <xf numFmtId="0" fontId="3" fillId="0" borderId="2" xfId="11" applyFont="1" applyBorder="1" applyAlignment="1">
      <alignment horizontal="center"/>
    </xf>
    <xf numFmtId="0" fontId="3" fillId="0" borderId="0" xfId="11" applyFont="1" applyAlignment="1">
      <alignment horizontal="right"/>
    </xf>
    <xf numFmtId="0" fontId="3" fillId="0" borderId="0" xfId="11" applyFont="1"/>
    <xf numFmtId="0" fontId="3" fillId="0" borderId="0" xfId="11" applyFont="1" applyAlignment="1">
      <alignment horizontal="center"/>
    </xf>
    <xf numFmtId="0" fontId="3" fillId="0" borderId="2" xfId="11" applyFont="1" applyBorder="1"/>
    <xf numFmtId="0" fontId="3" fillId="0" borderId="2" xfId="11" applyFont="1" applyBorder="1" applyAlignment="1">
      <alignment horizontal="left"/>
    </xf>
    <xf numFmtId="0" fontId="3" fillId="0" borderId="2" xfId="11" applyFont="1" applyBorder="1" applyAlignment="1">
      <alignment horizontal="right"/>
    </xf>
    <xf numFmtId="0" fontId="4" fillId="0" borderId="0" xfId="9" applyFont="1"/>
    <xf numFmtId="43" fontId="4" fillId="0" borderId="0" xfId="3" applyFont="1"/>
    <xf numFmtId="43" fontId="15" fillId="0" borderId="0" xfId="3" applyFont="1"/>
    <xf numFmtId="167" fontId="4" fillId="0" borderId="0" xfId="14" applyNumberFormat="1" applyFont="1"/>
    <xf numFmtId="164" fontId="4" fillId="0" borderId="0" xfId="11" applyNumberFormat="1" applyFont="1"/>
    <xf numFmtId="9" fontId="4" fillId="0" borderId="0" xfId="15" applyFont="1" applyFill="1"/>
    <xf numFmtId="172" fontId="4" fillId="0" borderId="0" xfId="3" applyNumberFormat="1" applyFont="1"/>
    <xf numFmtId="0" fontId="4" fillId="2" borderId="0" xfId="9" applyFont="1" applyFill="1"/>
    <xf numFmtId="10" fontId="4" fillId="2" borderId="0" xfId="14" applyNumberFormat="1" applyFont="1" applyFill="1" applyAlignment="1">
      <alignment horizontal="left"/>
    </xf>
    <xf numFmtId="0" fontId="4" fillId="2" borderId="0" xfId="11" applyFont="1" applyFill="1"/>
    <xf numFmtId="0" fontId="15" fillId="2" borderId="0" xfId="11" applyFont="1" applyFill="1"/>
    <xf numFmtId="164" fontId="4" fillId="2" borderId="0" xfId="6" applyNumberFormat="1" applyFont="1" applyFill="1"/>
    <xf numFmtId="167" fontId="4" fillId="2" borderId="0" xfId="14" applyNumberFormat="1" applyFont="1" applyFill="1"/>
    <xf numFmtId="167" fontId="4" fillId="0" borderId="0" xfId="15" applyNumberFormat="1" applyFont="1"/>
    <xf numFmtId="0" fontId="4" fillId="0" borderId="3" xfId="11" applyFont="1" applyBorder="1" applyAlignment="1">
      <alignment vertical="center"/>
    </xf>
    <xf numFmtId="0" fontId="4" fillId="0" borderId="3" xfId="11" applyFont="1" applyBorder="1" applyAlignment="1">
      <alignment horizontal="left" vertical="center"/>
    </xf>
    <xf numFmtId="164" fontId="4" fillId="0" borderId="3" xfId="11" applyNumberFormat="1" applyFont="1" applyBorder="1" applyAlignment="1">
      <alignment vertical="center"/>
    </xf>
    <xf numFmtId="167" fontId="4" fillId="0" borderId="3" xfId="15" applyNumberFormat="1" applyFont="1" applyBorder="1" applyAlignment="1">
      <alignment vertical="center"/>
    </xf>
    <xf numFmtId="10" fontId="3" fillId="0" borderId="0" xfId="14" applyNumberFormat="1" applyFont="1" applyAlignment="1">
      <alignment vertical="center"/>
    </xf>
    <xf numFmtId="0" fontId="4" fillId="0" borderId="0" xfId="11" applyFont="1" applyAlignment="1">
      <alignment vertical="center"/>
    </xf>
    <xf numFmtId="41" fontId="5" fillId="0" borderId="2" xfId="0" applyNumberFormat="1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164" fontId="0" fillId="0" borderId="0" xfId="0" applyNumberFormat="1"/>
    <xf numFmtId="2" fontId="4" fillId="0" borderId="0" xfId="11" applyNumberFormat="1" applyFont="1"/>
    <xf numFmtId="44" fontId="4" fillId="0" borderId="0" xfId="11" applyNumberFormat="1" applyFont="1"/>
    <xf numFmtId="5" fontId="4" fillId="0" borderId="0" xfId="5" applyNumberFormat="1" applyFont="1" applyFill="1"/>
    <xf numFmtId="5" fontId="4" fillId="2" borderId="0" xfId="5" applyNumberFormat="1" applyFont="1" applyFill="1"/>
    <xf numFmtId="0" fontId="4" fillId="3" borderId="0" xfId="11" applyFont="1" applyFill="1"/>
    <xf numFmtId="0" fontId="3" fillId="3" borderId="0" xfId="11" applyFont="1" applyFill="1"/>
    <xf numFmtId="0" fontId="4" fillId="3" borderId="0" xfId="11" applyFont="1" applyFill="1" applyAlignment="1">
      <alignment vertical="center"/>
    </xf>
    <xf numFmtId="0" fontId="16" fillId="0" borderId="0" xfId="11" applyFont="1"/>
    <xf numFmtId="0" fontId="4" fillId="0" borderId="0" xfId="1" applyNumberFormat="1" applyFont="1" applyFill="1" applyAlignment="1">
      <alignment horizontal="left"/>
    </xf>
    <xf numFmtId="0" fontId="4" fillId="0" borderId="0" xfId="14" applyNumberFormat="1" applyFont="1" applyFill="1" applyAlignment="1">
      <alignment horizontal="left"/>
    </xf>
    <xf numFmtId="0" fontId="4" fillId="2" borderId="0" xfId="14" applyNumberFormat="1" applyFont="1" applyFill="1" applyAlignment="1">
      <alignment horizontal="left"/>
    </xf>
    <xf numFmtId="181" fontId="4" fillId="0" borderId="0" xfId="0" applyNumberFormat="1" applyFont="1"/>
    <xf numFmtId="180" fontId="4" fillId="0" borderId="0" xfId="5" applyNumberFormat="1" applyFont="1"/>
    <xf numFmtId="170" fontId="4" fillId="0" borderId="0" xfId="3" applyNumberFormat="1" applyFont="1"/>
    <xf numFmtId="173" fontId="4" fillId="0" borderId="0" xfId="3" applyNumberFormat="1" applyFont="1"/>
    <xf numFmtId="0" fontId="5" fillId="0" borderId="2" xfId="0" applyFont="1" applyBorder="1" applyAlignment="1">
      <alignment horizontal="right" wrapText="1"/>
    </xf>
    <xf numFmtId="164" fontId="4" fillId="0" borderId="0" xfId="12" applyNumberFormat="1" applyFont="1" applyBorder="1"/>
    <xf numFmtId="0" fontId="4" fillId="0" borderId="4" xfId="0" applyFont="1" applyBorder="1" applyAlignment="1">
      <alignment horizontal="right"/>
    </xf>
    <xf numFmtId="164" fontId="4" fillId="0" borderId="4" xfId="0" applyNumberFormat="1" applyFont="1" applyBorder="1"/>
    <xf numFmtId="41" fontId="4" fillId="0" borderId="4" xfId="0" applyNumberFormat="1" applyFont="1" applyBorder="1"/>
    <xf numFmtId="41" fontId="5" fillId="0" borderId="0" xfId="0" applyNumberFormat="1" applyFont="1" applyAlignment="1">
      <alignment horizontal="right"/>
    </xf>
    <xf numFmtId="164" fontId="4" fillId="0" borderId="4" xfId="5" applyNumberFormat="1" applyFont="1" applyFill="1" applyBorder="1"/>
    <xf numFmtId="169" fontId="4" fillId="0" borderId="4" xfId="0" applyNumberFormat="1" applyFont="1" applyBorder="1"/>
    <xf numFmtId="0" fontId="3" fillId="0" borderId="4" xfId="0" applyFont="1" applyBorder="1"/>
    <xf numFmtId="0" fontId="4" fillId="0" borderId="4" xfId="0" applyFont="1" applyBorder="1"/>
    <xf numFmtId="166" fontId="4" fillId="0" borderId="4" xfId="0" applyNumberFormat="1" applyFont="1" applyBorder="1"/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4" fillId="0" borderId="5" xfId="0" applyFont="1" applyBorder="1"/>
    <xf numFmtId="164" fontId="4" fillId="0" borderId="5" xfId="0" applyNumberFormat="1" applyFont="1" applyBorder="1"/>
    <xf numFmtId="169" fontId="4" fillId="0" borderId="5" xfId="1" applyNumberFormat="1" applyFont="1" applyBorder="1"/>
    <xf numFmtId="44" fontId="4" fillId="0" borderId="5" xfId="0" applyNumberFormat="1" applyFont="1" applyBorder="1"/>
    <xf numFmtId="164" fontId="4" fillId="0" borderId="5" xfId="12" applyNumberFormat="1" applyFont="1" applyBorder="1"/>
    <xf numFmtId="10" fontId="4" fillId="0" borderId="5" xfId="12" applyNumberFormat="1" applyFont="1" applyBorder="1"/>
    <xf numFmtId="0" fontId="3" fillId="0" borderId="5" xfId="0" quotePrefix="1" applyFont="1" applyBorder="1"/>
    <xf numFmtId="9" fontId="4" fillId="0" borderId="0" xfId="12" applyFont="1" applyFill="1"/>
    <xf numFmtId="0" fontId="4" fillId="0" borderId="0" xfId="11" applyFont="1" applyAlignment="1">
      <alignment horizontal="right"/>
    </xf>
    <xf numFmtId="43" fontId="4" fillId="0" borderId="0" xfId="11" applyNumberFormat="1" applyFont="1"/>
    <xf numFmtId="0" fontId="6" fillId="0" borderId="0" xfId="0" applyFont="1"/>
    <xf numFmtId="0" fontId="7" fillId="0" borderId="0" xfId="10" applyFont="1"/>
    <xf numFmtId="0" fontId="6" fillId="0" borderId="0" xfId="10" applyAlignment="1">
      <alignment horizontal="center"/>
    </xf>
    <xf numFmtId="0" fontId="6" fillId="0" borderId="0" xfId="10"/>
    <xf numFmtId="0" fontId="7" fillId="0" borderId="0" xfId="10" applyFont="1" applyAlignment="1">
      <alignment horizontal="left"/>
    </xf>
    <xf numFmtId="0" fontId="10" fillId="0" borderId="7" xfId="10" applyFont="1" applyBorder="1" applyAlignment="1">
      <alignment horizontal="center" vertical="center"/>
    </xf>
    <xf numFmtId="0" fontId="10" fillId="0" borderId="8" xfId="10" applyFont="1" applyBorder="1" applyAlignment="1">
      <alignment horizontal="center" vertical="center"/>
    </xf>
    <xf numFmtId="0" fontId="10" fillId="0" borderId="9" xfId="10" applyFont="1" applyBorder="1" applyAlignment="1">
      <alignment horizontal="center" vertical="center"/>
    </xf>
    <xf numFmtId="0" fontId="10" fillId="0" borderId="10" xfId="10" applyFont="1" applyBorder="1" applyAlignment="1">
      <alignment horizontal="center" vertical="center"/>
    </xf>
    <xf numFmtId="0" fontId="10" fillId="0" borderId="11" xfId="10" applyFont="1" applyBorder="1" applyAlignment="1">
      <alignment horizontal="center" vertical="center"/>
    </xf>
    <xf numFmtId="0" fontId="10" fillId="0" borderId="12" xfId="10" applyFont="1" applyBorder="1" applyAlignment="1">
      <alignment horizontal="center" vertical="center"/>
    </xf>
    <xf numFmtId="0" fontId="10" fillId="0" borderId="0" xfId="10" applyFont="1"/>
    <xf numFmtId="0" fontId="10" fillId="0" borderId="13" xfId="10" applyFont="1" applyBorder="1" applyAlignment="1">
      <alignment horizontal="center" vertical="center"/>
    </xf>
    <xf numFmtId="0" fontId="10" fillId="0" borderId="14" xfId="10" applyFont="1" applyBorder="1" applyAlignment="1">
      <alignment horizontal="center" vertical="center"/>
    </xf>
    <xf numFmtId="44" fontId="11" fillId="0" borderId="14" xfId="10" applyNumberFormat="1" applyFont="1" applyBorder="1" applyAlignment="1">
      <alignment horizontal="center" vertical="center"/>
    </xf>
    <xf numFmtId="175" fontId="11" fillId="0" borderId="14" xfId="6" applyNumberFormat="1" applyFont="1" applyBorder="1" applyAlignment="1">
      <alignment horizontal="center" vertical="center"/>
    </xf>
    <xf numFmtId="0" fontId="11" fillId="0" borderId="14" xfId="10" applyFont="1" applyBorder="1" applyAlignment="1">
      <alignment horizontal="center" vertical="center"/>
    </xf>
    <xf numFmtId="0" fontId="10" fillId="0" borderId="15" xfId="10" applyFont="1" applyBorder="1" applyAlignment="1">
      <alignment horizontal="center" vertical="center"/>
    </xf>
    <xf numFmtId="0" fontId="6" fillId="0" borderId="16" xfId="10" applyBorder="1" applyAlignment="1">
      <alignment horizontal="center"/>
    </xf>
    <xf numFmtId="169" fontId="0" fillId="0" borderId="17" xfId="4" applyNumberFormat="1" applyFont="1" applyBorder="1"/>
    <xf numFmtId="44" fontId="6" fillId="0" borderId="18" xfId="10" applyNumberFormat="1" applyBorder="1"/>
    <xf numFmtId="44" fontId="6" fillId="0" borderId="0" xfId="10" applyNumberFormat="1"/>
    <xf numFmtId="44" fontId="6" fillId="0" borderId="5" xfId="10" applyNumberFormat="1" applyBorder="1"/>
    <xf numFmtId="44" fontId="6" fillId="0" borderId="18" xfId="7" applyFont="1" applyBorder="1"/>
    <xf numFmtId="44" fontId="6" fillId="0" borderId="5" xfId="7" applyFont="1" applyBorder="1"/>
    <xf numFmtId="167" fontId="6" fillId="0" borderId="19" xfId="16" applyNumberFormat="1" applyFont="1" applyBorder="1"/>
    <xf numFmtId="0" fontId="6" fillId="0" borderId="13" xfId="10" applyBorder="1" applyAlignment="1">
      <alignment horizontal="center"/>
    </xf>
    <xf numFmtId="169" fontId="6" fillId="0" borderId="20" xfId="3" applyNumberFormat="1" applyFont="1" applyBorder="1"/>
    <xf numFmtId="44" fontId="6" fillId="0" borderId="20" xfId="10" applyNumberFormat="1" applyBorder="1"/>
    <xf numFmtId="44" fontId="6" fillId="0" borderId="21" xfId="10" applyNumberFormat="1" applyBorder="1"/>
    <xf numFmtId="44" fontId="6" fillId="0" borderId="22" xfId="10" applyNumberFormat="1" applyBorder="1"/>
    <xf numFmtId="44" fontId="6" fillId="0" borderId="20" xfId="7" applyFont="1" applyBorder="1"/>
    <xf numFmtId="44" fontId="6" fillId="0" borderId="22" xfId="7" applyFont="1" applyBorder="1"/>
    <xf numFmtId="167" fontId="6" fillId="0" borderId="23" xfId="16" applyNumberFormat="1" applyFont="1" applyBorder="1"/>
    <xf numFmtId="0" fontId="6" fillId="0" borderId="0" xfId="10" applyAlignment="1">
      <alignment vertical="center"/>
    </xf>
    <xf numFmtId="0" fontId="6" fillId="0" borderId="24" xfId="10" applyBorder="1" applyAlignment="1">
      <alignment horizontal="center" vertical="center"/>
    </xf>
    <xf numFmtId="169" fontId="0" fillId="0" borderId="25" xfId="4" applyNumberFormat="1" applyFont="1" applyBorder="1" applyAlignment="1">
      <alignment vertical="center"/>
    </xf>
    <xf numFmtId="44" fontId="6" fillId="0" borderId="26" xfId="10" applyNumberFormat="1" applyBorder="1" applyAlignment="1">
      <alignment vertical="center"/>
    </xf>
    <xf numFmtId="44" fontId="6" fillId="0" borderId="27" xfId="10" applyNumberFormat="1" applyBorder="1" applyAlignment="1">
      <alignment vertical="center"/>
    </xf>
    <xf numFmtId="44" fontId="6" fillId="0" borderId="28" xfId="10" applyNumberFormat="1" applyBorder="1" applyAlignment="1">
      <alignment vertical="center"/>
    </xf>
    <xf numFmtId="44" fontId="6" fillId="0" borderId="26" xfId="7" applyFont="1" applyBorder="1" applyAlignment="1">
      <alignment vertical="center"/>
    </xf>
    <xf numFmtId="44" fontId="6" fillId="0" borderId="28" xfId="7" applyFont="1" applyBorder="1" applyAlignment="1">
      <alignment vertical="center"/>
    </xf>
    <xf numFmtId="167" fontId="6" fillId="0" borderId="29" xfId="16" applyNumberFormat="1" applyFont="1" applyBorder="1" applyAlignment="1">
      <alignment vertical="center"/>
    </xf>
    <xf numFmtId="0" fontId="10" fillId="0" borderId="0" xfId="0" applyFont="1"/>
    <xf numFmtId="0" fontId="12" fillId="0" borderId="0" xfId="0" applyFont="1"/>
    <xf numFmtId="0" fontId="13" fillId="0" borderId="0" xfId="0" applyFont="1" applyAlignment="1">
      <alignment horizontal="right"/>
    </xf>
    <xf numFmtId="0" fontId="13" fillId="0" borderId="0" xfId="0" applyFont="1"/>
    <xf numFmtId="0" fontId="6" fillId="0" borderId="0" xfId="0" applyFont="1" applyAlignment="1">
      <alignment horizontal="center"/>
    </xf>
    <xf numFmtId="0" fontId="6" fillId="0" borderId="0" xfId="11" applyFont="1"/>
    <xf numFmtId="166" fontId="6" fillId="0" borderId="0" xfId="3" applyNumberFormat="1" applyFont="1" applyFill="1"/>
    <xf numFmtId="0" fontId="17" fillId="0" borderId="0" xfId="0" applyFont="1"/>
    <xf numFmtId="0" fontId="18" fillId="0" borderId="30" xfId="0" applyFont="1" applyBorder="1" applyAlignment="1">
      <alignment horizontal="right"/>
    </xf>
    <xf numFmtId="179" fontId="17" fillId="0" borderId="0" xfId="0" applyNumberFormat="1" applyFont="1"/>
    <xf numFmtId="176" fontId="17" fillId="0" borderId="0" xfId="0" applyNumberFormat="1" applyFont="1"/>
    <xf numFmtId="0" fontId="6" fillId="0" borderId="4" xfId="0" applyFont="1" applyBorder="1"/>
    <xf numFmtId="179" fontId="17" fillId="0" borderId="4" xfId="0" applyNumberFormat="1" applyFont="1" applyBorder="1"/>
    <xf numFmtId="0" fontId="10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169" fontId="0" fillId="0" borderId="4" xfId="3" applyNumberFormat="1" applyFont="1" applyBorder="1" applyAlignment="1">
      <alignment horizontal="right"/>
    </xf>
    <xf numFmtId="169" fontId="0" fillId="0" borderId="0" xfId="1" applyNumberFormat="1" applyFont="1"/>
    <xf numFmtId="9" fontId="4" fillId="0" borderId="0" xfId="11" applyNumberFormat="1" applyFont="1"/>
    <xf numFmtId="43" fontId="24" fillId="0" borderId="0" xfId="1" applyFont="1" applyFill="1"/>
    <xf numFmtId="7" fontId="4" fillId="0" borderId="0" xfId="5" applyNumberFormat="1" applyFont="1" applyFill="1"/>
    <xf numFmtId="0" fontId="14" fillId="6" borderId="2" xfId="0" applyFont="1" applyFill="1" applyBorder="1" applyAlignment="1">
      <alignment horizontal="right"/>
    </xf>
    <xf numFmtId="169" fontId="25" fillId="6" borderId="0" xfId="1" applyNumberFormat="1" applyFont="1" applyFill="1" applyAlignment="1">
      <alignment horizontal="center"/>
    </xf>
    <xf numFmtId="164" fontId="25" fillId="6" borderId="0" xfId="5" applyNumberFormat="1" applyFont="1" applyFill="1" applyAlignment="1">
      <alignment horizontal="center"/>
    </xf>
    <xf numFmtId="164" fontId="0" fillId="0" borderId="0" xfId="0" applyNumberFormat="1" applyAlignment="1">
      <alignment horizontal="center"/>
    </xf>
    <xf numFmtId="169" fontId="4" fillId="3" borderId="0" xfId="1" applyNumberFormat="1" applyFont="1" applyFill="1" applyAlignment="1">
      <alignment horizontal="right"/>
    </xf>
    <xf numFmtId="167" fontId="4" fillId="0" borderId="0" xfId="12" applyNumberFormat="1" applyFont="1"/>
    <xf numFmtId="10" fontId="4" fillId="0" borderId="3" xfId="15" applyNumberFormat="1" applyFont="1" applyBorder="1" applyAlignment="1">
      <alignment vertical="center"/>
    </xf>
    <xf numFmtId="10" fontId="4" fillId="0" borderId="0" xfId="14" applyNumberFormat="1" applyFont="1"/>
    <xf numFmtId="10" fontId="4" fillId="2" borderId="0" xfId="14" applyNumberFormat="1" applyFont="1" applyFill="1"/>
    <xf numFmtId="10" fontId="17" fillId="0" borderId="0" xfId="12" applyNumberFormat="1" applyFont="1"/>
    <xf numFmtId="10" fontId="17" fillId="0" borderId="4" xfId="15" applyNumberFormat="1" applyFont="1" applyBorder="1"/>
    <xf numFmtId="10" fontId="17" fillId="0" borderId="0" xfId="15" applyNumberFormat="1" applyFont="1"/>
    <xf numFmtId="0" fontId="31" fillId="0" borderId="0" xfId="11" applyFont="1" applyAlignment="1">
      <alignment horizontal="right"/>
    </xf>
    <xf numFmtId="9" fontId="4" fillId="7" borderId="0" xfId="12" applyFont="1" applyFill="1"/>
    <xf numFmtId="170" fontId="4" fillId="7" borderId="0" xfId="11" applyNumberFormat="1" applyFont="1" applyFill="1"/>
    <xf numFmtId="0" fontId="32" fillId="8" borderId="0" xfId="11" applyFont="1" applyFill="1" applyAlignment="1">
      <alignment horizontal="right"/>
    </xf>
    <xf numFmtId="0" fontId="22" fillId="8" borderId="0" xfId="11" applyFont="1" applyFill="1"/>
    <xf numFmtId="0" fontId="4" fillId="8" borderId="0" xfId="11" applyFont="1" applyFill="1"/>
    <xf numFmtId="9" fontId="17" fillId="0" borderId="0" xfId="12" applyFont="1"/>
    <xf numFmtId="9" fontId="17" fillId="0" borderId="0" xfId="15" applyFont="1"/>
    <xf numFmtId="0" fontId="2" fillId="0" borderId="0" xfId="0" applyFont="1" applyAlignment="1">
      <alignment horizontal="center"/>
    </xf>
    <xf numFmtId="0" fontId="19" fillId="0" borderId="0" xfId="17" applyFont="1"/>
    <xf numFmtId="0" fontId="20" fillId="0" borderId="0" xfId="17" applyFont="1" applyAlignment="1">
      <alignment horizontal="right"/>
    </xf>
    <xf numFmtId="0" fontId="20" fillId="0" borderId="0" xfId="17" applyFont="1"/>
    <xf numFmtId="0" fontId="19" fillId="4" borderId="0" xfId="17" applyFont="1" applyFill="1"/>
    <xf numFmtId="0" fontId="19" fillId="0" borderId="0" xfId="17" applyFont="1" applyAlignment="1">
      <alignment horizontal="left"/>
    </xf>
    <xf numFmtId="16" fontId="19" fillId="0" borderId="0" xfId="17" quotePrefix="1" applyNumberFormat="1" applyFont="1" applyAlignment="1">
      <alignment horizontal="center" vertical="top"/>
    </xf>
    <xf numFmtId="0" fontId="19" fillId="0" borderId="0" xfId="17" quotePrefix="1" applyFont="1" applyAlignment="1">
      <alignment horizontal="center" vertical="top"/>
    </xf>
    <xf numFmtId="0" fontId="19" fillId="0" borderId="0" xfId="17" applyFont="1" applyAlignment="1">
      <alignment horizontal="center" vertical="top"/>
    </xf>
    <xf numFmtId="0" fontId="21" fillId="0" borderId="0" xfId="17" applyFont="1" applyAlignment="1">
      <alignment horizontal="left" vertical="top"/>
    </xf>
    <xf numFmtId="0" fontId="19" fillId="0" borderId="0" xfId="18" quotePrefix="1" applyNumberFormat="1" applyFont="1" applyAlignment="1">
      <alignment horizontal="center" vertical="top"/>
    </xf>
    <xf numFmtId="0" fontId="21" fillId="0" borderId="0" xfId="17" applyFont="1"/>
    <xf numFmtId="37" fontId="21" fillId="0" borderId="0" xfId="17" applyNumberFormat="1" applyFont="1" applyAlignment="1">
      <alignment horizontal="center" vertical="top"/>
    </xf>
    <xf numFmtId="37" fontId="21" fillId="0" borderId="0" xfId="17" quotePrefix="1" applyNumberFormat="1" applyFont="1" applyAlignment="1">
      <alignment horizontal="center" vertical="top"/>
    </xf>
    <xf numFmtId="0" fontId="20" fillId="0" borderId="0" xfId="17" applyFont="1" applyAlignment="1">
      <alignment horizontal="center" vertical="top"/>
    </xf>
    <xf numFmtId="39" fontId="19" fillId="0" borderId="0" xfId="17" applyNumberFormat="1" applyFont="1" applyAlignment="1">
      <alignment horizontal="center" vertical="top"/>
    </xf>
    <xf numFmtId="39" fontId="19" fillId="0" borderId="0" xfId="17" quotePrefix="1" applyNumberFormat="1" applyFont="1" applyAlignment="1">
      <alignment horizontal="center" vertical="top"/>
    </xf>
    <xf numFmtId="39" fontId="20" fillId="0" borderId="0" xfId="17" applyNumberFormat="1" applyFont="1" applyAlignment="1">
      <alignment horizontal="center" vertical="top"/>
    </xf>
    <xf numFmtId="183" fontId="20" fillId="0" borderId="0" xfId="17" quotePrefix="1" applyNumberFormat="1" applyFont="1" applyAlignment="1">
      <alignment horizontal="center" vertical="top"/>
    </xf>
    <xf numFmtId="183" fontId="20" fillId="0" borderId="0" xfId="17" applyNumberFormat="1" applyFont="1" applyAlignment="1">
      <alignment horizontal="center" vertical="top"/>
    </xf>
    <xf numFmtId="0" fontId="1" fillId="0" borderId="0" xfId="17"/>
    <xf numFmtId="169" fontId="33" fillId="0" borderId="0" xfId="18" applyNumberFormat="1" applyFont="1" applyAlignment="1" applyProtection="1">
      <alignment horizontal="right"/>
      <protection locked="0"/>
    </xf>
    <xf numFmtId="169" fontId="20" fillId="0" borderId="0" xfId="18" applyNumberFormat="1" applyFont="1" applyAlignment="1">
      <alignment horizontal="right"/>
    </xf>
    <xf numFmtId="169" fontId="33" fillId="0" borderId="2" xfId="18" applyNumberFormat="1" applyFont="1" applyBorder="1" applyAlignment="1" applyProtection="1">
      <alignment horizontal="right"/>
      <protection locked="0"/>
    </xf>
    <xf numFmtId="169" fontId="20" fillId="0" borderId="2" xfId="18" applyNumberFormat="1" applyFont="1" applyBorder="1" applyAlignment="1">
      <alignment horizontal="right"/>
    </xf>
    <xf numFmtId="0" fontId="34" fillId="0" borderId="0" xfId="17" applyFont="1"/>
    <xf numFmtId="169" fontId="35" fillId="0" borderId="0" xfId="18" applyNumberFormat="1" applyFont="1" applyFill="1" applyAlignment="1" applyProtection="1">
      <alignment horizontal="center"/>
      <protection locked="0"/>
    </xf>
    <xf numFmtId="169" fontId="20" fillId="0" borderId="0" xfId="18" applyNumberFormat="1" applyFont="1"/>
    <xf numFmtId="169" fontId="0" fillId="0" borderId="0" xfId="18" applyNumberFormat="1" applyFont="1" applyFill="1"/>
    <xf numFmtId="169" fontId="0" fillId="0" borderId="0" xfId="18" applyNumberFormat="1" applyFont="1"/>
    <xf numFmtId="169" fontId="20" fillId="0" borderId="0" xfId="17" applyNumberFormat="1" applyFont="1"/>
    <xf numFmtId="169" fontId="35" fillId="0" borderId="2" xfId="18" applyNumberFormat="1" applyFont="1" applyFill="1" applyBorder="1" applyAlignment="1" applyProtection="1">
      <alignment horizontal="center"/>
      <protection locked="0"/>
    </xf>
    <xf numFmtId="169" fontId="20" fillId="0" borderId="2" xfId="18" applyNumberFormat="1" applyFont="1" applyBorder="1"/>
    <xf numFmtId="169" fontId="0" fillId="0" borderId="4" xfId="18" applyNumberFormat="1" applyFont="1" applyBorder="1"/>
    <xf numFmtId="169" fontId="33" fillId="0" borderId="0" xfId="18" applyNumberFormat="1" applyFont="1" applyFill="1" applyAlignment="1" applyProtection="1">
      <alignment horizontal="right"/>
      <protection locked="0"/>
    </xf>
    <xf numFmtId="182" fontId="33" fillId="0" borderId="0" xfId="18" applyNumberFormat="1" applyFont="1" applyFill="1" applyAlignment="1" applyProtection="1">
      <alignment horizontal="right"/>
      <protection locked="0"/>
    </xf>
    <xf numFmtId="182" fontId="20" fillId="0" borderId="0" xfId="18" applyNumberFormat="1" applyFont="1" applyFill="1"/>
    <xf numFmtId="169" fontId="33" fillId="0" borderId="2" xfId="18" applyNumberFormat="1" applyFont="1" applyFill="1" applyBorder="1" applyAlignment="1" applyProtection="1">
      <alignment horizontal="right"/>
      <protection locked="0"/>
    </xf>
    <xf numFmtId="182" fontId="33" fillId="0" borderId="2" xfId="18" applyNumberFormat="1" applyFont="1" applyFill="1" applyBorder="1" applyAlignment="1" applyProtection="1">
      <alignment horizontal="right"/>
      <protection locked="0"/>
    </xf>
    <xf numFmtId="182" fontId="20" fillId="0" borderId="2" xfId="18" applyNumberFormat="1" applyFont="1" applyFill="1" applyBorder="1"/>
    <xf numFmtId="169" fontId="20" fillId="0" borderId="0" xfId="18" applyNumberFormat="1" applyFont="1" applyFill="1" applyAlignment="1">
      <alignment horizontal="right"/>
    </xf>
    <xf numFmtId="182" fontId="20" fillId="0" borderId="0" xfId="18" applyNumberFormat="1" applyFont="1" applyFill="1" applyAlignment="1">
      <alignment horizontal="right"/>
    </xf>
    <xf numFmtId="169" fontId="20" fillId="0" borderId="0" xfId="18" applyNumberFormat="1" applyFont="1" applyFill="1"/>
    <xf numFmtId="0" fontId="36" fillId="0" borderId="0" xfId="17" applyFont="1"/>
    <xf numFmtId="43" fontId="33" fillId="0" borderId="0" xfId="18" applyFont="1" applyProtection="1">
      <protection locked="0"/>
    </xf>
    <xf numFmtId="43" fontId="20" fillId="0" borderId="0" xfId="18" applyFont="1" applyProtection="1"/>
    <xf numFmtId="43" fontId="33" fillId="0" borderId="0" xfId="18" applyFont="1" applyBorder="1" applyProtection="1">
      <protection locked="0"/>
    </xf>
    <xf numFmtId="43" fontId="33" fillId="0" borderId="2" xfId="18" applyFont="1" applyBorder="1" applyProtection="1">
      <protection locked="0"/>
    </xf>
    <xf numFmtId="43" fontId="20" fillId="0" borderId="2" xfId="18" applyFont="1" applyBorder="1" applyProtection="1"/>
    <xf numFmtId="44" fontId="20" fillId="0" borderId="0" xfId="19" applyFont="1" applyProtection="1"/>
    <xf numFmtId="0" fontId="20" fillId="0" borderId="0" xfId="17" applyFont="1" applyAlignment="1">
      <alignment horizontal="left"/>
    </xf>
    <xf numFmtId="0" fontId="14" fillId="0" borderId="0" xfId="17" applyFont="1"/>
    <xf numFmtId="0" fontId="1" fillId="0" borderId="0" xfId="17" applyAlignment="1">
      <alignment horizontal="center"/>
    </xf>
    <xf numFmtId="0" fontId="25" fillId="4" borderId="0" xfId="17" applyFont="1" applyFill="1"/>
    <xf numFmtId="0" fontId="26" fillId="0" borderId="0" xfId="17" applyFont="1"/>
    <xf numFmtId="0" fontId="27" fillId="0" borderId="0" xfId="17" applyFont="1" applyAlignment="1">
      <alignment horizontal="center"/>
    </xf>
    <xf numFmtId="0" fontId="28" fillId="0" borderId="0" xfId="17" applyFont="1"/>
    <xf numFmtId="0" fontId="14" fillId="0" borderId="0" xfId="17" applyFont="1" applyAlignment="1">
      <alignment horizontal="center"/>
    </xf>
    <xf numFmtId="169" fontId="14" fillId="0" borderId="0" xfId="18" applyNumberFormat="1" applyFont="1" applyAlignment="1">
      <alignment horizontal="center"/>
    </xf>
    <xf numFmtId="44" fontId="1" fillId="0" borderId="0" xfId="19" applyFont="1"/>
    <xf numFmtId="169" fontId="29" fillId="0" borderId="0" xfId="18" applyNumberFormat="1" applyFont="1" applyAlignment="1">
      <alignment horizontal="center"/>
    </xf>
    <xf numFmtId="44" fontId="1" fillId="0" borderId="0" xfId="19" applyFont="1" applyFill="1"/>
    <xf numFmtId="169" fontId="29" fillId="0" borderId="0" xfId="18" applyNumberFormat="1" applyFont="1" applyFill="1" applyAlignment="1">
      <alignment horizontal="center"/>
    </xf>
    <xf numFmtId="0" fontId="27" fillId="0" borderId="0" xfId="17" applyFont="1"/>
    <xf numFmtId="0" fontId="30" fillId="0" borderId="0" xfId="17" applyFont="1"/>
    <xf numFmtId="169" fontId="29" fillId="0" borderId="0" xfId="18" applyNumberFormat="1" applyFont="1" applyAlignment="1">
      <alignment horizontal="right"/>
    </xf>
    <xf numFmtId="169" fontId="0" fillId="0" borderId="0" xfId="18" applyNumberFormat="1" applyFont="1" applyAlignment="1">
      <alignment horizontal="center"/>
    </xf>
    <xf numFmtId="44" fontId="25" fillId="0" borderId="0" xfId="19" applyFont="1"/>
    <xf numFmtId="169" fontId="14" fillId="0" borderId="0" xfId="17" applyNumberFormat="1" applyFont="1" applyAlignment="1">
      <alignment horizontal="center"/>
    </xf>
    <xf numFmtId="44" fontId="25" fillId="0" borderId="0" xfId="19" applyFont="1" applyAlignment="1">
      <alignment horizontal="center"/>
    </xf>
    <xf numFmtId="164" fontId="0" fillId="0" borderId="0" xfId="5" applyNumberFormat="1" applyFont="1"/>
    <xf numFmtId="43" fontId="1" fillId="0" borderId="0" xfId="1" applyFont="1" applyAlignment="1">
      <alignment horizontal="center"/>
    </xf>
    <xf numFmtId="43" fontId="1" fillId="0" borderId="30" xfId="1" applyFont="1" applyBorder="1" applyAlignment="1">
      <alignment horizontal="center"/>
    </xf>
    <xf numFmtId="43" fontId="0" fillId="0" borderId="0" xfId="1" applyFont="1"/>
    <xf numFmtId="43" fontId="0" fillId="0" borderId="30" xfId="1" applyFont="1" applyBorder="1"/>
    <xf numFmtId="166" fontId="5" fillId="0" borderId="0" xfId="0" applyNumberFormat="1" applyFont="1"/>
    <xf numFmtId="41" fontId="5" fillId="0" borderId="0" xfId="0" applyNumberFormat="1" applyFont="1"/>
    <xf numFmtId="44" fontId="20" fillId="0" borderId="0" xfId="17" applyNumberFormat="1" applyFont="1" applyAlignment="1">
      <alignment horizontal="right"/>
    </xf>
    <xf numFmtId="0" fontId="2" fillId="0" borderId="0" xfId="0" applyFont="1"/>
    <xf numFmtId="0" fontId="10" fillId="0" borderId="2" xfId="0" applyFont="1" applyBorder="1"/>
    <xf numFmtId="0" fontId="10" fillId="0" borderId="2" xfId="0" applyFont="1" applyBorder="1" applyAlignment="1">
      <alignment horizontal="right" wrapText="1"/>
    </xf>
    <xf numFmtId="41" fontId="2" fillId="0" borderId="0" xfId="0" applyNumberFormat="1" applyFont="1" applyAlignment="1">
      <alignment horizontal="right"/>
    </xf>
    <xf numFmtId="164" fontId="2" fillId="0" borderId="0" xfId="5" applyNumberFormat="1" applyFont="1" applyFill="1" applyAlignment="1">
      <alignment horizontal="right"/>
    </xf>
    <xf numFmtId="164" fontId="2" fillId="0" borderId="0" xfId="5" applyNumberFormat="1" applyFont="1" applyFill="1"/>
    <xf numFmtId="10" fontId="2" fillId="0" borderId="0" xfId="12" applyNumberFormat="1" applyFont="1" applyFill="1"/>
    <xf numFmtId="169" fontId="2" fillId="0" borderId="0" xfId="1" applyNumberFormat="1" applyFont="1" applyFill="1" applyAlignment="1">
      <alignment horizontal="right"/>
    </xf>
    <xf numFmtId="169" fontId="2" fillId="0" borderId="0" xfId="1" applyNumberFormat="1" applyFont="1" applyFill="1"/>
    <xf numFmtId="169" fontId="2" fillId="0" borderId="0" xfId="1" applyNumberFormat="1" applyFont="1" applyFill="1" applyBorder="1" applyAlignment="1">
      <alignment horizontal="right"/>
    </xf>
    <xf numFmtId="169" fontId="2" fillId="0" borderId="0" xfId="1" applyNumberFormat="1" applyFont="1" applyFill="1" applyBorder="1"/>
    <xf numFmtId="10" fontId="2" fillId="0" borderId="0" xfId="12" applyNumberFormat="1" applyFont="1" applyFill="1" applyBorder="1"/>
    <xf numFmtId="0" fontId="11" fillId="0" borderId="0" xfId="0" applyFont="1"/>
    <xf numFmtId="0" fontId="11" fillId="0" borderId="0" xfId="0" applyFont="1" applyAlignment="1">
      <alignment horizontal="center"/>
    </xf>
    <xf numFmtId="41" fontId="11" fillId="0" borderId="0" xfId="0" applyNumberFormat="1" applyFont="1" applyAlignment="1">
      <alignment horizontal="right"/>
    </xf>
    <xf numFmtId="169" fontId="11" fillId="0" borderId="0" xfId="1" applyNumberFormat="1" applyFont="1" applyFill="1" applyAlignment="1">
      <alignment horizontal="right"/>
    </xf>
    <xf numFmtId="169" fontId="11" fillId="0" borderId="0" xfId="1" applyNumberFormat="1" applyFont="1" applyFill="1"/>
    <xf numFmtId="41" fontId="2" fillId="0" borderId="3" xfId="0" applyNumberFormat="1" applyFont="1" applyBorder="1"/>
    <xf numFmtId="164" fontId="2" fillId="0" borderId="3" xfId="5" applyNumberFormat="1" applyFont="1" applyFill="1" applyBorder="1"/>
    <xf numFmtId="164" fontId="2" fillId="0" borderId="3" xfId="0" applyNumberFormat="1" applyFont="1" applyBorder="1"/>
    <xf numFmtId="10" fontId="2" fillId="0" borderId="3" xfId="12" applyNumberFormat="1" applyFont="1" applyFill="1" applyBorder="1"/>
    <xf numFmtId="164" fontId="2" fillId="0" borderId="0" xfId="0" applyNumberFormat="1" applyFont="1"/>
    <xf numFmtId="169" fontId="2" fillId="0" borderId="0" xfId="1" applyNumberFormat="1" applyFont="1"/>
    <xf numFmtId="0" fontId="2" fillId="0" borderId="0" xfId="0" applyFont="1" applyAlignment="1">
      <alignment horizontal="left"/>
    </xf>
    <xf numFmtId="169" fontId="2" fillId="0" borderId="0" xfId="0" applyNumberFormat="1" applyFont="1"/>
    <xf numFmtId="10" fontId="2" fillId="0" borderId="0" xfId="12" applyNumberFormat="1" applyFont="1"/>
    <xf numFmtId="169" fontId="2" fillId="0" borderId="0" xfId="12" applyNumberFormat="1" applyFont="1"/>
    <xf numFmtId="0" fontId="2" fillId="0" borderId="0" xfId="0" applyFont="1" applyAlignment="1">
      <alignment horizontal="right"/>
    </xf>
    <xf numFmtId="0" fontId="10" fillId="0" borderId="0" xfId="0" applyFont="1" applyAlignment="1">
      <alignment horizontal="right" wrapText="1"/>
    </xf>
    <xf numFmtId="0" fontId="10" fillId="0" borderId="0" xfId="0" applyFont="1" applyAlignment="1">
      <alignment horizontal="right"/>
    </xf>
    <xf numFmtId="169" fontId="2" fillId="0" borderId="0" xfId="1" applyNumberFormat="1" applyFont="1" applyBorder="1" applyAlignment="1">
      <alignment horizontal="right"/>
    </xf>
    <xf numFmtId="10" fontId="2" fillId="0" borderId="0" xfId="12" applyNumberFormat="1" applyFont="1" applyBorder="1"/>
    <xf numFmtId="164" fontId="2" fillId="0" borderId="0" xfId="5" applyNumberFormat="1" applyFont="1" applyBorder="1"/>
    <xf numFmtId="164" fontId="2" fillId="0" borderId="0" xfId="5" applyNumberFormat="1" applyFont="1" applyBorder="1" applyAlignment="1">
      <alignment horizontal="right"/>
    </xf>
    <xf numFmtId="164" fontId="2" fillId="0" borderId="0" xfId="5" applyNumberFormat="1" applyFont="1" applyFill="1" applyBorder="1"/>
    <xf numFmtId="41" fontId="2" fillId="0" borderId="0" xfId="0" applyNumberFormat="1" applyFont="1"/>
    <xf numFmtId="44" fontId="2" fillId="0" borderId="0" xfId="5" applyFont="1" applyBorder="1"/>
    <xf numFmtId="43" fontId="2" fillId="0" borderId="0" xfId="1" applyFont="1" applyBorder="1"/>
    <xf numFmtId="169" fontId="2" fillId="0" borderId="0" xfId="1" applyNumberFormat="1" applyFont="1" applyBorder="1"/>
    <xf numFmtId="43" fontId="2" fillId="0" borderId="0" xfId="1" applyFont="1"/>
    <xf numFmtId="43" fontId="2" fillId="0" borderId="0" xfId="0" applyNumberFormat="1" applyFont="1"/>
    <xf numFmtId="44" fontId="2" fillId="0" borderId="0" xfId="5" applyFont="1"/>
    <xf numFmtId="43" fontId="24" fillId="7" borderId="0" xfId="1" applyFont="1" applyFill="1"/>
    <xf numFmtId="169" fontId="2" fillId="0" borderId="0" xfId="3" applyNumberFormat="1" applyFont="1"/>
    <xf numFmtId="169" fontId="2" fillId="0" borderId="0" xfId="3" applyNumberFormat="1" applyFont="1" applyAlignment="1">
      <alignment horizontal="right"/>
    </xf>
    <xf numFmtId="169" fontId="2" fillId="0" borderId="4" xfId="3" applyNumberFormat="1" applyFont="1" applyBorder="1" applyAlignment="1">
      <alignment horizontal="right"/>
    </xf>
    <xf numFmtId="43" fontId="2" fillId="0" borderId="0" xfId="3" applyFont="1"/>
    <xf numFmtId="170" fontId="2" fillId="0" borderId="0" xfId="3" applyNumberFormat="1" applyFont="1" applyFill="1"/>
    <xf numFmtId="173" fontId="2" fillId="0" borderId="0" xfId="3" applyNumberFormat="1" applyFont="1" applyFill="1"/>
    <xf numFmtId="0" fontId="2" fillId="0" borderId="0" xfId="11" applyFont="1"/>
    <xf numFmtId="43" fontId="2" fillId="0" borderId="0" xfId="1" applyFont="1" applyFill="1"/>
    <xf numFmtId="43" fontId="2" fillId="0" borderId="0" xfId="3" applyFont="1" applyFill="1"/>
    <xf numFmtId="0" fontId="17" fillId="0" borderId="0" xfId="0" applyFont="1" applyAlignment="1">
      <alignment horizontal="center"/>
    </xf>
    <xf numFmtId="164" fontId="23" fillId="0" borderId="0" xfId="5" applyNumberFormat="1" applyFont="1" applyFill="1"/>
    <xf numFmtId="10" fontId="4" fillId="0" borderId="0" xfId="12" applyNumberFormat="1" applyFont="1" applyFill="1"/>
    <xf numFmtId="43" fontId="0" fillId="0" borderId="0" xfId="0" applyNumberFormat="1"/>
    <xf numFmtId="9" fontId="4" fillId="0" borderId="0" xfId="12" applyFont="1" applyAlignment="1">
      <alignment horizontal="right"/>
    </xf>
    <xf numFmtId="176" fontId="4" fillId="0" borderId="0" xfId="5" applyNumberFormat="1" applyFont="1" applyAlignment="1">
      <alignment horizontal="right"/>
    </xf>
    <xf numFmtId="171" fontId="4" fillId="0" borderId="0" xfId="1" applyNumberFormat="1" applyFont="1" applyAlignment="1">
      <alignment horizontal="right"/>
    </xf>
    <xf numFmtId="180" fontId="4" fillId="0" borderId="0" xfId="5" applyNumberFormat="1" applyFont="1" applyBorder="1"/>
    <xf numFmtId="0" fontId="3" fillId="0" borderId="2" xfId="11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0" fillId="0" borderId="36" xfId="10" applyFont="1" applyBorder="1" applyAlignment="1">
      <alignment horizontal="center" vertical="center"/>
    </xf>
    <xf numFmtId="0" fontId="10" fillId="0" borderId="37" xfId="10" applyFont="1" applyBorder="1" applyAlignment="1">
      <alignment horizontal="center" vertical="center"/>
    </xf>
    <xf numFmtId="0" fontId="10" fillId="0" borderId="38" xfId="10" applyFont="1" applyBorder="1" applyAlignment="1">
      <alignment horizontal="center" vertical="center"/>
    </xf>
    <xf numFmtId="0" fontId="10" fillId="0" borderId="39" xfId="1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0" fillId="0" borderId="0" xfId="0" applyFont="1" applyAlignment="1">
      <alignment horizontal="left" vertical="top" wrapText="1"/>
    </xf>
    <xf numFmtId="0" fontId="19" fillId="0" borderId="0" xfId="17" applyFont="1" applyAlignment="1">
      <alignment horizontal="left"/>
    </xf>
    <xf numFmtId="182" fontId="4" fillId="5" borderId="0" xfId="11" applyNumberFormat="1" applyFont="1" applyFill="1"/>
    <xf numFmtId="2" fontId="4" fillId="5" borderId="0" xfId="11" applyNumberFormat="1" applyFont="1" applyFill="1"/>
  </cellXfs>
  <cellStyles count="20">
    <cellStyle name="Comma" xfId="1" builtinId="3"/>
    <cellStyle name="Comma 2" xfId="2" xr:uid="{00000000-0005-0000-0000-000001000000}"/>
    <cellStyle name="Comma 3" xfId="3" xr:uid="{00000000-0005-0000-0000-000002000000}"/>
    <cellStyle name="Comma 3 2" xfId="4" xr:uid="{00000000-0005-0000-0000-000003000000}"/>
    <cellStyle name="Comma 4" xfId="18" xr:uid="{0ED3BE9B-33D4-474D-B909-904F93DAFAA4}"/>
    <cellStyle name="Currency" xfId="5" builtinId="4"/>
    <cellStyle name="Currency 2" xfId="6" xr:uid="{00000000-0005-0000-0000-000005000000}"/>
    <cellStyle name="Currency 2 2" xfId="7" xr:uid="{00000000-0005-0000-0000-000006000000}"/>
    <cellStyle name="Currency 3" xfId="8" xr:uid="{00000000-0005-0000-0000-000007000000}"/>
    <cellStyle name="Currency 4" xfId="19" xr:uid="{A1BD50CF-B2CE-4D05-A0BA-D584E01CF34A}"/>
    <cellStyle name="Normal" xfId="0" builtinId="0"/>
    <cellStyle name="Normal 2" xfId="9" xr:uid="{00000000-0005-0000-0000-000009000000}"/>
    <cellStyle name="Normal 2 2" xfId="10" xr:uid="{00000000-0005-0000-0000-00000A000000}"/>
    <cellStyle name="Normal 3" xfId="11" xr:uid="{00000000-0005-0000-0000-00000B000000}"/>
    <cellStyle name="Normal 4" xfId="17" xr:uid="{637927E7-41C9-42B5-999F-7D92D283A248}"/>
    <cellStyle name="Percent" xfId="12" builtinId="5"/>
    <cellStyle name="Percent 2" xfId="13" xr:uid="{00000000-0005-0000-0000-00000D000000}"/>
    <cellStyle name="Percent 2 2" xfId="14" xr:uid="{00000000-0005-0000-0000-00000E000000}"/>
    <cellStyle name="Percent 3" xfId="15" xr:uid="{00000000-0005-0000-0000-00000F000000}"/>
    <cellStyle name="Percent 3 2" xfId="16" xr:uid="{00000000-0005-0000-0000-000010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66FFFF"/>
      <color rgb="FF00FFFF"/>
      <color rgb="FF0000FF"/>
      <color rgb="FFFFFFCC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8"/>
  <sheetViews>
    <sheetView view="pageBreakPreview" zoomScale="75" zoomScaleNormal="75" zoomScaleSheetLayoutView="75" workbookViewId="0">
      <pane xSplit="3" ySplit="8" topLeftCell="D22" activePane="bottomRight" state="frozen"/>
      <selection activeCell="F20" sqref="F20"/>
      <selection pane="topRight" activeCell="F20" sqref="F20"/>
      <selection pane="bottomLeft" activeCell="F20" sqref="F20"/>
      <selection pane="bottomRight" activeCell="N45" sqref="N45"/>
    </sheetView>
  </sheetViews>
  <sheetFormatPr defaultRowHeight="15.75" x14ac:dyDescent="0.25"/>
  <cols>
    <col min="1" max="1" width="34.140625" style="90" customWidth="1"/>
    <col min="2" max="2" width="8.28515625" style="93" customWidth="1"/>
    <col min="3" max="3" width="45.28515625" style="90" customWidth="1"/>
    <col min="4" max="4" width="3" style="90" customWidth="1"/>
    <col min="5" max="5" width="13.5703125" style="90" customWidth="1"/>
    <col min="6" max="6" width="11.42578125" style="90" customWidth="1"/>
    <col min="7" max="7" width="12" style="90" customWidth="1"/>
    <col min="8" max="8" width="2.5703125" style="90" customWidth="1"/>
    <col min="9" max="9" width="17.28515625" style="90" bestFit="1" customWidth="1"/>
    <col min="10" max="10" width="15" style="90" customWidth="1"/>
    <col min="11" max="11" width="13.140625" style="90" bestFit="1" customWidth="1"/>
    <col min="12" max="12" width="14.28515625" style="90" customWidth="1"/>
    <col min="13" max="13" width="15.140625" style="90" customWidth="1"/>
    <col min="14" max="14" width="87.42578125" style="90" customWidth="1"/>
    <col min="15" max="15" width="15.5703125" style="90" bestFit="1" customWidth="1"/>
    <col min="16" max="16" width="16.140625" style="90" bestFit="1" customWidth="1"/>
    <col min="17" max="17" width="1.85546875" style="128" customWidth="1"/>
    <col min="18" max="18" width="7.85546875" style="90" customWidth="1"/>
    <col min="19" max="19" width="11.42578125" style="90" customWidth="1"/>
    <col min="20" max="20" width="10.140625" style="90" customWidth="1"/>
    <col min="21" max="21" width="16.42578125" style="90" customWidth="1"/>
    <col min="22" max="22" width="11.42578125" style="90" customWidth="1"/>
    <col min="23" max="23" width="22" style="90" customWidth="1"/>
    <col min="24" max="24" width="13" style="90" customWidth="1"/>
    <col min="25" max="25" width="9.140625" style="90"/>
    <col min="26" max="26" width="4.7109375" style="90" customWidth="1"/>
    <col min="27" max="27" width="13.5703125" style="90" customWidth="1"/>
    <col min="28" max="28" width="22.28515625" style="90" customWidth="1"/>
    <col min="29" max="30" width="9.140625" style="90"/>
    <col min="31" max="31" width="11.42578125" style="90" customWidth="1"/>
    <col min="32" max="32" width="12.42578125" style="90" customWidth="1"/>
    <col min="33" max="33" width="11.42578125" style="90" customWidth="1"/>
    <col min="34" max="34" width="16.140625" style="90" customWidth="1"/>
    <col min="35" max="35" width="11.42578125" style="90" customWidth="1"/>
    <col min="36" max="36" width="12.140625" style="90" customWidth="1"/>
    <col min="37" max="37" width="11.42578125" style="90" customWidth="1"/>
    <col min="38" max="16384" width="9.140625" style="90"/>
  </cols>
  <sheetData>
    <row r="1" spans="1:24" ht="18.75" x14ac:dyDescent="0.3">
      <c r="A1" s="79" t="s">
        <v>135</v>
      </c>
      <c r="B1" s="89"/>
      <c r="E1" s="96"/>
      <c r="F1" s="97"/>
      <c r="G1" s="96"/>
      <c r="J1" s="131"/>
    </row>
    <row r="2" spans="1:24" x14ac:dyDescent="0.25">
      <c r="B2" s="90"/>
    </row>
    <row r="3" spans="1:24" ht="18.75" x14ac:dyDescent="0.3">
      <c r="A3" s="92" t="s">
        <v>53</v>
      </c>
    </row>
    <row r="4" spans="1:24" x14ac:dyDescent="0.25">
      <c r="E4" s="162"/>
    </row>
    <row r="5" spans="1:24" x14ac:dyDescent="0.25">
      <c r="A5" s="387" t="s">
        <v>54</v>
      </c>
      <c r="B5" s="387"/>
      <c r="C5" s="387"/>
      <c r="D5" s="97"/>
      <c r="E5" s="387"/>
      <c r="F5" s="387"/>
      <c r="G5" s="387"/>
      <c r="I5" s="387" t="s">
        <v>90</v>
      </c>
      <c r="J5" s="387"/>
      <c r="K5" s="387"/>
      <c r="L5" s="387"/>
      <c r="M5" s="387"/>
    </row>
    <row r="7" spans="1:24" s="96" customFormat="1" x14ac:dyDescent="0.25">
      <c r="B7" s="89"/>
      <c r="C7" s="97" t="s">
        <v>55</v>
      </c>
      <c r="D7" s="97"/>
      <c r="E7" s="95" t="s">
        <v>91</v>
      </c>
      <c r="F7" s="95" t="s">
        <v>58</v>
      </c>
      <c r="G7" s="95" t="s">
        <v>57</v>
      </c>
      <c r="I7" s="95" t="s">
        <v>56</v>
      </c>
      <c r="J7" s="95" t="s">
        <v>58</v>
      </c>
      <c r="K7" s="95" t="s">
        <v>59</v>
      </c>
      <c r="L7" s="95" t="s">
        <v>59</v>
      </c>
      <c r="M7" s="95" t="s">
        <v>59</v>
      </c>
      <c r="N7" s="90"/>
      <c r="Q7" s="129"/>
    </row>
    <row r="8" spans="1:24" s="96" customFormat="1" x14ac:dyDescent="0.25">
      <c r="A8" s="98" t="s">
        <v>60</v>
      </c>
      <c r="B8" s="99" t="s">
        <v>61</v>
      </c>
      <c r="C8" s="94" t="s">
        <v>62</v>
      </c>
      <c r="D8" s="97"/>
      <c r="E8" s="100" t="s">
        <v>5</v>
      </c>
      <c r="F8" s="100" t="s">
        <v>5</v>
      </c>
      <c r="G8" s="100" t="s">
        <v>63</v>
      </c>
      <c r="I8" s="100" t="s">
        <v>42</v>
      </c>
      <c r="J8" s="100" t="s">
        <v>42</v>
      </c>
      <c r="K8" s="100" t="s">
        <v>64</v>
      </c>
      <c r="L8" s="100" t="s">
        <v>65</v>
      </c>
      <c r="M8" s="100" t="s">
        <v>95</v>
      </c>
      <c r="N8" s="90"/>
      <c r="Q8" s="129"/>
      <c r="T8" s="96" t="s">
        <v>203</v>
      </c>
    </row>
    <row r="9" spans="1:24" x14ac:dyDescent="0.25">
      <c r="V9" s="241" t="s">
        <v>205</v>
      </c>
      <c r="W9" s="241" t="s">
        <v>133</v>
      </c>
      <c r="X9" s="241" t="s">
        <v>204</v>
      </c>
    </row>
    <row r="10" spans="1:24" x14ac:dyDescent="0.25">
      <c r="A10" s="101" t="str">
        <f>List!B5</f>
        <v>Residential</v>
      </c>
      <c r="B10" s="132">
        <v>1</v>
      </c>
      <c r="C10" s="90" t="s">
        <v>103</v>
      </c>
      <c r="E10" s="137">
        <v>0.68600000000000005</v>
      </c>
      <c r="F10" s="137">
        <f>ROUND(E10*J49,3)</f>
        <v>0.85</v>
      </c>
      <c r="G10" s="137">
        <f>F10-E10</f>
        <v>0.16399999999999992</v>
      </c>
      <c r="I10" s="80">
        <f>'Res-1'!G25</f>
        <v>47600540.06599167</v>
      </c>
      <c r="J10" s="80">
        <f>'Res-1'!O25</f>
        <v>49351320.357658334</v>
      </c>
      <c r="K10" s="80">
        <f>'Res-1'!O27</f>
        <v>1750780.2916666642</v>
      </c>
      <c r="L10" s="236">
        <f>'Res-1'!O29</f>
        <v>3.6780681253604383E-2</v>
      </c>
      <c r="M10" s="228">
        <f>'Res-1'!O31</f>
        <v>4.9883333333333262</v>
      </c>
      <c r="O10" s="162"/>
      <c r="T10" s="162">
        <f>E10*360/12</f>
        <v>20.580000000000002</v>
      </c>
      <c r="U10" s="90" t="s">
        <v>89</v>
      </c>
      <c r="V10" s="226">
        <v>0.25</v>
      </c>
      <c r="W10" s="72">
        <f>V10*T13+T10</f>
        <v>24.200000000000003</v>
      </c>
    </row>
    <row r="11" spans="1:24" x14ac:dyDescent="0.25">
      <c r="A11" s="101"/>
      <c r="B11" s="133"/>
      <c r="C11" s="90" t="s">
        <v>92</v>
      </c>
      <c r="E11" s="138">
        <v>9.7665000000000002E-2</v>
      </c>
      <c r="F11" s="138">
        <f>E11*$F$53</f>
        <v>9.7665000000000002E-2</v>
      </c>
      <c r="G11" s="107">
        <f>F11-E11</f>
        <v>0</v>
      </c>
      <c r="I11" s="80"/>
      <c r="J11" s="80"/>
      <c r="K11" s="80"/>
      <c r="L11" s="236"/>
      <c r="M11" s="126"/>
      <c r="O11" s="162"/>
      <c r="T11" s="227">
        <v>35.06</v>
      </c>
      <c r="U11" s="90" t="s">
        <v>177</v>
      </c>
      <c r="V11" s="226">
        <v>0.33</v>
      </c>
      <c r="W11" s="72">
        <f>V11*T13+T10</f>
        <v>25.358400000000003</v>
      </c>
    </row>
    <row r="12" spans="1:24" ht="9" customHeight="1" x14ac:dyDescent="0.25">
      <c r="A12" s="108"/>
      <c r="B12" s="134"/>
      <c r="C12" s="110"/>
      <c r="D12" s="110"/>
      <c r="E12" s="110"/>
      <c r="F12" s="110"/>
      <c r="G12" s="110"/>
      <c r="H12" s="110"/>
      <c r="I12" s="112"/>
      <c r="J12" s="112"/>
      <c r="K12" s="112"/>
      <c r="L12" s="237"/>
      <c r="M12" s="127"/>
    </row>
    <row r="13" spans="1:24" x14ac:dyDescent="0.25">
      <c r="A13" s="101" t="str">
        <f>List!B6</f>
        <v>Small Comm</v>
      </c>
      <c r="B13" s="133">
        <v>2</v>
      </c>
      <c r="C13" s="90" t="s">
        <v>103</v>
      </c>
      <c r="E13" s="137">
        <v>0.81599999999999995</v>
      </c>
      <c r="F13" s="137">
        <f>ROUND((F49+O13)*12/365,2)</f>
        <v>0.89</v>
      </c>
      <c r="G13" s="137">
        <f>F13-E13</f>
        <v>7.4000000000000066E-2</v>
      </c>
      <c r="I13" s="80">
        <f>'SmCom-2'!G25</f>
        <v>3865789.6654320001</v>
      </c>
      <c r="J13" s="80">
        <f>'SmCom-2'!O25</f>
        <v>3865789.6654320001</v>
      </c>
      <c r="K13" s="80">
        <f>'SmCom-2'!O27</f>
        <v>0</v>
      </c>
      <c r="L13" s="236">
        <f>'SmCom-2'!O29</f>
        <v>0</v>
      </c>
      <c r="M13" s="126">
        <f>'SmCom-2'!O31</f>
        <v>0</v>
      </c>
      <c r="N13" s="383" t="s">
        <v>248</v>
      </c>
      <c r="O13" s="384">
        <v>1.32</v>
      </c>
      <c r="T13" s="162">
        <f>T11-T10</f>
        <v>14.48</v>
      </c>
      <c r="U13" s="90" t="s">
        <v>178</v>
      </c>
      <c r="V13" s="226"/>
      <c r="W13" s="72"/>
    </row>
    <row r="14" spans="1:24" x14ac:dyDescent="0.25">
      <c r="A14" s="101"/>
      <c r="B14" s="133"/>
      <c r="C14" s="90" t="s">
        <v>92</v>
      </c>
      <c r="E14" s="138">
        <v>0.104294</v>
      </c>
      <c r="F14" s="138">
        <f>E14*O14</f>
        <v>0.10240046229822218</v>
      </c>
      <c r="G14" s="107">
        <f>F14-E14</f>
        <v>-1.8935377017778171E-3</v>
      </c>
      <c r="I14" s="80"/>
      <c r="J14" s="80"/>
      <c r="K14" s="80"/>
      <c r="L14" s="236"/>
      <c r="M14" s="126"/>
      <c r="N14" s="161" t="s">
        <v>249</v>
      </c>
      <c r="O14" s="385">
        <v>0.98184423167413448</v>
      </c>
      <c r="U14" s="90" t="s">
        <v>179</v>
      </c>
      <c r="V14" s="242">
        <f>(W14-T10)/T13</f>
        <v>0.36423802946592998</v>
      </c>
      <c r="W14" s="369">
        <f>F49</f>
        <v>25.854166666666668</v>
      </c>
      <c r="X14" s="243">
        <f>J49/360*12</f>
        <v>4.1300000000000003E-2</v>
      </c>
    </row>
    <row r="15" spans="1:24" ht="9" customHeight="1" x14ac:dyDescent="0.25">
      <c r="A15" s="108"/>
      <c r="B15" s="134"/>
      <c r="C15" s="110"/>
      <c r="D15" s="110"/>
      <c r="E15" s="110"/>
      <c r="F15" s="110"/>
      <c r="G15" s="110"/>
      <c r="H15" s="110"/>
      <c r="I15" s="112"/>
      <c r="J15" s="112"/>
      <c r="K15" s="112"/>
      <c r="L15" s="237"/>
      <c r="M15" s="127"/>
    </row>
    <row r="16" spans="1:24" x14ac:dyDescent="0.25">
      <c r="A16" s="101" t="str">
        <f>List!B7</f>
        <v>3 Phase</v>
      </c>
      <c r="B16" s="133">
        <v>3</v>
      </c>
      <c r="C16" s="90" t="s">
        <v>245</v>
      </c>
      <c r="E16" s="137">
        <v>1.786</v>
      </c>
      <c r="F16" s="137">
        <f>E16*$F$53</f>
        <v>1.786</v>
      </c>
      <c r="G16" s="137">
        <f>F16-E16</f>
        <v>0</v>
      </c>
      <c r="I16" s="80">
        <f>'3Ph-3'!G31</f>
        <v>8968605.6099920012</v>
      </c>
      <c r="J16" s="80">
        <f>'3Ph-3'!O31</f>
        <v>8968605.6099920012</v>
      </c>
      <c r="K16" s="80">
        <f>'3Ph-3'!O33</f>
        <v>0</v>
      </c>
      <c r="L16" s="236">
        <f>'3Ph-3'!O35</f>
        <v>0</v>
      </c>
      <c r="M16" s="126">
        <f>'3Ph-3'!O37</f>
        <v>0</v>
      </c>
      <c r="V16" s="244" t="s">
        <v>206</v>
      </c>
    </row>
    <row r="17" spans="1:25" x14ac:dyDescent="0.25">
      <c r="A17" s="101"/>
      <c r="B17" s="133"/>
      <c r="C17" s="90" t="s">
        <v>246</v>
      </c>
      <c r="E17" s="137">
        <v>3.1179999999999999</v>
      </c>
      <c r="F17" s="137">
        <f>E17*$F$53</f>
        <v>3.1179999999999999</v>
      </c>
      <c r="G17" s="137">
        <f>F17-E17</f>
        <v>0</v>
      </c>
      <c r="I17" s="80"/>
      <c r="J17" s="80"/>
      <c r="K17" s="80"/>
      <c r="L17" s="236"/>
      <c r="M17" s="126"/>
      <c r="V17" s="245" t="s">
        <v>207</v>
      </c>
      <c r="W17" s="246"/>
      <c r="X17" s="246"/>
      <c r="Y17" s="246"/>
    </row>
    <row r="18" spans="1:25" x14ac:dyDescent="0.25">
      <c r="A18" s="101"/>
      <c r="B18" s="133"/>
      <c r="C18" s="90" t="s">
        <v>247</v>
      </c>
      <c r="E18" s="137">
        <v>4.45</v>
      </c>
      <c r="F18" s="137">
        <f>E18*$F$53</f>
        <v>4.45</v>
      </c>
      <c r="G18" s="137">
        <f>F18-E18</f>
        <v>0</v>
      </c>
      <c r="I18" s="80"/>
      <c r="J18" s="80"/>
      <c r="K18" s="80"/>
      <c r="L18" s="236"/>
      <c r="M18" s="126"/>
    </row>
    <row r="19" spans="1:25" x14ac:dyDescent="0.25">
      <c r="A19" s="101"/>
      <c r="B19" s="133"/>
      <c r="C19" s="90" t="s">
        <v>92</v>
      </c>
      <c r="E19" s="138">
        <v>6.5794000000000005E-2</v>
      </c>
      <c r="F19" s="138">
        <f>E19*$F$53</f>
        <v>6.5794000000000005E-2</v>
      </c>
      <c r="G19" s="107">
        <f>F19-E19</f>
        <v>0</v>
      </c>
      <c r="I19" s="80"/>
      <c r="J19" s="80"/>
      <c r="K19" s="80"/>
      <c r="L19" s="236"/>
      <c r="M19" s="126"/>
    </row>
    <row r="20" spans="1:25" x14ac:dyDescent="0.25">
      <c r="A20" s="101"/>
      <c r="B20" s="133"/>
      <c r="C20" s="90" t="s">
        <v>93</v>
      </c>
      <c r="E20" s="26">
        <v>11</v>
      </c>
      <c r="F20" s="26">
        <f>E20*$F$53</f>
        <v>11</v>
      </c>
      <c r="G20" s="102">
        <f>F20-E20</f>
        <v>0</v>
      </c>
      <c r="I20" s="80"/>
      <c r="J20" s="80"/>
      <c r="K20" s="80"/>
      <c r="L20" s="236"/>
      <c r="M20" s="126"/>
    </row>
    <row r="21" spans="1:25" ht="9" customHeight="1" x14ac:dyDescent="0.25">
      <c r="A21" s="108"/>
      <c r="B21" s="134"/>
      <c r="C21" s="110"/>
      <c r="D21" s="110"/>
      <c r="E21" s="110"/>
      <c r="F21" s="110"/>
      <c r="G21" s="110"/>
      <c r="H21" s="110"/>
      <c r="I21" s="112"/>
      <c r="J21" s="112"/>
      <c r="K21" s="112"/>
      <c r="L21" s="237"/>
      <c r="M21" s="127"/>
    </row>
    <row r="22" spans="1:25" x14ac:dyDescent="0.25">
      <c r="A22" s="101" t="str">
        <f>List!B8</f>
        <v>3 Ph 0-999 KVA TOD</v>
      </c>
      <c r="B22" s="133" t="s">
        <v>106</v>
      </c>
      <c r="C22" s="90" t="s">
        <v>103</v>
      </c>
      <c r="E22" s="137">
        <v>2.641</v>
      </c>
      <c r="F22" s="137">
        <f>E22*$F$53</f>
        <v>2.641</v>
      </c>
      <c r="G22" s="137">
        <f>F22-E22</f>
        <v>0</v>
      </c>
      <c r="I22" s="80">
        <f>'3PhTOD-3A'!G28</f>
        <v>118695.00524600002</v>
      </c>
      <c r="J22" s="80">
        <f>'3PhTOD-3A'!O28</f>
        <v>118695.00524600002</v>
      </c>
      <c r="K22" s="80">
        <f>'3PhTOD-3A'!O30</f>
        <v>0</v>
      </c>
      <c r="L22" s="236">
        <f>'3PhTOD-3A'!O32</f>
        <v>0</v>
      </c>
      <c r="M22" s="126">
        <f>'3PhTOD-3A'!O34</f>
        <v>0</v>
      </c>
    </row>
    <row r="23" spans="1:25" x14ac:dyDescent="0.25">
      <c r="A23" s="101"/>
      <c r="B23" s="133"/>
      <c r="C23" s="90" t="s">
        <v>92</v>
      </c>
      <c r="E23" s="138">
        <v>6.5794000000000005E-2</v>
      </c>
      <c r="F23" s="138">
        <f>E23*$F$53</f>
        <v>6.5794000000000005E-2</v>
      </c>
      <c r="G23" s="107">
        <f>F23-E23</f>
        <v>0</v>
      </c>
      <c r="I23" s="80"/>
      <c r="J23" s="80"/>
      <c r="K23" s="80"/>
      <c r="L23" s="236"/>
      <c r="M23" s="126"/>
    </row>
    <row r="24" spans="1:25" x14ac:dyDescent="0.25">
      <c r="A24" s="101"/>
      <c r="B24" s="133"/>
      <c r="C24" s="90" t="s">
        <v>93</v>
      </c>
      <c r="E24" s="26">
        <v>11</v>
      </c>
      <c r="F24" s="26">
        <f>E24*$F$53</f>
        <v>11</v>
      </c>
      <c r="G24" s="102">
        <f>F24-E24</f>
        <v>0</v>
      </c>
      <c r="I24" s="80"/>
      <c r="J24" s="80"/>
      <c r="K24" s="80"/>
      <c r="L24" s="236"/>
      <c r="M24" s="126"/>
    </row>
    <row r="25" spans="1:25" ht="9" customHeight="1" x14ac:dyDescent="0.25">
      <c r="A25" s="108"/>
      <c r="B25" s="134"/>
      <c r="C25" s="110"/>
      <c r="D25" s="110"/>
      <c r="E25" s="110"/>
      <c r="F25" s="110"/>
      <c r="G25" s="110"/>
      <c r="H25" s="110"/>
      <c r="I25" s="112"/>
      <c r="J25" s="112"/>
      <c r="K25" s="112"/>
      <c r="L25" s="237"/>
      <c r="M25" s="127"/>
    </row>
    <row r="26" spans="1:25" x14ac:dyDescent="0.25">
      <c r="A26" s="101" t="str">
        <f>List!B9</f>
        <v>Large 1000 KVA TOD</v>
      </c>
      <c r="B26" s="133">
        <v>4</v>
      </c>
      <c r="C26" s="90" t="s">
        <v>242</v>
      </c>
      <c r="E26" s="102">
        <v>805.93</v>
      </c>
      <c r="F26" s="102">
        <f>E26*$F$53</f>
        <v>805.93</v>
      </c>
      <c r="G26" s="102">
        <f>F26-E26</f>
        <v>0</v>
      </c>
      <c r="I26" s="80">
        <f>'LgTOD-4'!G32</f>
        <v>1066097.8652019999</v>
      </c>
      <c r="J26" s="80">
        <f>'LgTOD-4'!O32</f>
        <v>1066097.8652019999</v>
      </c>
      <c r="K26" s="80">
        <f>'LgTOD-4'!O34</f>
        <v>0</v>
      </c>
      <c r="L26" s="236">
        <f>'LgTOD-4'!O36</f>
        <v>0</v>
      </c>
      <c r="M26" s="126">
        <f>'LgTOD-4'!O38</f>
        <v>0</v>
      </c>
    </row>
    <row r="27" spans="1:25" x14ac:dyDescent="0.25">
      <c r="A27" s="101"/>
      <c r="B27" s="133"/>
      <c r="C27" s="90" t="s">
        <v>253</v>
      </c>
      <c r="E27" s="102">
        <v>142.22999999999999</v>
      </c>
      <c r="F27" s="102">
        <f>E27*$F$53</f>
        <v>142.22999999999999</v>
      </c>
      <c r="G27" s="102">
        <f>F27-E27</f>
        <v>0</v>
      </c>
      <c r="I27" s="80"/>
      <c r="J27" s="80"/>
      <c r="K27" s="80"/>
      <c r="L27" s="236"/>
      <c r="M27" s="126"/>
    </row>
    <row r="28" spans="1:25" x14ac:dyDescent="0.25">
      <c r="A28" s="101"/>
      <c r="B28" s="133"/>
      <c r="C28" s="90" t="s">
        <v>243</v>
      </c>
      <c r="E28" s="138">
        <v>6.0553000000000003E-2</v>
      </c>
      <c r="F28" s="138">
        <f>E28*$F$53</f>
        <v>6.0553000000000003E-2</v>
      </c>
      <c r="G28" s="107">
        <f>F28-E28</f>
        <v>0</v>
      </c>
      <c r="I28" s="80"/>
      <c r="J28" s="80"/>
      <c r="K28" s="80"/>
      <c r="L28" s="236"/>
      <c r="M28" s="126"/>
    </row>
    <row r="29" spans="1:25" x14ac:dyDescent="0.25">
      <c r="A29" s="101"/>
      <c r="B29" s="133"/>
      <c r="C29" s="90" t="s">
        <v>244</v>
      </c>
      <c r="E29" s="138">
        <v>5.2130000000000003E-2</v>
      </c>
      <c r="F29" s="138">
        <f>E29*$F$53</f>
        <v>5.2130000000000003E-2</v>
      </c>
      <c r="G29" s="107">
        <f>F29-E29</f>
        <v>0</v>
      </c>
      <c r="I29" s="80"/>
      <c r="J29" s="80"/>
      <c r="K29" s="80"/>
      <c r="L29" s="236"/>
      <c r="M29" s="126"/>
    </row>
    <row r="30" spans="1:25" x14ac:dyDescent="0.25">
      <c r="A30" s="101"/>
      <c r="B30" s="133"/>
      <c r="C30" s="90" t="s">
        <v>93</v>
      </c>
      <c r="E30" s="26">
        <v>10.5</v>
      </c>
      <c r="F30" s="26">
        <f>E30*$F$53</f>
        <v>10.5</v>
      </c>
      <c r="G30" s="102">
        <f>F30-E30</f>
        <v>0</v>
      </c>
      <c r="I30" s="80"/>
      <c r="J30" s="80"/>
      <c r="K30" s="80"/>
      <c r="L30" s="236"/>
      <c r="M30" s="126"/>
    </row>
    <row r="31" spans="1:25" ht="9" customHeight="1" x14ac:dyDescent="0.25">
      <c r="A31" s="108"/>
      <c r="B31" s="134"/>
      <c r="C31" s="110"/>
      <c r="D31" s="110"/>
      <c r="E31" s="110"/>
      <c r="F31" s="110"/>
      <c r="G31" s="110"/>
      <c r="H31" s="110"/>
      <c r="I31" s="112"/>
      <c r="J31" s="112"/>
      <c r="K31" s="112"/>
      <c r="L31" s="237"/>
      <c r="M31" s="127"/>
    </row>
    <row r="32" spans="1:25" x14ac:dyDescent="0.25">
      <c r="A32" s="101" t="str">
        <f>List!B10</f>
        <v>Private Outdoor Lighting</v>
      </c>
      <c r="B32" s="133">
        <v>5</v>
      </c>
      <c r="C32" s="2" t="s">
        <v>107</v>
      </c>
      <c r="D32" s="2"/>
      <c r="E32" s="102">
        <v>10.93</v>
      </c>
      <c r="F32" s="102">
        <f>E32*$F$53</f>
        <v>10.93</v>
      </c>
      <c r="G32" s="102">
        <f>F32-E32</f>
        <v>0</v>
      </c>
      <c r="I32" s="80">
        <f>'YL-5'!H22</f>
        <v>1467468.2899999998</v>
      </c>
      <c r="J32" s="80">
        <f>'YL-5'!Q22</f>
        <v>1467468.2899999998</v>
      </c>
      <c r="K32" s="80">
        <f>'YL-5'!Q24</f>
        <v>0</v>
      </c>
      <c r="L32" s="236">
        <f>'YL-5'!Q26</f>
        <v>0</v>
      </c>
      <c r="M32" s="73">
        <f>'YL-5'!Q28</f>
        <v>0</v>
      </c>
      <c r="O32" s="105"/>
      <c r="P32" s="73"/>
      <c r="R32" s="125"/>
    </row>
    <row r="33" spans="1:18" x14ac:dyDescent="0.25">
      <c r="A33" s="101"/>
      <c r="B33" s="133"/>
      <c r="C33" s="2" t="s">
        <v>108</v>
      </c>
      <c r="D33" s="2"/>
      <c r="E33" s="102">
        <v>4.7699999999999996</v>
      </c>
      <c r="F33" s="102">
        <f>E33*$F$53</f>
        <v>4.7699999999999996</v>
      </c>
      <c r="G33" s="102">
        <f>F33-E33</f>
        <v>0</v>
      </c>
      <c r="I33" s="80"/>
      <c r="J33" s="80"/>
      <c r="K33" s="80"/>
      <c r="L33" s="236"/>
      <c r="P33" s="124"/>
    </row>
    <row r="34" spans="1:18" x14ac:dyDescent="0.25">
      <c r="A34" s="101"/>
      <c r="B34" s="133"/>
      <c r="C34" s="2" t="s">
        <v>109</v>
      </c>
      <c r="D34" s="2"/>
      <c r="E34" s="102">
        <v>16.420000000000002</v>
      </c>
      <c r="F34" s="102">
        <f>E34*$F$53</f>
        <v>16.420000000000002</v>
      </c>
      <c r="G34" s="102">
        <f>F34-E34</f>
        <v>0</v>
      </c>
      <c r="I34" s="80"/>
      <c r="J34" s="80"/>
      <c r="K34" s="80"/>
      <c r="L34" s="236"/>
      <c r="M34" s="44"/>
    </row>
    <row r="35" spans="1:18" x14ac:dyDescent="0.25">
      <c r="A35" s="101"/>
      <c r="B35" s="133"/>
      <c r="C35" s="2" t="s">
        <v>110</v>
      </c>
      <c r="D35" s="2"/>
      <c r="E35" s="102">
        <v>4.7699999999999996</v>
      </c>
      <c r="F35" s="102">
        <f>E35*$F$53</f>
        <v>4.7699999999999996</v>
      </c>
      <c r="G35" s="102">
        <f>F35-E35</f>
        <v>0</v>
      </c>
      <c r="I35" s="80"/>
      <c r="J35" s="80"/>
      <c r="K35" s="80"/>
      <c r="L35" s="236"/>
      <c r="O35" s="105"/>
      <c r="P35" s="106"/>
    </row>
    <row r="36" spans="1:18" ht="9" customHeight="1" x14ac:dyDescent="0.25">
      <c r="A36" s="108"/>
      <c r="B36" s="109"/>
      <c r="C36" s="110"/>
      <c r="D36" s="110"/>
      <c r="E36" s="110"/>
      <c r="F36" s="110"/>
      <c r="G36" s="110"/>
      <c r="H36" s="110"/>
      <c r="I36" s="112"/>
      <c r="J36" s="112"/>
      <c r="K36" s="112"/>
      <c r="L36" s="237"/>
      <c r="M36" s="110"/>
    </row>
    <row r="37" spans="1:18" ht="9" customHeight="1" x14ac:dyDescent="0.25">
      <c r="A37" s="108"/>
      <c r="B37" s="134"/>
      <c r="C37" s="110"/>
      <c r="D37" s="110"/>
      <c r="E37" s="110"/>
      <c r="F37" s="110"/>
      <c r="G37" s="110"/>
      <c r="H37" s="110"/>
      <c r="I37" s="112"/>
      <c r="J37" s="112"/>
      <c r="K37" s="112"/>
      <c r="L37" s="237"/>
      <c r="M37" s="127"/>
    </row>
    <row r="38" spans="1:18" x14ac:dyDescent="0.25">
      <c r="A38" s="101" t="str">
        <f>List!B11</f>
        <v>Street &amp; Hwy Lights</v>
      </c>
      <c r="B38" s="133">
        <v>6</v>
      </c>
      <c r="C38" s="2" t="s">
        <v>111</v>
      </c>
      <c r="D38" s="2"/>
      <c r="E38" s="102">
        <v>9.98</v>
      </c>
      <c r="F38" s="102">
        <f>E38*$F$53</f>
        <v>9.98</v>
      </c>
      <c r="G38" s="102">
        <f>F38-E38</f>
        <v>0</v>
      </c>
      <c r="I38" s="80">
        <f>'SL-6'!H25</f>
        <v>146712.70000000001</v>
      </c>
      <c r="J38" s="80">
        <f>'SL-6'!Q25</f>
        <v>146712.70000000001</v>
      </c>
      <c r="K38" s="80">
        <f>'SL-6'!Q27</f>
        <v>0</v>
      </c>
      <c r="L38" s="236">
        <f>'SL-6'!Q29</f>
        <v>0</v>
      </c>
      <c r="M38" s="73">
        <f>'SL-6'!Q31</f>
        <v>0</v>
      </c>
      <c r="O38" s="105"/>
      <c r="P38" s="73"/>
      <c r="R38" s="125"/>
    </row>
    <row r="39" spans="1:18" x14ac:dyDescent="0.25">
      <c r="A39" s="101"/>
      <c r="B39" s="133"/>
      <c r="C39" s="2" t="s">
        <v>112</v>
      </c>
      <c r="D39" s="2"/>
      <c r="E39" s="102">
        <v>15.72</v>
      </c>
      <c r="F39" s="102">
        <f>E39*$F$53</f>
        <v>15.72</v>
      </c>
      <c r="G39" s="102">
        <f>F39-E39</f>
        <v>0</v>
      </c>
      <c r="I39" s="80"/>
      <c r="J39" s="80"/>
      <c r="K39" s="80"/>
      <c r="L39" s="104"/>
      <c r="M39" s="44"/>
    </row>
    <row r="40" spans="1:18" ht="9" customHeight="1" x14ac:dyDescent="0.25">
      <c r="A40" s="108"/>
      <c r="B40" s="109"/>
      <c r="C40" s="110"/>
      <c r="D40" s="110"/>
      <c r="E40" s="110"/>
      <c r="F40" s="111"/>
      <c r="G40" s="110"/>
      <c r="H40" s="110"/>
      <c r="I40" s="112"/>
      <c r="J40" s="112"/>
      <c r="K40" s="112"/>
      <c r="L40" s="113"/>
      <c r="M40" s="110"/>
    </row>
    <row r="41" spans="1:18" x14ac:dyDescent="0.25">
      <c r="A41" s="101" t="s">
        <v>220</v>
      </c>
      <c r="B41" s="133" t="s">
        <v>232</v>
      </c>
      <c r="C41" s="2" t="s">
        <v>233</v>
      </c>
      <c r="D41" s="2"/>
      <c r="E41" s="102"/>
      <c r="F41" s="103"/>
      <c r="G41" s="102"/>
      <c r="I41" s="80">
        <f>BillDet!G66</f>
        <v>21733240.850000001</v>
      </c>
      <c r="J41" s="80">
        <f>I41</f>
        <v>21733240.850000001</v>
      </c>
      <c r="K41" s="80">
        <f>'SL-6'!Q30</f>
        <v>0</v>
      </c>
      <c r="L41" s="236">
        <f>'SL-6'!Q32</f>
        <v>0</v>
      </c>
      <c r="M41" s="73">
        <f>'SL-6'!Q34</f>
        <v>0</v>
      </c>
      <c r="O41" s="105"/>
      <c r="P41" s="73"/>
      <c r="R41" s="125"/>
    </row>
    <row r="42" spans="1:18" ht="9" customHeight="1" x14ac:dyDescent="0.25">
      <c r="A42" s="108"/>
      <c r="B42" s="109"/>
      <c r="C42" s="110"/>
      <c r="D42" s="110"/>
      <c r="E42" s="110"/>
      <c r="F42" s="111"/>
      <c r="G42" s="110"/>
      <c r="H42" s="110"/>
      <c r="I42" s="112"/>
      <c r="J42" s="112"/>
      <c r="K42" s="112"/>
      <c r="L42" s="113"/>
      <c r="M42" s="110"/>
    </row>
    <row r="43" spans="1:18" s="120" customFormat="1" ht="31.5" customHeight="1" thickBot="1" x14ac:dyDescent="0.3">
      <c r="A43" s="115" t="s">
        <v>66</v>
      </c>
      <c r="B43" s="116"/>
      <c r="C43" s="115"/>
      <c r="E43" s="115"/>
      <c r="F43" s="115"/>
      <c r="G43" s="115"/>
      <c r="H43" s="90"/>
      <c r="I43" s="117">
        <f>SUM(I10:I42)</f>
        <v>84967150.05186367</v>
      </c>
      <c r="J43" s="117">
        <f>SUM(J10:J42)</f>
        <v>86717930.343530327</v>
      </c>
      <c r="K43" s="117">
        <f>SUM(K10:K42)</f>
        <v>1750780.2916666642</v>
      </c>
      <c r="L43" s="235">
        <f>K43/I43</f>
        <v>2.0605378556277264E-2</v>
      </c>
      <c r="M43" s="118"/>
      <c r="N43" s="119"/>
      <c r="Q43" s="130"/>
    </row>
    <row r="44" spans="1:18" ht="16.5" thickTop="1" x14ac:dyDescent="0.25"/>
    <row r="45" spans="1:18" x14ac:dyDescent="0.25">
      <c r="I45" s="380"/>
      <c r="J45" s="161" t="s">
        <v>200</v>
      </c>
      <c r="K45" s="29">
        <v>1752650.4658015566</v>
      </c>
      <c r="L45" s="114"/>
    </row>
    <row r="46" spans="1:18" x14ac:dyDescent="0.25">
      <c r="I46" s="81"/>
      <c r="J46" s="161" t="s">
        <v>201</v>
      </c>
      <c r="K46" s="29">
        <f>K43-K45</f>
        <v>-1870.1741348924115</v>
      </c>
      <c r="L46" s="91"/>
    </row>
    <row r="47" spans="1:18" x14ac:dyDescent="0.25">
      <c r="I47" s="381"/>
      <c r="J47" s="161" t="s">
        <v>202</v>
      </c>
      <c r="K47" s="25">
        <f>K46/K45</f>
        <v>-1.0670548243269411E-3</v>
      </c>
    </row>
    <row r="48" spans="1:18" x14ac:dyDescent="0.25">
      <c r="I48" s="381"/>
      <c r="J48" s="161"/>
      <c r="K48" s="25"/>
    </row>
    <row r="49" spans="1:12" x14ac:dyDescent="0.25">
      <c r="C49" s="161" t="s">
        <v>208</v>
      </c>
      <c r="E49" s="26">
        <f>E10*365/12</f>
        <v>20.865833333333335</v>
      </c>
      <c r="F49" s="26">
        <f>F10*365/12</f>
        <v>25.854166666666668</v>
      </c>
      <c r="G49" s="26">
        <f>F49-E49</f>
        <v>4.9883333333333333</v>
      </c>
      <c r="J49" s="404">
        <v>1.2390000000000001</v>
      </c>
      <c r="L49" s="29"/>
    </row>
    <row r="50" spans="1:12" x14ac:dyDescent="0.25">
      <c r="C50" s="161" t="s">
        <v>241</v>
      </c>
      <c r="E50" s="26">
        <f>E13*365/12</f>
        <v>24.819999999999997</v>
      </c>
      <c r="F50" s="26">
        <f>F13*365/12</f>
        <v>27.070833333333336</v>
      </c>
      <c r="G50" s="26">
        <f>F50-E50</f>
        <v>2.2508333333333397</v>
      </c>
      <c r="L50" s="105"/>
    </row>
    <row r="51" spans="1:12" x14ac:dyDescent="0.25">
      <c r="I51" s="381"/>
      <c r="J51" s="161"/>
      <c r="K51" s="25"/>
    </row>
    <row r="52" spans="1:12" x14ac:dyDescent="0.25">
      <c r="A52" s="101"/>
    </row>
    <row r="53" spans="1:12" x14ac:dyDescent="0.25">
      <c r="A53" s="101"/>
      <c r="F53" s="405">
        <v>1</v>
      </c>
    </row>
    <row r="54" spans="1:12" x14ac:dyDescent="0.25">
      <c r="A54" s="101"/>
      <c r="K54" s="29"/>
    </row>
    <row r="55" spans="1:12" x14ac:dyDescent="0.25">
      <c r="A55" s="101"/>
      <c r="K55" s="29"/>
    </row>
    <row r="56" spans="1:12" x14ac:dyDescent="0.25">
      <c r="A56" s="101"/>
    </row>
    <row r="57" spans="1:12" x14ac:dyDescent="0.25">
      <c r="A57" s="101"/>
      <c r="K57" s="29"/>
    </row>
    <row r="58" spans="1:12" x14ac:dyDescent="0.25">
      <c r="A58" s="101"/>
      <c r="I58" s="29"/>
    </row>
    <row r="59" spans="1:12" x14ac:dyDescent="0.25">
      <c r="A59" s="101"/>
      <c r="I59" s="29"/>
    </row>
    <row r="60" spans="1:12" x14ac:dyDescent="0.25">
      <c r="I60" s="29"/>
    </row>
    <row r="61" spans="1:12" x14ac:dyDescent="0.25">
      <c r="I61" s="29"/>
    </row>
    <row r="68" spans="11:11" x14ac:dyDescent="0.25">
      <c r="K68" s="29"/>
    </row>
  </sheetData>
  <dataConsolidate/>
  <mergeCells count="3">
    <mergeCell ref="A5:C5"/>
    <mergeCell ref="I5:M5"/>
    <mergeCell ref="E5:G5"/>
  </mergeCells>
  <printOptions horizontalCentered="1"/>
  <pageMargins left="0.25" right="0.25" top="0.75" bottom="0.75" header="0.3" footer="0.3"/>
  <pageSetup scale="59" fitToWidth="2" orientation="landscape" r:id="rId1"/>
  <colBreaks count="1" manualBreakCount="1">
    <brk id="13" max="44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G39"/>
  <sheetViews>
    <sheetView view="pageBreakPreview" zoomScale="85" zoomScaleNormal="100" zoomScaleSheetLayoutView="85" workbookViewId="0">
      <selection activeCell="M16" sqref="M16"/>
    </sheetView>
  </sheetViews>
  <sheetFormatPr defaultRowHeight="15.75" x14ac:dyDescent="0.25"/>
  <cols>
    <col min="1" max="1" width="4.28515625" style="2" customWidth="1"/>
    <col min="2" max="2" width="21.28515625" style="2" customWidth="1"/>
    <col min="3" max="3" width="4.7109375" style="2" customWidth="1"/>
    <col min="4" max="4" width="12.42578125" style="2" bestFit="1" customWidth="1"/>
    <col min="5" max="5" width="11.42578125" style="2" bestFit="1" customWidth="1"/>
    <col min="6" max="6" width="10.85546875" style="2" bestFit="1" customWidth="1"/>
    <col min="7" max="7" width="2.7109375" style="2" customWidth="1"/>
    <col min="8" max="8" width="12.140625" style="2" bestFit="1" customWidth="1"/>
    <col min="9" max="9" width="3.140625" style="2" customWidth="1"/>
    <col min="10" max="10" width="5.140625" style="2" customWidth="1"/>
    <col min="11" max="11" width="15.5703125" style="2" bestFit="1" customWidth="1"/>
    <col min="12" max="12" width="4.5703125" style="2" customWidth="1"/>
    <col min="13" max="13" width="13.7109375" style="2" bestFit="1" customWidth="1"/>
    <col min="14" max="14" width="11.42578125" style="2" bestFit="1" customWidth="1"/>
    <col min="15" max="15" width="10.85546875" style="2" bestFit="1" customWidth="1"/>
    <col min="16" max="16" width="3.42578125" style="2" customWidth="1"/>
    <col min="17" max="17" width="16.7109375" style="2" bestFit="1" customWidth="1"/>
    <col min="18" max="18" width="6.7109375" style="2" customWidth="1"/>
    <col min="19" max="19" width="27.5703125" style="2" customWidth="1"/>
    <col min="20" max="20" width="11.7109375" style="2" customWidth="1"/>
    <col min="21" max="21" width="13" style="2" customWidth="1"/>
    <col min="22" max="22" width="10.5703125" style="2" customWidth="1"/>
    <col min="23" max="23" width="2.7109375" style="2" customWidth="1"/>
    <col min="24" max="24" width="16.7109375" style="2" customWidth="1"/>
    <col min="25" max="25" width="9.140625" style="2"/>
    <col min="26" max="27" width="6.7109375" style="2" customWidth="1"/>
    <col min="28" max="28" width="27.5703125" style="2" customWidth="1"/>
    <col min="29" max="29" width="11.7109375" style="2" customWidth="1"/>
    <col min="30" max="30" width="13" style="2" customWidth="1"/>
    <col min="31" max="31" width="10.5703125" style="2" customWidth="1"/>
    <col min="32" max="32" width="2.7109375" style="2" customWidth="1"/>
    <col min="33" max="33" width="16.7109375" style="2" customWidth="1"/>
    <col min="34" max="16384" width="9.140625" style="2"/>
  </cols>
  <sheetData>
    <row r="1" spans="1:33" x14ac:dyDescent="0.25">
      <c r="A1" s="1" t="s">
        <v>96</v>
      </c>
    </row>
    <row r="2" spans="1:33" x14ac:dyDescent="0.25">
      <c r="A2" s="2" t="str">
        <f>'Present and Proposed Rates'!A38</f>
        <v>Street &amp; Hwy Lights</v>
      </c>
      <c r="O2" s="348"/>
    </row>
    <row r="3" spans="1:33" ht="16.5" thickBot="1" x14ac:dyDescent="0.3">
      <c r="A3" s="2">
        <f>'Present and Proposed Rates'!B38</f>
        <v>6</v>
      </c>
    </row>
    <row r="4" spans="1:33" x14ac:dyDescent="0.25">
      <c r="E4" s="388" t="s">
        <v>31</v>
      </c>
      <c r="F4" s="389"/>
      <c r="G4" s="389"/>
      <c r="H4" s="390"/>
      <c r="I4" s="153"/>
      <c r="N4" s="388" t="s">
        <v>94</v>
      </c>
      <c r="O4" s="389"/>
      <c r="P4" s="389"/>
      <c r="Q4" s="390"/>
      <c r="U4" s="394"/>
      <c r="V4" s="394"/>
      <c r="W4" s="394"/>
      <c r="X4" s="394"/>
      <c r="AD4" s="394"/>
      <c r="AE4" s="394"/>
      <c r="AF4" s="394"/>
      <c r="AG4" s="394"/>
    </row>
    <row r="5" spans="1:33" ht="16.5" thickBot="1" x14ac:dyDescent="0.3">
      <c r="E5" s="391"/>
      <c r="F5" s="392"/>
      <c r="G5" s="392"/>
      <c r="H5" s="393"/>
      <c r="I5" s="150"/>
      <c r="N5" s="391"/>
      <c r="O5" s="392"/>
      <c r="P5" s="392"/>
      <c r="Q5" s="393"/>
      <c r="T5" s="3"/>
      <c r="U5" s="394"/>
      <c r="V5" s="394"/>
      <c r="W5" s="394"/>
      <c r="X5" s="394"/>
      <c r="Z5" s="3"/>
      <c r="AA5" s="3"/>
      <c r="AB5" s="3"/>
      <c r="AC5" s="3"/>
      <c r="AD5" s="394"/>
      <c r="AE5" s="394"/>
      <c r="AF5" s="394"/>
      <c r="AG5" s="394"/>
    </row>
    <row r="6" spans="1:33" x14ac:dyDescent="0.25">
      <c r="E6" s="4" t="s">
        <v>1</v>
      </c>
      <c r="F6" s="4"/>
      <c r="G6" s="4"/>
      <c r="H6" s="4" t="s">
        <v>2</v>
      </c>
      <c r="I6" s="151"/>
      <c r="N6" s="4" t="s">
        <v>1</v>
      </c>
      <c r="O6" s="4"/>
      <c r="P6" s="4"/>
      <c r="Q6" s="4" t="s">
        <v>2</v>
      </c>
      <c r="R6" s="57"/>
      <c r="S6" s="57"/>
      <c r="T6" s="4"/>
      <c r="U6" s="4"/>
      <c r="V6" s="4"/>
      <c r="W6" s="4"/>
      <c r="X6" s="4"/>
      <c r="Z6" s="4"/>
      <c r="AA6" s="4"/>
      <c r="AB6" s="4"/>
      <c r="AC6" s="4"/>
      <c r="AD6" s="4"/>
      <c r="AE6" s="4"/>
      <c r="AF6" s="4"/>
      <c r="AG6" s="4"/>
    </row>
    <row r="7" spans="1:33" ht="16.5" thickBot="1" x14ac:dyDescent="0.3">
      <c r="A7" s="41" t="s">
        <v>3</v>
      </c>
      <c r="B7" s="42"/>
      <c r="C7" s="42"/>
      <c r="D7" s="42"/>
      <c r="E7" s="5" t="s">
        <v>4</v>
      </c>
      <c r="F7" s="392" t="s">
        <v>5</v>
      </c>
      <c r="G7" s="392"/>
      <c r="H7" s="5" t="s">
        <v>6</v>
      </c>
      <c r="I7" s="151"/>
      <c r="J7" s="41" t="s">
        <v>3</v>
      </c>
      <c r="K7" s="42"/>
      <c r="L7" s="42"/>
      <c r="M7" s="42"/>
      <c r="N7" s="5" t="s">
        <v>4</v>
      </c>
      <c r="O7" s="392" t="s">
        <v>5</v>
      </c>
      <c r="P7" s="392"/>
      <c r="Q7" s="5" t="s">
        <v>6</v>
      </c>
      <c r="R7" s="5" t="s">
        <v>234</v>
      </c>
      <c r="S7" s="57"/>
      <c r="T7" s="4"/>
      <c r="U7" s="4"/>
      <c r="V7" s="394"/>
      <c r="W7" s="394"/>
      <c r="X7" s="4"/>
      <c r="Z7" s="4"/>
      <c r="AA7" s="4"/>
      <c r="AB7" s="4"/>
      <c r="AC7" s="4"/>
      <c r="AD7" s="4"/>
      <c r="AE7" s="394"/>
      <c r="AF7" s="394"/>
      <c r="AG7" s="4"/>
    </row>
    <row r="8" spans="1:33" x14ac:dyDescent="0.25">
      <c r="I8" s="153"/>
      <c r="R8" s="57"/>
      <c r="S8" s="57"/>
    </row>
    <row r="9" spans="1:33" x14ac:dyDescent="0.25">
      <c r="I9" s="153"/>
      <c r="R9" s="57"/>
      <c r="S9" s="57"/>
      <c r="X9" s="49"/>
      <c r="AG9" s="49"/>
    </row>
    <row r="10" spans="1:33" x14ac:dyDescent="0.25">
      <c r="E10" s="8"/>
      <c r="H10" s="10"/>
      <c r="I10" s="153"/>
      <c r="N10" s="8"/>
      <c r="Q10" s="10"/>
      <c r="R10" s="57"/>
      <c r="S10" s="57"/>
      <c r="U10" s="8"/>
      <c r="X10" s="11"/>
      <c r="AD10" s="8"/>
      <c r="AG10" s="11"/>
    </row>
    <row r="11" spans="1:33" x14ac:dyDescent="0.25">
      <c r="A11" s="1" t="s">
        <v>25</v>
      </c>
      <c r="E11" s="144" t="s">
        <v>133</v>
      </c>
      <c r="H11" s="144" t="s">
        <v>134</v>
      </c>
      <c r="I11" s="153"/>
      <c r="J11" s="1" t="s">
        <v>25</v>
      </c>
      <c r="N11" s="144" t="s">
        <v>133</v>
      </c>
      <c r="Q11" s="144" t="s">
        <v>134</v>
      </c>
      <c r="R11" s="57"/>
      <c r="S11" s="57"/>
      <c r="U11" s="8"/>
      <c r="X11" s="10"/>
      <c r="Z11" s="1"/>
      <c r="AD11" s="8"/>
      <c r="AG11" s="10"/>
    </row>
    <row r="12" spans="1:33" x14ac:dyDescent="0.25">
      <c r="D12" s="43" t="s">
        <v>20</v>
      </c>
      <c r="E12" s="121" t="s">
        <v>15</v>
      </c>
      <c r="F12" s="122" t="s">
        <v>16</v>
      </c>
      <c r="H12" s="121" t="s">
        <v>6</v>
      </c>
      <c r="I12" s="153"/>
      <c r="M12" s="43" t="s">
        <v>20</v>
      </c>
      <c r="N12" s="121" t="s">
        <v>15</v>
      </c>
      <c r="O12" s="122" t="s">
        <v>16</v>
      </c>
      <c r="Q12" s="121" t="s">
        <v>6</v>
      </c>
      <c r="S12" s="57"/>
      <c r="T12" s="37"/>
      <c r="U12" s="78"/>
      <c r="V12" s="16"/>
      <c r="X12" s="10"/>
      <c r="AC12" s="37"/>
      <c r="AD12" s="78"/>
      <c r="AE12" s="16"/>
      <c r="AG12" s="10"/>
    </row>
    <row r="13" spans="1:33" x14ac:dyDescent="0.25">
      <c r="D13" s="64"/>
      <c r="E13" s="44"/>
      <c r="F13" s="73"/>
      <c r="H13" s="11"/>
      <c r="I13" s="153"/>
      <c r="M13" s="64"/>
      <c r="N13" s="44"/>
      <c r="O13" s="73"/>
      <c r="Q13" s="11"/>
      <c r="S13" s="57"/>
      <c r="T13" s="8"/>
      <c r="U13" s="45"/>
      <c r="V13" s="69"/>
      <c r="X13" s="11"/>
      <c r="AC13" s="8"/>
      <c r="AD13" s="45"/>
      <c r="AE13" s="69"/>
      <c r="AG13" s="11"/>
    </row>
    <row r="14" spans="1:33" x14ac:dyDescent="0.25">
      <c r="B14" s="2" t="s">
        <v>129</v>
      </c>
      <c r="D14" s="233"/>
      <c r="E14" s="44">
        <f>BillDetLt!Q14</f>
        <v>434.08333333333331</v>
      </c>
      <c r="F14" s="72">
        <f>'Present and Proposed Rates'!E38</f>
        <v>9.98</v>
      </c>
      <c r="H14" s="56">
        <f>E14*F14*12</f>
        <v>51985.82</v>
      </c>
      <c r="I14" s="153"/>
      <c r="K14" s="2" t="s">
        <v>129</v>
      </c>
      <c r="M14" s="233"/>
      <c r="N14" s="44">
        <f>E14</f>
        <v>434.08333333333331</v>
      </c>
      <c r="O14" s="72">
        <f>'Present and Proposed Rates'!F38</f>
        <v>9.98</v>
      </c>
      <c r="Q14" s="56">
        <f>N14*O14*12</f>
        <v>51985.82</v>
      </c>
      <c r="R14" s="88">
        <f>Q14/H14-1</f>
        <v>0</v>
      </c>
      <c r="S14" s="57"/>
      <c r="T14" s="8"/>
      <c r="U14" s="45"/>
      <c r="V14" s="69"/>
      <c r="X14" s="11"/>
      <c r="AC14" s="8"/>
      <c r="AD14" s="45"/>
      <c r="AE14" s="69"/>
      <c r="AG14" s="11"/>
    </row>
    <row r="15" spans="1:33" x14ac:dyDescent="0.25">
      <c r="B15" s="2" t="s">
        <v>130</v>
      </c>
      <c r="D15" s="233"/>
      <c r="E15" s="44">
        <f>BillDetLt!Q15</f>
        <v>372.83333333333331</v>
      </c>
      <c r="F15" s="72">
        <f>'Present and Proposed Rates'!E39</f>
        <v>15.72</v>
      </c>
      <c r="H15" s="56">
        <f>E15*F15*12</f>
        <v>70331.28</v>
      </c>
      <c r="I15" s="153"/>
      <c r="K15" s="2" t="s">
        <v>130</v>
      </c>
      <c r="M15" s="233"/>
      <c r="N15" s="44">
        <f>E15</f>
        <v>372.83333333333331</v>
      </c>
      <c r="O15" s="72">
        <f>'Present and Proposed Rates'!F39</f>
        <v>15.72</v>
      </c>
      <c r="Q15" s="56">
        <f>N15*O15*12</f>
        <v>70331.28</v>
      </c>
      <c r="R15" s="88">
        <f>Q15/H15-1</f>
        <v>0</v>
      </c>
      <c r="S15" s="57"/>
      <c r="T15" s="8"/>
      <c r="U15" s="45"/>
      <c r="V15" s="69"/>
      <c r="X15" s="11"/>
      <c r="AC15" s="8"/>
      <c r="AD15" s="45"/>
      <c r="AE15" s="69"/>
      <c r="AG15" s="11"/>
    </row>
    <row r="16" spans="1:33" x14ac:dyDescent="0.25">
      <c r="B16" s="147" t="s">
        <v>85</v>
      </c>
      <c r="C16" s="148"/>
      <c r="D16" s="146">
        <f>BillDet!I36</f>
        <v>1051078</v>
      </c>
      <c r="E16" s="146">
        <f>SUM(E14:E15)</f>
        <v>806.91666666666663</v>
      </c>
      <c r="F16" s="149"/>
      <c r="H16" s="145">
        <f>SUM(H14:H15)</f>
        <v>122317.1</v>
      </c>
      <c r="I16" s="159"/>
      <c r="K16" s="147" t="s">
        <v>85</v>
      </c>
      <c r="L16" s="148"/>
      <c r="M16" s="146">
        <f>D16</f>
        <v>1051078</v>
      </c>
      <c r="N16" s="146">
        <f>SUM(N14:N15)</f>
        <v>806.91666666666663</v>
      </c>
      <c r="O16" s="149"/>
      <c r="Q16" s="145">
        <f>SUM(Q14:Q15)</f>
        <v>122317.1</v>
      </c>
      <c r="R16" s="88">
        <f>Q16/H16-1</f>
        <v>0</v>
      </c>
      <c r="T16" s="19"/>
      <c r="U16" s="8"/>
      <c r="V16" s="18"/>
      <c r="X16" s="11"/>
      <c r="AA16" s="47"/>
      <c r="AC16" s="19"/>
      <c r="AD16" s="8"/>
      <c r="AE16" s="18"/>
      <c r="AG16" s="11"/>
    </row>
    <row r="17" spans="1:33" x14ac:dyDescent="0.25">
      <c r="B17" s="47"/>
      <c r="E17" s="44"/>
      <c r="F17" s="18"/>
      <c r="H17" s="11"/>
      <c r="I17" s="159"/>
      <c r="K17" s="47"/>
      <c r="N17" s="44"/>
      <c r="O17" s="18"/>
      <c r="Q17" s="11"/>
      <c r="R17" s="47"/>
      <c r="T17" s="19"/>
      <c r="U17" s="8"/>
      <c r="V17" s="18"/>
      <c r="X17" s="11"/>
      <c r="AA17" s="47"/>
      <c r="AC17" s="19"/>
      <c r="AD17" s="8"/>
      <c r="AE17" s="18"/>
      <c r="AG17" s="11"/>
    </row>
    <row r="18" spans="1:33" x14ac:dyDescent="0.25">
      <c r="E18" s="8"/>
      <c r="H18" s="11"/>
      <c r="I18" s="153"/>
      <c r="N18" s="8"/>
      <c r="Q18" s="11"/>
      <c r="U18" s="8"/>
      <c r="X18" s="11"/>
      <c r="AD18" s="8"/>
      <c r="AG18" s="11"/>
    </row>
    <row r="19" spans="1:33" x14ac:dyDescent="0.25">
      <c r="A19" s="1" t="s">
        <v>102</v>
      </c>
      <c r="D19" s="8"/>
      <c r="E19" s="18"/>
      <c r="H19" s="11"/>
      <c r="I19" s="154"/>
      <c r="J19" s="1" t="s">
        <v>102</v>
      </c>
      <c r="M19" s="8"/>
      <c r="N19" s="18"/>
      <c r="P19" s="11"/>
    </row>
    <row r="20" spans="1:33" x14ac:dyDescent="0.25">
      <c r="B20" s="2" t="s">
        <v>117</v>
      </c>
      <c r="D20" s="8"/>
      <c r="E20" s="18"/>
      <c r="H20" s="11">
        <v>13152.390000000001</v>
      </c>
      <c r="I20" s="154"/>
      <c r="J20" s="11"/>
      <c r="K20" s="2" t="str">
        <f>B20</f>
        <v>Fuel Adjustment Clause</v>
      </c>
      <c r="N20" s="8"/>
      <c r="O20" s="18"/>
      <c r="Q20" s="11">
        <f>H20</f>
        <v>13152.390000000001</v>
      </c>
      <c r="R20" s="88">
        <f>Q20/H20-1</f>
        <v>0</v>
      </c>
      <c r="S20" s="58"/>
    </row>
    <row r="21" spans="1:33" x14ac:dyDescent="0.25">
      <c r="B21" s="2" t="s">
        <v>114</v>
      </c>
      <c r="D21" s="8"/>
      <c r="E21" s="18"/>
      <c r="H21" s="11">
        <v>7761.55</v>
      </c>
      <c r="I21" s="154"/>
      <c r="J21" s="11"/>
      <c r="K21" s="2" t="str">
        <f>B21</f>
        <v>Environmental Surcharge</v>
      </c>
      <c r="N21" s="8"/>
      <c r="O21" s="18"/>
      <c r="Q21" s="11">
        <f t="shared" ref="Q21:Q23" si="0">H21</f>
        <v>7761.55</v>
      </c>
      <c r="R21" s="88">
        <f>Q21/H21-1</f>
        <v>0</v>
      </c>
      <c r="S21" s="58"/>
    </row>
    <row r="22" spans="1:33" x14ac:dyDescent="0.25">
      <c r="B22" s="2" t="s">
        <v>115</v>
      </c>
      <c r="D22" s="8"/>
      <c r="E22" s="18"/>
      <c r="H22" s="11">
        <v>-4193.8599999999997</v>
      </c>
      <c r="I22" s="154"/>
      <c r="J22" s="11"/>
      <c r="K22" s="2" t="str">
        <f>B22</f>
        <v>Member Rate Stability</v>
      </c>
      <c r="N22" s="8"/>
      <c r="O22" s="18"/>
      <c r="Q22" s="11">
        <f t="shared" si="0"/>
        <v>-4193.8599999999997</v>
      </c>
      <c r="R22" s="88">
        <f>Q22/H22-1</f>
        <v>0</v>
      </c>
      <c r="S22" s="58"/>
    </row>
    <row r="23" spans="1:33" x14ac:dyDescent="0.25">
      <c r="B23" s="2" t="s">
        <v>116</v>
      </c>
      <c r="D23" s="8"/>
      <c r="E23" s="18"/>
      <c r="H23" s="33">
        <v>7675.52</v>
      </c>
      <c r="I23" s="155"/>
      <c r="J23" s="33"/>
      <c r="K23" s="2" t="str">
        <f>B23</f>
        <v>Non-FAC PPA</v>
      </c>
      <c r="N23" s="8"/>
      <c r="O23" s="18"/>
      <c r="Q23" s="11">
        <f t="shared" si="0"/>
        <v>7675.52</v>
      </c>
      <c r="R23" s="88">
        <f>Q23/H23-1</f>
        <v>0</v>
      </c>
      <c r="S23" s="58"/>
    </row>
    <row r="24" spans="1:33" x14ac:dyDescent="0.25">
      <c r="C24" s="16"/>
      <c r="D24" s="8"/>
      <c r="E24" s="18"/>
      <c r="G24" s="11"/>
      <c r="H24" s="11"/>
      <c r="I24" s="155"/>
      <c r="K24" s="16"/>
      <c r="L24" s="8"/>
      <c r="M24" s="18"/>
      <c r="O24" s="11"/>
      <c r="Q24" s="58"/>
    </row>
    <row r="25" spans="1:33" ht="16.5" thickBot="1" x14ac:dyDescent="0.3">
      <c r="A25" s="1" t="s">
        <v>85</v>
      </c>
      <c r="D25" s="19"/>
      <c r="H25" s="60">
        <f>SUM(H16:H23)</f>
        <v>146712.70000000001</v>
      </c>
      <c r="I25" s="153"/>
      <c r="J25" s="1" t="s">
        <v>81</v>
      </c>
      <c r="M25" s="19"/>
      <c r="Q25" s="60">
        <f>SUM(Q16:Q23)</f>
        <v>146712.70000000001</v>
      </c>
      <c r="R25" s="88">
        <f>Q25/H25-1</f>
        <v>0</v>
      </c>
      <c r="T25" s="11"/>
      <c r="X25" s="56"/>
      <c r="Z25" s="1"/>
      <c r="AG25" s="56"/>
    </row>
    <row r="26" spans="1:33" ht="16.5" thickTop="1" x14ac:dyDescent="0.25">
      <c r="A26" s="1"/>
      <c r="H26" s="11"/>
      <c r="I26" s="153"/>
      <c r="J26" s="1"/>
      <c r="Q26" s="11"/>
      <c r="X26" s="11"/>
      <c r="Z26" s="1"/>
      <c r="AG26" s="11"/>
    </row>
    <row r="27" spans="1:33" x14ac:dyDescent="0.25">
      <c r="A27" s="1" t="s">
        <v>18</v>
      </c>
      <c r="E27" s="45"/>
      <c r="H27" s="11">
        <f>BillDet!I66</f>
        <v>145129.32</v>
      </c>
      <c r="I27" s="153"/>
      <c r="J27" s="1" t="s">
        <v>86</v>
      </c>
      <c r="N27" s="45"/>
      <c r="Q27" s="11">
        <f>Q25-H25</f>
        <v>0</v>
      </c>
      <c r="U27" s="51"/>
      <c r="X27" s="51"/>
      <c r="Z27" s="1"/>
      <c r="AD27" s="51"/>
      <c r="AG27" s="51"/>
    </row>
    <row r="28" spans="1:33" x14ac:dyDescent="0.25">
      <c r="A28" s="10"/>
      <c r="H28" s="10"/>
      <c r="I28" s="153"/>
      <c r="Q28" s="10"/>
      <c r="U28" s="11"/>
      <c r="X28" s="11"/>
      <c r="Z28" s="10"/>
      <c r="AD28" s="11"/>
      <c r="AG28" s="11"/>
    </row>
    <row r="29" spans="1:33" x14ac:dyDescent="0.25">
      <c r="A29" s="1" t="s">
        <v>13</v>
      </c>
      <c r="E29" s="51"/>
      <c r="H29" s="48">
        <f>H25-H27</f>
        <v>1583.3800000000047</v>
      </c>
      <c r="I29" s="153"/>
      <c r="J29" s="1" t="s">
        <v>87</v>
      </c>
      <c r="N29" s="51"/>
      <c r="Q29" s="160">
        <f>Q27/H25</f>
        <v>0</v>
      </c>
      <c r="U29" s="52"/>
      <c r="X29" s="52"/>
      <c r="Z29" s="1"/>
      <c r="AD29" s="52"/>
      <c r="AG29" s="52"/>
    </row>
    <row r="30" spans="1:33" x14ac:dyDescent="0.25">
      <c r="A30" s="10"/>
      <c r="E30" s="11"/>
      <c r="H30" s="11"/>
      <c r="I30" s="153"/>
      <c r="N30" s="11"/>
      <c r="Q30" s="11"/>
    </row>
    <row r="31" spans="1:33" x14ac:dyDescent="0.25">
      <c r="A31" s="1" t="s">
        <v>27</v>
      </c>
      <c r="E31" s="52"/>
      <c r="H31" s="52">
        <f>(H25-H27)/H27</f>
        <v>1.0910131736302524E-2</v>
      </c>
      <c r="I31" s="153"/>
      <c r="J31" s="1" t="s">
        <v>88</v>
      </c>
      <c r="N31" s="52"/>
      <c r="Q31" s="84">
        <f>Q27/N16</f>
        <v>0</v>
      </c>
    </row>
    <row r="32" spans="1:33" x14ac:dyDescent="0.25">
      <c r="A32" s="11"/>
      <c r="H32" s="11"/>
      <c r="I32" s="154"/>
      <c r="J32" s="11"/>
      <c r="R32" s="11"/>
      <c r="S32" s="11"/>
      <c r="X32" s="32"/>
      <c r="Z32" s="11"/>
      <c r="AA32" s="11"/>
      <c r="AB32" s="11"/>
      <c r="AG32" s="32"/>
    </row>
    <row r="33" spans="8:28" ht="15" customHeight="1" x14ac:dyDescent="0.25">
      <c r="H33" s="10"/>
      <c r="I33" s="10"/>
      <c r="J33" s="10"/>
      <c r="R33" s="10"/>
      <c r="S33" s="10"/>
      <c r="Z33" s="10"/>
      <c r="AA33" s="10"/>
      <c r="AB33" s="10"/>
    </row>
    <row r="34" spans="8:28" x14ac:dyDescent="0.25">
      <c r="H34" s="39"/>
      <c r="I34" s="57"/>
      <c r="J34" s="57"/>
    </row>
    <row r="35" spans="8:28" x14ac:dyDescent="0.25">
      <c r="H35" s="39"/>
      <c r="I35" s="57"/>
      <c r="J35" s="57"/>
    </row>
    <row r="36" spans="8:28" x14ac:dyDescent="0.25">
      <c r="H36" s="39"/>
      <c r="I36" s="57"/>
      <c r="J36" s="57"/>
    </row>
    <row r="37" spans="8:28" x14ac:dyDescent="0.25">
      <c r="H37" s="39"/>
      <c r="I37" s="57"/>
      <c r="J37" s="57"/>
    </row>
    <row r="38" spans="8:28" x14ac:dyDescent="0.25">
      <c r="H38" s="39"/>
      <c r="I38" s="57"/>
      <c r="J38" s="57"/>
    </row>
    <row r="39" spans="8:28" x14ac:dyDescent="0.25">
      <c r="I39" s="57"/>
      <c r="J39" s="57"/>
    </row>
  </sheetData>
  <mergeCells count="8">
    <mergeCell ref="E4:H5"/>
    <mergeCell ref="U4:X5"/>
    <mergeCell ref="AD4:AG5"/>
    <mergeCell ref="F7:G7"/>
    <mergeCell ref="V7:W7"/>
    <mergeCell ref="AE7:AF7"/>
    <mergeCell ref="N4:Q5"/>
    <mergeCell ref="O7:P7"/>
  </mergeCells>
  <pageMargins left="0.75" right="0.75" top="1" bottom="1" header="0.5" footer="0.5"/>
  <pageSetup scale="72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G40"/>
  <sheetViews>
    <sheetView tabSelected="1" view="pageBreakPreview" zoomScaleNormal="75" zoomScaleSheetLayoutView="100" workbookViewId="0">
      <selection activeCell="F21" sqref="F21"/>
    </sheetView>
  </sheetViews>
  <sheetFormatPr defaultRowHeight="12.75" x14ac:dyDescent="0.2"/>
  <cols>
    <col min="1" max="1" width="36" style="327" bestFit="1" customWidth="1"/>
    <col min="2" max="2" width="11.85546875" style="249" bestFit="1" customWidth="1"/>
    <col min="3" max="3" width="17" style="327" customWidth="1"/>
    <col min="4" max="4" width="17.140625" style="327" customWidth="1"/>
    <col min="5" max="5" width="19.140625" style="327" customWidth="1"/>
    <col min="6" max="6" width="12.85546875" style="327" bestFit="1" customWidth="1"/>
    <col min="7" max="7" width="12.5703125" style="327" bestFit="1" customWidth="1"/>
    <col min="8" max="8" width="13.7109375" style="327" bestFit="1" customWidth="1"/>
    <col min="9" max="16384" width="9.140625" style="327"/>
  </cols>
  <sheetData>
    <row r="1" spans="1:7" x14ac:dyDescent="0.2">
      <c r="A1" s="206" t="s">
        <v>96</v>
      </c>
      <c r="B1" s="219"/>
    </row>
    <row r="2" spans="1:7" x14ac:dyDescent="0.2">
      <c r="A2" s="327" t="s">
        <v>131</v>
      </c>
    </row>
    <row r="5" spans="1:7" ht="57" customHeight="1" x14ac:dyDescent="0.2">
      <c r="A5" s="328" t="s">
        <v>14</v>
      </c>
      <c r="B5" s="220" t="s">
        <v>82</v>
      </c>
      <c r="C5" s="329" t="s">
        <v>8</v>
      </c>
      <c r="D5" s="329" t="s">
        <v>18</v>
      </c>
      <c r="E5" s="329" t="s">
        <v>34</v>
      </c>
      <c r="F5" s="329" t="s">
        <v>13</v>
      </c>
      <c r="G5" s="329" t="s">
        <v>19</v>
      </c>
    </row>
    <row r="7" spans="1:7" x14ac:dyDescent="0.2">
      <c r="A7" s="327" t="str">
        <f>'Res-1'!A2</f>
        <v>Residential</v>
      </c>
      <c r="B7" s="249">
        <f>'Res-1'!A3</f>
        <v>1</v>
      </c>
      <c r="C7" s="330">
        <f>'Res-1'!D17</f>
        <v>333689905</v>
      </c>
      <c r="D7" s="331">
        <f>'Res-1'!G27</f>
        <v>47540629.230000004</v>
      </c>
      <c r="E7" s="332">
        <f>'Res-1'!G25</f>
        <v>47600540.06599167</v>
      </c>
      <c r="F7" s="332">
        <f t="shared" ref="F7:F13" si="0">E7-D7</f>
        <v>59910.835991665721</v>
      </c>
      <c r="G7" s="333">
        <f t="shared" ref="G7:G13" si="1">F7/D7</f>
        <v>1.2602028404340015E-3</v>
      </c>
    </row>
    <row r="8" spans="1:7" x14ac:dyDescent="0.2">
      <c r="A8" s="327" t="str">
        <f>'SmCom-2'!A2</f>
        <v>Small Comm</v>
      </c>
      <c r="B8" s="249">
        <f>'SmCom-2'!A3</f>
        <v>2</v>
      </c>
      <c r="C8" s="330">
        <f>'SmCom-2'!D17</f>
        <v>25940828</v>
      </c>
      <c r="D8" s="334">
        <f>'SmCom-2'!G27</f>
        <v>3850728.04</v>
      </c>
      <c r="E8" s="335">
        <f>'SmCom-2'!G25</f>
        <v>3865789.6654320001</v>
      </c>
      <c r="F8" s="335">
        <f t="shared" si="0"/>
        <v>15061.62543200003</v>
      </c>
      <c r="G8" s="333">
        <f t="shared" si="1"/>
        <v>3.9113708565095212E-3</v>
      </c>
    </row>
    <row r="9" spans="1:7" x14ac:dyDescent="0.2">
      <c r="A9" s="327" t="str">
        <f>'3Ph-3'!A2</f>
        <v>3 Phase</v>
      </c>
      <c r="B9" s="249">
        <f>'3Ph-3'!A3</f>
        <v>3</v>
      </c>
      <c r="C9" s="330">
        <f>'3Ph-3'!D19</f>
        <v>65478568</v>
      </c>
      <c r="D9" s="334">
        <f>'3Ph-3'!G33</f>
        <v>8865790.540000001</v>
      </c>
      <c r="E9" s="335">
        <f>'3Ph-3'!G31</f>
        <v>8968605.6099920012</v>
      </c>
      <c r="F9" s="335">
        <f>E9-D9</f>
        <v>102815.06999200024</v>
      </c>
      <c r="G9" s="333">
        <f>F9/D9</f>
        <v>1.1596830483206998E-2</v>
      </c>
    </row>
    <row r="10" spans="1:7" x14ac:dyDescent="0.2">
      <c r="A10" s="327" t="str">
        <f>'3PhTOD-3A'!A2</f>
        <v>3 Ph 0-999 KVA TOD</v>
      </c>
      <c r="B10" s="249" t="str">
        <f>'3PhTOD-3A'!A3</f>
        <v>3A</v>
      </c>
      <c r="C10" s="330">
        <f>'3PhTOD-3A'!D16</f>
        <v>881159</v>
      </c>
      <c r="D10" s="336">
        <f>'3PhTOD-3A'!G30</f>
        <v>117069.19</v>
      </c>
      <c r="E10" s="337">
        <f>'3PhTOD-3A'!G28</f>
        <v>118695.00524600002</v>
      </c>
      <c r="F10" s="337">
        <f t="shared" si="0"/>
        <v>1625.8152460000128</v>
      </c>
      <c r="G10" s="338">
        <f t="shared" si="1"/>
        <v>1.3887644101748827E-2</v>
      </c>
    </row>
    <row r="11" spans="1:7" x14ac:dyDescent="0.2">
      <c r="A11" s="327" t="str">
        <f>'LgTOD-4'!A2</f>
        <v>Large 1000 KVA TOD</v>
      </c>
      <c r="B11" s="249">
        <f>'LgTOD-4'!A3</f>
        <v>4</v>
      </c>
      <c r="C11" s="330">
        <f>'LgTOD-4'!D20</f>
        <v>6968834</v>
      </c>
      <c r="D11" s="336">
        <f>'LgTOD-4'!G34</f>
        <v>1061262.01</v>
      </c>
      <c r="E11" s="337">
        <f>'LgTOD-4'!G32</f>
        <v>1066097.8652019999</v>
      </c>
      <c r="F11" s="337">
        <f t="shared" si="0"/>
        <v>4835.8552019998897</v>
      </c>
      <c r="G11" s="338">
        <f t="shared" si="1"/>
        <v>4.5567024508866476E-3</v>
      </c>
    </row>
    <row r="12" spans="1:7" x14ac:dyDescent="0.2">
      <c r="A12" s="327" t="str">
        <f>'YL-5'!A2</f>
        <v>Private Outdoor Lighting</v>
      </c>
      <c r="B12" s="249">
        <f>'YL-5'!A3</f>
        <v>5</v>
      </c>
      <c r="C12" s="330">
        <f>'YL-5'!D19</f>
        <v>10129708</v>
      </c>
      <c r="D12" s="336">
        <f>'YL-5'!H24</f>
        <v>1490765.52</v>
      </c>
      <c r="E12" s="337">
        <f>'YL-5'!H22</f>
        <v>1467468.2899999998</v>
      </c>
      <c r="F12" s="337">
        <f t="shared" si="0"/>
        <v>-23297.230000000214</v>
      </c>
      <c r="G12" s="338">
        <f t="shared" si="1"/>
        <v>-1.5627695762644292E-2</v>
      </c>
    </row>
    <row r="13" spans="1:7" x14ac:dyDescent="0.2">
      <c r="A13" s="327" t="str">
        <f>'SL-6'!A2</f>
        <v>Street &amp; Hwy Lights</v>
      </c>
      <c r="B13" s="249">
        <f>'SL-6'!A3</f>
        <v>6</v>
      </c>
      <c r="C13" s="330">
        <f>'SL-6'!D16</f>
        <v>1051078</v>
      </c>
      <c r="D13" s="334">
        <f>'SL-6'!H27</f>
        <v>145129.32</v>
      </c>
      <c r="E13" s="335">
        <f>'SL-6'!H25</f>
        <v>146712.70000000001</v>
      </c>
      <c r="F13" s="335">
        <f t="shared" si="0"/>
        <v>1583.3800000000047</v>
      </c>
      <c r="G13" s="338">
        <f t="shared" si="1"/>
        <v>1.0910131736302524E-2</v>
      </c>
    </row>
    <row r="14" spans="1:7" x14ac:dyDescent="0.2">
      <c r="A14" s="339" t="s">
        <v>220</v>
      </c>
      <c r="B14" s="340" t="s">
        <v>232</v>
      </c>
      <c r="C14" s="341">
        <v>527878556</v>
      </c>
      <c r="D14" s="342">
        <f>'Present and Proposed Rates'!I41</f>
        <v>21733240.850000001</v>
      </c>
      <c r="E14" s="343">
        <f>D14</f>
        <v>21733240.850000001</v>
      </c>
      <c r="F14" s="335"/>
      <c r="G14" s="338"/>
    </row>
    <row r="15" spans="1:7" ht="13.5" thickBot="1" x14ac:dyDescent="0.25">
      <c r="C15" s="344">
        <f>SUM(C7:C13)</f>
        <v>444140080</v>
      </c>
      <c r="D15" s="345">
        <f>SUM(D7:D14)</f>
        <v>84804614.700000003</v>
      </c>
      <c r="E15" s="345">
        <f>SUM(E7:E14)</f>
        <v>84967150.05186367</v>
      </c>
      <c r="F15" s="346">
        <f>SUM(F7:F13)</f>
        <v>162535.35186366568</v>
      </c>
      <c r="G15" s="347">
        <f>F15/D15</f>
        <v>1.916586172092657E-3</v>
      </c>
    </row>
    <row r="16" spans="1:7" ht="13.5" thickTop="1" x14ac:dyDescent="0.2">
      <c r="E16" s="348"/>
    </row>
    <row r="17" spans="1:7" ht="15.75" customHeight="1" x14ac:dyDescent="0.2">
      <c r="C17" s="335"/>
      <c r="D17" s="349"/>
      <c r="E17" s="350"/>
    </row>
    <row r="18" spans="1:7" ht="15.75" customHeight="1" x14ac:dyDescent="0.2">
      <c r="C18" s="335"/>
      <c r="D18" s="349"/>
      <c r="E18" s="350"/>
      <c r="G18" s="351"/>
    </row>
    <row r="19" spans="1:7" ht="15.75" customHeight="1" x14ac:dyDescent="0.2">
      <c r="C19" s="335"/>
      <c r="D19" s="349"/>
      <c r="E19" s="350"/>
      <c r="F19" s="351"/>
    </row>
    <row r="20" spans="1:7" ht="15.75" customHeight="1" x14ac:dyDescent="0.2">
      <c r="C20" s="352"/>
      <c r="D20" s="352"/>
      <c r="F20" s="353"/>
      <c r="G20" s="352"/>
    </row>
    <row r="21" spans="1:7" ht="15.75" customHeight="1" x14ac:dyDescent="0.2">
      <c r="F21" s="351"/>
    </row>
    <row r="22" spans="1:7" x14ac:dyDescent="0.2">
      <c r="A22" s="354"/>
      <c r="C22" s="335"/>
      <c r="D22" s="335"/>
      <c r="E22" s="350"/>
    </row>
    <row r="23" spans="1:7" x14ac:dyDescent="0.2">
      <c r="A23" s="206"/>
      <c r="B23" s="219"/>
      <c r="C23" s="355"/>
      <c r="D23" s="355"/>
      <c r="E23" s="355"/>
      <c r="F23" s="355"/>
      <c r="G23" s="355"/>
    </row>
    <row r="24" spans="1:7" x14ac:dyDescent="0.2">
      <c r="C24" s="356"/>
      <c r="D24" s="356"/>
      <c r="E24" s="356"/>
      <c r="F24" s="356"/>
      <c r="G24" s="356"/>
    </row>
    <row r="25" spans="1:7" x14ac:dyDescent="0.2">
      <c r="A25" s="354"/>
      <c r="C25" s="330"/>
      <c r="D25" s="357"/>
      <c r="E25" s="358"/>
      <c r="F25" s="359"/>
      <c r="G25" s="359"/>
    </row>
    <row r="26" spans="1:7" x14ac:dyDescent="0.2">
      <c r="A26" s="354"/>
      <c r="C26" s="330"/>
      <c r="D26" s="360"/>
      <c r="E26" s="337"/>
      <c r="F26" s="361"/>
      <c r="G26" s="338"/>
    </row>
    <row r="27" spans="1:7" x14ac:dyDescent="0.2">
      <c r="A27" s="354"/>
      <c r="C27" s="330"/>
      <c r="D27" s="357"/>
      <c r="E27" s="358"/>
      <c r="F27" s="337"/>
      <c r="G27" s="337"/>
    </row>
    <row r="28" spans="1:7" x14ac:dyDescent="0.2">
      <c r="A28" s="354"/>
      <c r="C28" s="330"/>
      <c r="D28" s="360"/>
      <c r="E28" s="337"/>
      <c r="F28" s="337"/>
      <c r="G28" s="337"/>
    </row>
    <row r="29" spans="1:7" x14ac:dyDescent="0.2">
      <c r="A29" s="354"/>
      <c r="C29" s="330"/>
      <c r="D29" s="357"/>
      <c r="E29" s="358"/>
      <c r="F29" s="337"/>
      <c r="G29" s="337"/>
    </row>
    <row r="30" spans="1:7" x14ac:dyDescent="0.2">
      <c r="A30" s="354"/>
      <c r="C30" s="330"/>
      <c r="D30" s="360"/>
      <c r="E30" s="337"/>
      <c r="F30" s="337"/>
      <c r="G30" s="337"/>
    </row>
    <row r="31" spans="1:7" x14ac:dyDescent="0.2">
      <c r="A31" s="354"/>
      <c r="C31" s="357"/>
      <c r="D31" s="357"/>
      <c r="E31" s="358"/>
      <c r="F31" s="337"/>
      <c r="G31" s="337"/>
    </row>
    <row r="32" spans="1:7" x14ac:dyDescent="0.2">
      <c r="A32" s="354"/>
      <c r="C32" s="362"/>
      <c r="D32" s="363"/>
      <c r="E32" s="364"/>
      <c r="F32" s="365"/>
      <c r="G32" s="365"/>
    </row>
    <row r="33" spans="1:7" x14ac:dyDescent="0.2">
      <c r="A33" s="354"/>
      <c r="C33" s="362"/>
      <c r="D33" s="357"/>
      <c r="E33" s="358"/>
      <c r="F33" s="349"/>
      <c r="G33" s="349"/>
    </row>
    <row r="34" spans="1:7" x14ac:dyDescent="0.2">
      <c r="C34" s="362"/>
      <c r="E34" s="366"/>
      <c r="F34" s="367"/>
    </row>
    <row r="35" spans="1:7" x14ac:dyDescent="0.2">
      <c r="C35" s="362"/>
      <c r="F35" s="362"/>
      <c r="G35" s="362"/>
    </row>
    <row r="37" spans="1:7" x14ac:dyDescent="0.2">
      <c r="G37" s="352"/>
    </row>
    <row r="39" spans="1:7" x14ac:dyDescent="0.2">
      <c r="A39" s="354"/>
      <c r="C39" s="368"/>
    </row>
    <row r="40" spans="1:7" x14ac:dyDescent="0.2">
      <c r="A40" s="354"/>
    </row>
  </sheetData>
  <phoneticPr fontId="0" type="noConversion"/>
  <pageMargins left="0.75" right="0.35" top="1" bottom="1" header="0.5" footer="0.5"/>
  <pageSetup orientation="landscape" r:id="rId1"/>
  <headerFooter alignWithMargins="0"/>
  <ignoredErrors>
    <ignoredError sqref="G15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N40"/>
  <sheetViews>
    <sheetView view="pageBreakPreview" topLeftCell="A13" zoomScaleNormal="100" zoomScaleSheetLayoutView="100" workbookViewId="0">
      <selection activeCell="K22" sqref="K22"/>
    </sheetView>
  </sheetViews>
  <sheetFormatPr defaultRowHeight="12.75" x14ac:dyDescent="0.2"/>
  <cols>
    <col min="1" max="1" width="3.42578125" style="166" customWidth="1"/>
    <col min="2" max="2" width="5.28515625" style="165" customWidth="1"/>
    <col min="3" max="4" width="9.140625" style="166"/>
    <col min="5" max="5" width="10.28515625" style="166" bestFit="1" customWidth="1"/>
    <col min="6" max="6" width="10.28515625" style="166" customWidth="1"/>
    <col min="7" max="7" width="9.140625" style="166"/>
    <col min="8" max="8" width="10.5703125" style="166" customWidth="1"/>
    <col min="9" max="9" width="10.28515625" style="166" bestFit="1" customWidth="1"/>
    <col min="10" max="10" width="10.28515625" style="166" customWidth="1"/>
    <col min="11" max="11" width="9.140625" style="166"/>
    <col min="12" max="12" width="8.28515625" style="166" bestFit="1" customWidth="1"/>
    <col min="13" max="13" width="7.7109375" style="166" customWidth="1"/>
    <col min="14" max="14" width="9.140625" style="166"/>
  </cols>
  <sheetData>
    <row r="1" spans="1:14" ht="18.75" x14ac:dyDescent="0.3">
      <c r="A1" s="164" t="str">
        <f>'Present and Proposed Rates'!A1</f>
        <v>MEADE COUNTY RECC</v>
      </c>
    </row>
    <row r="2" spans="1:14" ht="18.75" x14ac:dyDescent="0.3">
      <c r="A2" s="92" t="s">
        <v>140</v>
      </c>
      <c r="I2" s="167"/>
      <c r="J2" s="167"/>
    </row>
    <row r="3" spans="1:14" ht="18.75" x14ac:dyDescent="0.3">
      <c r="A3" s="164" t="s">
        <v>141</v>
      </c>
    </row>
    <row r="4" spans="1:14" ht="24" customHeight="1" thickBot="1" x14ac:dyDescent="0.25"/>
    <row r="5" spans="1:14" ht="13.5" thickTop="1" x14ac:dyDescent="0.2">
      <c r="B5" s="168"/>
      <c r="C5" s="169" t="s">
        <v>133</v>
      </c>
      <c r="D5" s="395" t="s">
        <v>142</v>
      </c>
      <c r="E5" s="395"/>
      <c r="F5" s="395"/>
      <c r="G5" s="396"/>
      <c r="H5" s="397" t="s">
        <v>143</v>
      </c>
      <c r="I5" s="395"/>
      <c r="J5" s="395"/>
      <c r="K5" s="396"/>
      <c r="L5" s="397" t="s">
        <v>59</v>
      </c>
      <c r="M5" s="398"/>
    </row>
    <row r="6" spans="1:14" x14ac:dyDescent="0.2">
      <c r="B6" s="170" t="s">
        <v>144</v>
      </c>
      <c r="C6" s="171" t="s">
        <v>8</v>
      </c>
      <c r="D6" s="172" t="s">
        <v>139</v>
      </c>
      <c r="E6" s="172" t="s">
        <v>145</v>
      </c>
      <c r="F6" s="172" t="s">
        <v>229</v>
      </c>
      <c r="G6" s="172" t="s">
        <v>85</v>
      </c>
      <c r="H6" s="172" t="s">
        <v>137</v>
      </c>
      <c r="I6" s="172" t="s">
        <v>138</v>
      </c>
      <c r="J6" s="172" t="s">
        <v>229</v>
      </c>
      <c r="K6" s="172" t="s">
        <v>85</v>
      </c>
      <c r="L6" s="172" t="s">
        <v>64</v>
      </c>
      <c r="M6" s="173" t="s">
        <v>65</v>
      </c>
    </row>
    <row r="7" spans="1:14" ht="13.5" thickBot="1" x14ac:dyDescent="0.25">
      <c r="A7" s="174"/>
      <c r="B7" s="175"/>
      <c r="C7" s="176"/>
      <c r="D7" s="177">
        <f>'Present and Proposed Rates'!E10*360/12</f>
        <v>20.580000000000002</v>
      </c>
      <c r="E7" s="178">
        <f>'Present and Proposed Rates'!E11</f>
        <v>9.7665000000000002E-2</v>
      </c>
      <c r="F7" s="178">
        <f>SUM('Res-1'!E20:E23)</f>
        <v>3.4184821713440811E-2</v>
      </c>
      <c r="G7" s="179"/>
      <c r="H7" s="177">
        <f>'Present and Proposed Rates'!F10*360/12</f>
        <v>25.5</v>
      </c>
      <c r="I7" s="178">
        <f>'Present and Proposed Rates'!E11</f>
        <v>9.7665000000000002E-2</v>
      </c>
      <c r="J7" s="178">
        <f>F7</f>
        <v>3.4184821713440811E-2</v>
      </c>
      <c r="K7" s="176"/>
      <c r="L7" s="176"/>
      <c r="M7" s="180"/>
      <c r="N7" s="174"/>
    </row>
    <row r="8" spans="1:14" ht="13.5" thickTop="1" x14ac:dyDescent="0.2">
      <c r="B8" s="181">
        <v>1</v>
      </c>
      <c r="C8" s="182">
        <v>0</v>
      </c>
      <c r="D8" s="183">
        <f>D$7</f>
        <v>20.580000000000002</v>
      </c>
      <c r="E8" s="184">
        <f>$E$7*C8</f>
        <v>0</v>
      </c>
      <c r="F8" s="184">
        <f>$E$7*D8</f>
        <v>2.0099457000000003</v>
      </c>
      <c r="G8" s="185">
        <f>E8+D8+F8</f>
        <v>22.589945700000001</v>
      </c>
      <c r="H8" s="186">
        <f>$H$7</f>
        <v>25.5</v>
      </c>
      <c r="I8" s="184">
        <f>$I$7*C8</f>
        <v>0</v>
      </c>
      <c r="J8" s="184">
        <f>$I$7*D8</f>
        <v>2.0099457000000003</v>
      </c>
      <c r="K8" s="187">
        <f>H8+I8+J8</f>
        <v>27.509945699999999</v>
      </c>
      <c r="L8" s="186">
        <f t="shared" ref="L8:L39" si="0">K8-G8</f>
        <v>4.9199999999999982</v>
      </c>
      <c r="M8" s="188">
        <f t="shared" ref="M8:M39" si="1">L8/G8</f>
        <v>0.21779600824804099</v>
      </c>
    </row>
    <row r="9" spans="1:14" x14ac:dyDescent="0.2">
      <c r="B9" s="181">
        <v>2</v>
      </c>
      <c r="C9" s="182">
        <f t="shared" ref="C9:C38" si="2">C8+100</f>
        <v>100</v>
      </c>
      <c r="D9" s="183">
        <f t="shared" ref="D9:D39" si="3">D$7</f>
        <v>20.580000000000002</v>
      </c>
      <c r="E9" s="184">
        <f t="shared" ref="E9:F39" si="4">$E$7*C9</f>
        <v>9.7665000000000006</v>
      </c>
      <c r="F9" s="184">
        <f t="shared" si="4"/>
        <v>2.0099457000000003</v>
      </c>
      <c r="G9" s="185">
        <f t="shared" ref="G9:G39" si="5">E9+D9+F9</f>
        <v>32.356445700000002</v>
      </c>
      <c r="H9" s="186">
        <f t="shared" ref="H9:H39" si="6">$H$7</f>
        <v>25.5</v>
      </c>
      <c r="I9" s="184">
        <f t="shared" ref="I9:J39" si="7">$I$7*C9</f>
        <v>9.7665000000000006</v>
      </c>
      <c r="J9" s="184">
        <f t="shared" si="7"/>
        <v>2.0099457000000003</v>
      </c>
      <c r="K9" s="187">
        <f t="shared" ref="K9:K39" si="8">H9+I9+J9</f>
        <v>37.276445700000004</v>
      </c>
      <c r="L9" s="186">
        <f t="shared" si="0"/>
        <v>4.9200000000000017</v>
      </c>
      <c r="M9" s="188">
        <f t="shared" si="1"/>
        <v>0.15205625629022662</v>
      </c>
    </row>
    <row r="10" spans="1:14" x14ac:dyDescent="0.2">
      <c r="B10" s="181">
        <v>2</v>
      </c>
      <c r="C10" s="182">
        <f t="shared" si="2"/>
        <v>200</v>
      </c>
      <c r="D10" s="183">
        <f t="shared" si="3"/>
        <v>20.580000000000002</v>
      </c>
      <c r="E10" s="184">
        <f t="shared" si="4"/>
        <v>19.533000000000001</v>
      </c>
      <c r="F10" s="184">
        <f t="shared" si="4"/>
        <v>2.0099457000000003</v>
      </c>
      <c r="G10" s="185">
        <f t="shared" si="5"/>
        <v>42.122945700000002</v>
      </c>
      <c r="H10" s="186">
        <f t="shared" si="6"/>
        <v>25.5</v>
      </c>
      <c r="I10" s="184">
        <f t="shared" si="7"/>
        <v>19.533000000000001</v>
      </c>
      <c r="J10" s="184">
        <f t="shared" si="7"/>
        <v>2.0099457000000003</v>
      </c>
      <c r="K10" s="187">
        <f t="shared" si="8"/>
        <v>47.042945700000004</v>
      </c>
      <c r="L10" s="186">
        <f t="shared" si="0"/>
        <v>4.9200000000000017</v>
      </c>
      <c r="M10" s="188">
        <f t="shared" si="1"/>
        <v>0.11680094822998102</v>
      </c>
    </row>
    <row r="11" spans="1:14" x14ac:dyDescent="0.2">
      <c r="B11" s="181">
        <v>3</v>
      </c>
      <c r="C11" s="182">
        <f t="shared" si="2"/>
        <v>300</v>
      </c>
      <c r="D11" s="183">
        <f t="shared" si="3"/>
        <v>20.580000000000002</v>
      </c>
      <c r="E11" s="184">
        <f t="shared" si="4"/>
        <v>29.299500000000002</v>
      </c>
      <c r="F11" s="184">
        <f t="shared" si="4"/>
        <v>2.0099457000000003</v>
      </c>
      <c r="G11" s="185">
        <f t="shared" si="5"/>
        <v>51.88944570000001</v>
      </c>
      <c r="H11" s="186">
        <f t="shared" si="6"/>
        <v>25.5</v>
      </c>
      <c r="I11" s="184">
        <f t="shared" si="7"/>
        <v>29.299500000000002</v>
      </c>
      <c r="J11" s="184">
        <f t="shared" si="7"/>
        <v>2.0099457000000003</v>
      </c>
      <c r="K11" s="187">
        <f t="shared" si="8"/>
        <v>56.809445700000005</v>
      </c>
      <c r="L11" s="186">
        <f t="shared" si="0"/>
        <v>4.9199999999999946</v>
      </c>
      <c r="M11" s="188">
        <f t="shared" si="1"/>
        <v>9.4816969686766062E-2</v>
      </c>
    </row>
    <row r="12" spans="1:14" x14ac:dyDescent="0.2">
      <c r="B12" s="181">
        <v>4</v>
      </c>
      <c r="C12" s="182">
        <f t="shared" si="2"/>
        <v>400</v>
      </c>
      <c r="D12" s="183">
        <f t="shared" si="3"/>
        <v>20.580000000000002</v>
      </c>
      <c r="E12" s="184">
        <f t="shared" si="4"/>
        <v>39.066000000000003</v>
      </c>
      <c r="F12" s="184">
        <f t="shared" si="4"/>
        <v>2.0099457000000003</v>
      </c>
      <c r="G12" s="185">
        <f t="shared" si="5"/>
        <v>61.655945700000004</v>
      </c>
      <c r="H12" s="186">
        <f t="shared" si="6"/>
        <v>25.5</v>
      </c>
      <c r="I12" s="184">
        <f t="shared" si="7"/>
        <v>39.066000000000003</v>
      </c>
      <c r="J12" s="184">
        <f t="shared" si="7"/>
        <v>2.0099457000000003</v>
      </c>
      <c r="K12" s="187">
        <f t="shared" si="8"/>
        <v>66.575945700000005</v>
      </c>
      <c r="L12" s="186">
        <f t="shared" si="0"/>
        <v>4.9200000000000017</v>
      </c>
      <c r="M12" s="188">
        <f t="shared" si="1"/>
        <v>7.9797656886803722E-2</v>
      </c>
    </row>
    <row r="13" spans="1:14" x14ac:dyDescent="0.2">
      <c r="B13" s="181">
        <v>2</v>
      </c>
      <c r="C13" s="182">
        <f t="shared" si="2"/>
        <v>500</v>
      </c>
      <c r="D13" s="183">
        <f t="shared" si="3"/>
        <v>20.580000000000002</v>
      </c>
      <c r="E13" s="184">
        <f t="shared" si="4"/>
        <v>48.832500000000003</v>
      </c>
      <c r="F13" s="184">
        <f t="shared" si="4"/>
        <v>2.0099457000000003</v>
      </c>
      <c r="G13" s="185">
        <f t="shared" si="5"/>
        <v>71.422445700000011</v>
      </c>
      <c r="H13" s="186">
        <f t="shared" si="6"/>
        <v>25.5</v>
      </c>
      <c r="I13" s="184">
        <f t="shared" si="7"/>
        <v>48.832500000000003</v>
      </c>
      <c r="J13" s="184">
        <f t="shared" si="7"/>
        <v>2.0099457000000003</v>
      </c>
      <c r="K13" s="187">
        <f t="shared" si="8"/>
        <v>76.342445700000013</v>
      </c>
      <c r="L13" s="186">
        <f t="shared" si="0"/>
        <v>4.9200000000000017</v>
      </c>
      <c r="M13" s="188">
        <f t="shared" si="1"/>
        <v>6.8885907669218913E-2</v>
      </c>
    </row>
    <row r="14" spans="1:14" x14ac:dyDescent="0.2">
      <c r="B14" s="181">
        <v>3</v>
      </c>
      <c r="C14" s="182">
        <f t="shared" si="2"/>
        <v>600</v>
      </c>
      <c r="D14" s="183">
        <f t="shared" si="3"/>
        <v>20.580000000000002</v>
      </c>
      <c r="E14" s="184">
        <f t="shared" si="4"/>
        <v>58.599000000000004</v>
      </c>
      <c r="F14" s="184">
        <f t="shared" si="4"/>
        <v>2.0099457000000003</v>
      </c>
      <c r="G14" s="185">
        <f t="shared" si="5"/>
        <v>81.188945700000005</v>
      </c>
      <c r="H14" s="186">
        <f t="shared" si="6"/>
        <v>25.5</v>
      </c>
      <c r="I14" s="184">
        <f t="shared" si="7"/>
        <v>58.599000000000004</v>
      </c>
      <c r="J14" s="184">
        <f t="shared" si="7"/>
        <v>2.0099457000000003</v>
      </c>
      <c r="K14" s="187">
        <f t="shared" si="8"/>
        <v>86.108945700000007</v>
      </c>
      <c r="L14" s="186">
        <f t="shared" si="0"/>
        <v>4.9200000000000017</v>
      </c>
      <c r="M14" s="188">
        <f t="shared" si="1"/>
        <v>6.0599382804893367E-2</v>
      </c>
    </row>
    <row r="15" spans="1:14" x14ac:dyDescent="0.2">
      <c r="B15" s="181">
        <v>4</v>
      </c>
      <c r="C15" s="182">
        <f t="shared" si="2"/>
        <v>700</v>
      </c>
      <c r="D15" s="183">
        <f t="shared" si="3"/>
        <v>20.580000000000002</v>
      </c>
      <c r="E15" s="184">
        <f t="shared" si="4"/>
        <v>68.365499999999997</v>
      </c>
      <c r="F15" s="184">
        <f t="shared" si="4"/>
        <v>2.0099457000000003</v>
      </c>
      <c r="G15" s="185">
        <f t="shared" si="5"/>
        <v>90.955445699999999</v>
      </c>
      <c r="H15" s="186">
        <f t="shared" si="6"/>
        <v>25.5</v>
      </c>
      <c r="I15" s="184">
        <f t="shared" si="7"/>
        <v>68.365499999999997</v>
      </c>
      <c r="J15" s="184">
        <f t="shared" si="7"/>
        <v>2.0099457000000003</v>
      </c>
      <c r="K15" s="187">
        <f t="shared" si="8"/>
        <v>95.8754457</v>
      </c>
      <c r="L15" s="186">
        <f t="shared" si="0"/>
        <v>4.9200000000000017</v>
      </c>
      <c r="M15" s="188">
        <f t="shared" si="1"/>
        <v>5.4092418129946029E-2</v>
      </c>
    </row>
    <row r="16" spans="1:14" x14ac:dyDescent="0.2">
      <c r="B16" s="181">
        <v>5</v>
      </c>
      <c r="C16" s="182">
        <f t="shared" si="2"/>
        <v>800</v>
      </c>
      <c r="D16" s="183">
        <f t="shared" si="3"/>
        <v>20.580000000000002</v>
      </c>
      <c r="E16" s="184">
        <f t="shared" si="4"/>
        <v>78.132000000000005</v>
      </c>
      <c r="F16" s="184">
        <f t="shared" si="4"/>
        <v>2.0099457000000003</v>
      </c>
      <c r="G16" s="185">
        <f t="shared" si="5"/>
        <v>100.72194570000001</v>
      </c>
      <c r="H16" s="186">
        <f t="shared" si="6"/>
        <v>25.5</v>
      </c>
      <c r="I16" s="184">
        <f t="shared" si="7"/>
        <v>78.132000000000005</v>
      </c>
      <c r="J16" s="184">
        <f t="shared" si="7"/>
        <v>2.0099457000000003</v>
      </c>
      <c r="K16" s="187">
        <f t="shared" si="8"/>
        <v>105.64194570000001</v>
      </c>
      <c r="L16" s="186">
        <f t="shared" si="0"/>
        <v>4.9200000000000017</v>
      </c>
      <c r="M16" s="188">
        <f t="shared" si="1"/>
        <v>4.8847348666736505E-2</v>
      </c>
    </row>
    <row r="17" spans="2:13" x14ac:dyDescent="0.2">
      <c r="B17" s="181">
        <v>6</v>
      </c>
      <c r="C17" s="182">
        <f t="shared" si="2"/>
        <v>900</v>
      </c>
      <c r="D17" s="183">
        <f t="shared" si="3"/>
        <v>20.580000000000002</v>
      </c>
      <c r="E17" s="184">
        <f t="shared" si="4"/>
        <v>87.898499999999999</v>
      </c>
      <c r="F17" s="184">
        <f t="shared" si="4"/>
        <v>2.0099457000000003</v>
      </c>
      <c r="G17" s="185">
        <f t="shared" si="5"/>
        <v>110.4884457</v>
      </c>
      <c r="H17" s="186">
        <f t="shared" si="6"/>
        <v>25.5</v>
      </c>
      <c r="I17" s="184">
        <f t="shared" si="7"/>
        <v>87.898499999999999</v>
      </c>
      <c r="J17" s="184">
        <f t="shared" si="7"/>
        <v>2.0099457000000003</v>
      </c>
      <c r="K17" s="187">
        <f t="shared" si="8"/>
        <v>115.4084457</v>
      </c>
      <c r="L17" s="186">
        <f t="shared" si="0"/>
        <v>4.9200000000000017</v>
      </c>
      <c r="M17" s="188">
        <f t="shared" si="1"/>
        <v>4.4529543056102579E-2</v>
      </c>
    </row>
    <row r="18" spans="2:13" x14ac:dyDescent="0.2">
      <c r="B18" s="181">
        <v>7</v>
      </c>
      <c r="C18" s="182">
        <f t="shared" si="2"/>
        <v>1000</v>
      </c>
      <c r="D18" s="183">
        <f t="shared" si="3"/>
        <v>20.580000000000002</v>
      </c>
      <c r="E18" s="184">
        <f t="shared" si="4"/>
        <v>97.665000000000006</v>
      </c>
      <c r="F18" s="184">
        <f t="shared" si="4"/>
        <v>2.0099457000000003</v>
      </c>
      <c r="G18" s="185">
        <f t="shared" si="5"/>
        <v>120.25494570000001</v>
      </c>
      <c r="H18" s="186">
        <f t="shared" si="6"/>
        <v>25.5</v>
      </c>
      <c r="I18" s="184">
        <f t="shared" si="7"/>
        <v>97.665000000000006</v>
      </c>
      <c r="J18" s="184">
        <f t="shared" si="7"/>
        <v>2.0099457000000003</v>
      </c>
      <c r="K18" s="187">
        <f t="shared" si="8"/>
        <v>125.17494570000001</v>
      </c>
      <c r="L18" s="186">
        <f t="shared" si="0"/>
        <v>4.9200000000000017</v>
      </c>
      <c r="M18" s="188">
        <f t="shared" si="1"/>
        <v>4.0913078221946272E-2</v>
      </c>
    </row>
    <row r="19" spans="2:13" x14ac:dyDescent="0.2">
      <c r="B19" s="181">
        <v>8</v>
      </c>
      <c r="C19" s="182">
        <f t="shared" si="2"/>
        <v>1100</v>
      </c>
      <c r="D19" s="183">
        <f t="shared" si="3"/>
        <v>20.580000000000002</v>
      </c>
      <c r="E19" s="184">
        <f t="shared" si="4"/>
        <v>107.4315</v>
      </c>
      <c r="F19" s="184">
        <f t="shared" si="4"/>
        <v>2.0099457000000003</v>
      </c>
      <c r="G19" s="185">
        <f t="shared" si="5"/>
        <v>130.02144570000002</v>
      </c>
      <c r="H19" s="186">
        <f t="shared" si="6"/>
        <v>25.5</v>
      </c>
      <c r="I19" s="184">
        <f t="shared" si="7"/>
        <v>107.4315</v>
      </c>
      <c r="J19" s="184">
        <f t="shared" si="7"/>
        <v>2.0099457000000003</v>
      </c>
      <c r="K19" s="187">
        <f t="shared" si="8"/>
        <v>134.9414457</v>
      </c>
      <c r="L19" s="186">
        <f t="shared" si="0"/>
        <v>4.9199999999999875</v>
      </c>
      <c r="M19" s="188">
        <f t="shared" si="1"/>
        <v>3.7839911512382043E-2</v>
      </c>
    </row>
    <row r="20" spans="2:13" x14ac:dyDescent="0.2">
      <c r="B20" s="181">
        <v>9</v>
      </c>
      <c r="C20" s="182">
        <f t="shared" si="2"/>
        <v>1200</v>
      </c>
      <c r="D20" s="183">
        <f t="shared" si="3"/>
        <v>20.580000000000002</v>
      </c>
      <c r="E20" s="184">
        <f t="shared" si="4"/>
        <v>117.19800000000001</v>
      </c>
      <c r="F20" s="184">
        <f t="shared" si="4"/>
        <v>2.0099457000000003</v>
      </c>
      <c r="G20" s="185">
        <f t="shared" si="5"/>
        <v>139.78794570000002</v>
      </c>
      <c r="H20" s="186">
        <f t="shared" si="6"/>
        <v>25.5</v>
      </c>
      <c r="I20" s="184">
        <f t="shared" si="7"/>
        <v>117.19800000000001</v>
      </c>
      <c r="J20" s="184">
        <f t="shared" si="7"/>
        <v>2.0099457000000003</v>
      </c>
      <c r="K20" s="187">
        <f t="shared" si="8"/>
        <v>144.70794570000001</v>
      </c>
      <c r="L20" s="186">
        <f t="shared" si="0"/>
        <v>4.9199999999999875</v>
      </c>
      <c r="M20" s="188">
        <f t="shared" si="1"/>
        <v>3.519616784811215E-2</v>
      </c>
    </row>
    <row r="21" spans="2:13" x14ac:dyDescent="0.2">
      <c r="B21" s="181">
        <v>10</v>
      </c>
      <c r="C21" s="182">
        <f t="shared" si="2"/>
        <v>1300</v>
      </c>
      <c r="D21" s="183">
        <f t="shared" si="3"/>
        <v>20.580000000000002</v>
      </c>
      <c r="E21" s="184">
        <f t="shared" si="4"/>
        <v>126.9645</v>
      </c>
      <c r="F21" s="184">
        <f t="shared" si="4"/>
        <v>2.0099457000000003</v>
      </c>
      <c r="G21" s="185">
        <f t="shared" si="5"/>
        <v>149.5544457</v>
      </c>
      <c r="H21" s="186">
        <f t="shared" si="6"/>
        <v>25.5</v>
      </c>
      <c r="I21" s="184">
        <f t="shared" si="7"/>
        <v>126.9645</v>
      </c>
      <c r="J21" s="184">
        <f t="shared" si="7"/>
        <v>2.0099457000000003</v>
      </c>
      <c r="K21" s="187">
        <f t="shared" si="8"/>
        <v>154.47444569999999</v>
      </c>
      <c r="L21" s="186">
        <f t="shared" si="0"/>
        <v>4.9199999999999875</v>
      </c>
      <c r="M21" s="188">
        <f t="shared" si="1"/>
        <v>3.2897718131825404E-2</v>
      </c>
    </row>
    <row r="22" spans="2:13" x14ac:dyDescent="0.2">
      <c r="B22" s="181">
        <v>11</v>
      </c>
      <c r="C22" s="182">
        <f t="shared" si="2"/>
        <v>1400</v>
      </c>
      <c r="D22" s="183">
        <f t="shared" si="3"/>
        <v>20.580000000000002</v>
      </c>
      <c r="E22" s="184">
        <f t="shared" si="4"/>
        <v>136.73099999999999</v>
      </c>
      <c r="F22" s="184">
        <f t="shared" si="4"/>
        <v>2.0099457000000003</v>
      </c>
      <c r="G22" s="185">
        <f t="shared" si="5"/>
        <v>159.32094570000001</v>
      </c>
      <c r="H22" s="186">
        <f t="shared" si="6"/>
        <v>25.5</v>
      </c>
      <c r="I22" s="184">
        <f t="shared" si="7"/>
        <v>136.73099999999999</v>
      </c>
      <c r="J22" s="184">
        <f t="shared" si="7"/>
        <v>2.0099457000000003</v>
      </c>
      <c r="K22" s="187">
        <f t="shared" si="8"/>
        <v>164.2409457</v>
      </c>
      <c r="L22" s="186">
        <f t="shared" si="0"/>
        <v>4.9199999999999875</v>
      </c>
      <c r="M22" s="188">
        <f t="shared" si="1"/>
        <v>3.0881061987067953E-2</v>
      </c>
    </row>
    <row r="23" spans="2:13" x14ac:dyDescent="0.2">
      <c r="B23" s="181">
        <v>12</v>
      </c>
      <c r="C23" s="182">
        <f t="shared" si="2"/>
        <v>1500</v>
      </c>
      <c r="D23" s="183">
        <f t="shared" si="3"/>
        <v>20.580000000000002</v>
      </c>
      <c r="E23" s="184">
        <f t="shared" si="4"/>
        <v>146.4975</v>
      </c>
      <c r="F23" s="184">
        <f t="shared" si="4"/>
        <v>2.0099457000000003</v>
      </c>
      <c r="G23" s="185">
        <f t="shared" si="5"/>
        <v>169.08744570000002</v>
      </c>
      <c r="H23" s="186">
        <f t="shared" si="6"/>
        <v>25.5</v>
      </c>
      <c r="I23" s="184">
        <f t="shared" si="7"/>
        <v>146.4975</v>
      </c>
      <c r="J23" s="184">
        <f t="shared" si="7"/>
        <v>2.0099457000000003</v>
      </c>
      <c r="K23" s="187">
        <f t="shared" si="8"/>
        <v>174.00744570000001</v>
      </c>
      <c r="L23" s="186">
        <f t="shared" si="0"/>
        <v>4.9199999999999875</v>
      </c>
      <c r="M23" s="188">
        <f t="shared" si="1"/>
        <v>2.9097370178086421E-2</v>
      </c>
    </row>
    <row r="24" spans="2:13" x14ac:dyDescent="0.2">
      <c r="B24" s="181">
        <v>13</v>
      </c>
      <c r="C24" s="182">
        <f t="shared" si="2"/>
        <v>1600</v>
      </c>
      <c r="D24" s="183">
        <f t="shared" si="3"/>
        <v>20.580000000000002</v>
      </c>
      <c r="E24" s="184">
        <f t="shared" si="4"/>
        <v>156.26400000000001</v>
      </c>
      <c r="F24" s="184">
        <f t="shared" si="4"/>
        <v>2.0099457000000003</v>
      </c>
      <c r="G24" s="185">
        <f t="shared" si="5"/>
        <v>178.85394570000003</v>
      </c>
      <c r="H24" s="186">
        <f t="shared" si="6"/>
        <v>25.5</v>
      </c>
      <c r="I24" s="184">
        <f t="shared" si="7"/>
        <v>156.26400000000001</v>
      </c>
      <c r="J24" s="184">
        <f t="shared" si="7"/>
        <v>2.0099457000000003</v>
      </c>
      <c r="K24" s="187">
        <f t="shared" si="8"/>
        <v>183.77394570000001</v>
      </c>
      <c r="L24" s="186">
        <f t="shared" si="0"/>
        <v>4.9199999999999875</v>
      </c>
      <c r="M24" s="188">
        <f t="shared" si="1"/>
        <v>2.7508478947691376E-2</v>
      </c>
    </row>
    <row r="25" spans="2:13" x14ac:dyDescent="0.2">
      <c r="B25" s="181">
        <v>14</v>
      </c>
      <c r="C25" s="182">
        <f t="shared" si="2"/>
        <v>1700</v>
      </c>
      <c r="D25" s="183">
        <f t="shared" si="3"/>
        <v>20.580000000000002</v>
      </c>
      <c r="E25" s="184">
        <f t="shared" si="4"/>
        <v>166.03049999999999</v>
      </c>
      <c r="F25" s="184">
        <f t="shared" si="4"/>
        <v>2.0099457000000003</v>
      </c>
      <c r="G25" s="185">
        <f t="shared" si="5"/>
        <v>188.6204457</v>
      </c>
      <c r="H25" s="186">
        <f t="shared" si="6"/>
        <v>25.5</v>
      </c>
      <c r="I25" s="184">
        <f t="shared" si="7"/>
        <v>166.03049999999999</v>
      </c>
      <c r="J25" s="184">
        <f t="shared" si="7"/>
        <v>2.0099457000000003</v>
      </c>
      <c r="K25" s="187">
        <f t="shared" si="8"/>
        <v>193.54044569999999</v>
      </c>
      <c r="L25" s="186">
        <f t="shared" si="0"/>
        <v>4.9199999999999875</v>
      </c>
      <c r="M25" s="188">
        <f t="shared" si="1"/>
        <v>2.608412880025332E-2</v>
      </c>
    </row>
    <row r="26" spans="2:13" x14ac:dyDescent="0.2">
      <c r="B26" s="181">
        <v>15</v>
      </c>
      <c r="C26" s="182">
        <f t="shared" si="2"/>
        <v>1800</v>
      </c>
      <c r="D26" s="183">
        <f t="shared" si="3"/>
        <v>20.580000000000002</v>
      </c>
      <c r="E26" s="184">
        <f t="shared" si="4"/>
        <v>175.797</v>
      </c>
      <c r="F26" s="184">
        <f t="shared" si="4"/>
        <v>2.0099457000000003</v>
      </c>
      <c r="G26" s="185">
        <f t="shared" si="5"/>
        <v>198.38694570000001</v>
      </c>
      <c r="H26" s="186">
        <f t="shared" si="6"/>
        <v>25.5</v>
      </c>
      <c r="I26" s="184">
        <f t="shared" si="7"/>
        <v>175.797</v>
      </c>
      <c r="J26" s="184">
        <f t="shared" si="7"/>
        <v>2.0099457000000003</v>
      </c>
      <c r="K26" s="187">
        <f t="shared" si="8"/>
        <v>203.3069457</v>
      </c>
      <c r="L26" s="186">
        <f t="shared" si="0"/>
        <v>4.9199999999999875</v>
      </c>
      <c r="M26" s="188">
        <f t="shared" si="1"/>
        <v>2.4800018885516757E-2</v>
      </c>
    </row>
    <row r="27" spans="2:13" x14ac:dyDescent="0.2">
      <c r="B27" s="181">
        <v>16</v>
      </c>
      <c r="C27" s="182">
        <f t="shared" si="2"/>
        <v>1900</v>
      </c>
      <c r="D27" s="183">
        <f t="shared" si="3"/>
        <v>20.580000000000002</v>
      </c>
      <c r="E27" s="184">
        <f t="shared" si="4"/>
        <v>185.5635</v>
      </c>
      <c r="F27" s="184">
        <f t="shared" si="4"/>
        <v>2.0099457000000003</v>
      </c>
      <c r="G27" s="185">
        <f t="shared" si="5"/>
        <v>208.15344570000002</v>
      </c>
      <c r="H27" s="186">
        <f t="shared" si="6"/>
        <v>25.5</v>
      </c>
      <c r="I27" s="184">
        <f t="shared" si="7"/>
        <v>185.5635</v>
      </c>
      <c r="J27" s="184">
        <f t="shared" si="7"/>
        <v>2.0099457000000003</v>
      </c>
      <c r="K27" s="187">
        <f t="shared" si="8"/>
        <v>213.07344570000001</v>
      </c>
      <c r="L27" s="186">
        <f t="shared" si="0"/>
        <v>4.9199999999999875</v>
      </c>
      <c r="M27" s="188">
        <f t="shared" si="1"/>
        <v>2.363640910893644E-2</v>
      </c>
    </row>
    <row r="28" spans="2:13" x14ac:dyDescent="0.2">
      <c r="B28" s="181">
        <v>17</v>
      </c>
      <c r="C28" s="182">
        <f t="shared" si="2"/>
        <v>2000</v>
      </c>
      <c r="D28" s="183">
        <f t="shared" si="3"/>
        <v>20.580000000000002</v>
      </c>
      <c r="E28" s="184">
        <f t="shared" si="4"/>
        <v>195.33</v>
      </c>
      <c r="F28" s="184">
        <f t="shared" si="4"/>
        <v>2.0099457000000003</v>
      </c>
      <c r="G28" s="185">
        <f t="shared" si="5"/>
        <v>217.91994570000003</v>
      </c>
      <c r="H28" s="186">
        <f t="shared" si="6"/>
        <v>25.5</v>
      </c>
      <c r="I28" s="184">
        <f t="shared" si="7"/>
        <v>195.33</v>
      </c>
      <c r="J28" s="184">
        <f t="shared" si="7"/>
        <v>2.0099457000000003</v>
      </c>
      <c r="K28" s="187">
        <f t="shared" si="8"/>
        <v>222.83994570000002</v>
      </c>
      <c r="L28" s="186">
        <f t="shared" si="0"/>
        <v>4.9199999999999875</v>
      </c>
      <c r="M28" s="188">
        <f t="shared" si="1"/>
        <v>2.2577098136639207E-2</v>
      </c>
    </row>
    <row r="29" spans="2:13" x14ac:dyDescent="0.2">
      <c r="B29" s="181">
        <v>18</v>
      </c>
      <c r="C29" s="182">
        <f t="shared" si="2"/>
        <v>2100</v>
      </c>
      <c r="D29" s="183">
        <f t="shared" si="3"/>
        <v>20.580000000000002</v>
      </c>
      <c r="E29" s="184">
        <f t="shared" si="4"/>
        <v>205.09649999999999</v>
      </c>
      <c r="F29" s="184">
        <f t="shared" si="4"/>
        <v>2.0099457000000003</v>
      </c>
      <c r="G29" s="185">
        <f t="shared" si="5"/>
        <v>227.68644570000001</v>
      </c>
      <c r="H29" s="186">
        <f t="shared" si="6"/>
        <v>25.5</v>
      </c>
      <c r="I29" s="184">
        <f t="shared" si="7"/>
        <v>205.09649999999999</v>
      </c>
      <c r="J29" s="184">
        <f t="shared" si="7"/>
        <v>2.0099457000000003</v>
      </c>
      <c r="K29" s="187">
        <f t="shared" si="8"/>
        <v>232.60644569999999</v>
      </c>
      <c r="L29" s="186">
        <f t="shared" si="0"/>
        <v>4.9199999999999875</v>
      </c>
      <c r="M29" s="188">
        <f t="shared" si="1"/>
        <v>2.1608664428283915E-2</v>
      </c>
    </row>
    <row r="30" spans="2:13" x14ac:dyDescent="0.2">
      <c r="B30" s="181">
        <v>19</v>
      </c>
      <c r="C30" s="182">
        <f t="shared" si="2"/>
        <v>2200</v>
      </c>
      <c r="D30" s="183">
        <f t="shared" si="3"/>
        <v>20.580000000000002</v>
      </c>
      <c r="E30" s="184">
        <f t="shared" si="4"/>
        <v>214.863</v>
      </c>
      <c r="F30" s="184">
        <f t="shared" si="4"/>
        <v>2.0099457000000003</v>
      </c>
      <c r="G30" s="185">
        <f t="shared" si="5"/>
        <v>237.45294570000001</v>
      </c>
      <c r="H30" s="186">
        <f t="shared" si="6"/>
        <v>25.5</v>
      </c>
      <c r="I30" s="184">
        <f t="shared" si="7"/>
        <v>214.863</v>
      </c>
      <c r="J30" s="184">
        <f t="shared" si="7"/>
        <v>2.0099457000000003</v>
      </c>
      <c r="K30" s="187">
        <f t="shared" si="8"/>
        <v>242.3729457</v>
      </c>
      <c r="L30" s="186">
        <f t="shared" si="0"/>
        <v>4.9199999999999875</v>
      </c>
      <c r="M30" s="188">
        <f t="shared" si="1"/>
        <v>2.0719894568989494E-2</v>
      </c>
    </row>
    <row r="31" spans="2:13" x14ac:dyDescent="0.2">
      <c r="B31" s="181">
        <v>20</v>
      </c>
      <c r="C31" s="182">
        <f t="shared" si="2"/>
        <v>2300</v>
      </c>
      <c r="D31" s="183">
        <f t="shared" si="3"/>
        <v>20.580000000000002</v>
      </c>
      <c r="E31" s="184">
        <f t="shared" si="4"/>
        <v>224.62950000000001</v>
      </c>
      <c r="F31" s="184">
        <f t="shared" si="4"/>
        <v>2.0099457000000003</v>
      </c>
      <c r="G31" s="185">
        <f t="shared" si="5"/>
        <v>247.21944570000002</v>
      </c>
      <c r="H31" s="186">
        <f t="shared" si="6"/>
        <v>25.5</v>
      </c>
      <c r="I31" s="184">
        <f t="shared" si="7"/>
        <v>224.62950000000001</v>
      </c>
      <c r="J31" s="184">
        <f t="shared" si="7"/>
        <v>2.0099457000000003</v>
      </c>
      <c r="K31" s="187">
        <f t="shared" si="8"/>
        <v>252.13944570000001</v>
      </c>
      <c r="L31" s="186">
        <f t="shared" si="0"/>
        <v>4.9199999999999875</v>
      </c>
      <c r="M31" s="188">
        <f t="shared" si="1"/>
        <v>1.9901347105075184E-2</v>
      </c>
    </row>
    <row r="32" spans="2:13" x14ac:dyDescent="0.2">
      <c r="B32" s="181">
        <v>21</v>
      </c>
      <c r="C32" s="182">
        <f t="shared" si="2"/>
        <v>2400</v>
      </c>
      <c r="D32" s="183">
        <f t="shared" si="3"/>
        <v>20.580000000000002</v>
      </c>
      <c r="E32" s="184">
        <f t="shared" si="4"/>
        <v>234.39600000000002</v>
      </c>
      <c r="F32" s="184">
        <f t="shared" si="4"/>
        <v>2.0099457000000003</v>
      </c>
      <c r="G32" s="185">
        <f t="shared" si="5"/>
        <v>256.9859457</v>
      </c>
      <c r="H32" s="186">
        <f t="shared" si="6"/>
        <v>25.5</v>
      </c>
      <c r="I32" s="184">
        <f t="shared" si="7"/>
        <v>234.39600000000002</v>
      </c>
      <c r="J32" s="184">
        <f t="shared" si="7"/>
        <v>2.0099457000000003</v>
      </c>
      <c r="K32" s="187">
        <f t="shared" si="8"/>
        <v>261.90594570000002</v>
      </c>
      <c r="L32" s="186">
        <f t="shared" si="0"/>
        <v>4.9200000000000159</v>
      </c>
      <c r="M32" s="188">
        <f t="shared" si="1"/>
        <v>1.9145015835782399E-2</v>
      </c>
    </row>
    <row r="33" spans="1:14" x14ac:dyDescent="0.2">
      <c r="B33" s="181">
        <v>22</v>
      </c>
      <c r="C33" s="182">
        <f t="shared" si="2"/>
        <v>2500</v>
      </c>
      <c r="D33" s="183">
        <f t="shared" si="3"/>
        <v>20.580000000000002</v>
      </c>
      <c r="E33" s="184">
        <f t="shared" si="4"/>
        <v>244.16249999999999</v>
      </c>
      <c r="F33" s="184">
        <f t="shared" si="4"/>
        <v>2.0099457000000003</v>
      </c>
      <c r="G33" s="185">
        <f t="shared" si="5"/>
        <v>266.75244570000001</v>
      </c>
      <c r="H33" s="186">
        <f t="shared" si="6"/>
        <v>25.5</v>
      </c>
      <c r="I33" s="184">
        <f t="shared" si="7"/>
        <v>244.16249999999999</v>
      </c>
      <c r="J33" s="184">
        <f t="shared" si="7"/>
        <v>2.0099457000000003</v>
      </c>
      <c r="K33" s="187">
        <f t="shared" si="8"/>
        <v>271.67244570000003</v>
      </c>
      <c r="L33" s="186">
        <f t="shared" si="0"/>
        <v>4.9200000000000159</v>
      </c>
      <c r="M33" s="188">
        <f t="shared" si="1"/>
        <v>1.8444067071584549E-2</v>
      </c>
    </row>
    <row r="34" spans="1:14" x14ac:dyDescent="0.2">
      <c r="B34" s="181">
        <v>23</v>
      </c>
      <c r="C34" s="182">
        <f t="shared" si="2"/>
        <v>2600</v>
      </c>
      <c r="D34" s="183">
        <f t="shared" si="3"/>
        <v>20.580000000000002</v>
      </c>
      <c r="E34" s="184">
        <f t="shared" si="4"/>
        <v>253.929</v>
      </c>
      <c r="F34" s="184">
        <f t="shared" si="4"/>
        <v>2.0099457000000003</v>
      </c>
      <c r="G34" s="185">
        <f t="shared" si="5"/>
        <v>276.51894570000002</v>
      </c>
      <c r="H34" s="186">
        <f t="shared" si="6"/>
        <v>25.5</v>
      </c>
      <c r="I34" s="184">
        <f t="shared" si="7"/>
        <v>253.929</v>
      </c>
      <c r="J34" s="184">
        <f t="shared" si="7"/>
        <v>2.0099457000000003</v>
      </c>
      <c r="K34" s="187">
        <f t="shared" si="8"/>
        <v>281.43894569999998</v>
      </c>
      <c r="L34" s="186">
        <f t="shared" si="0"/>
        <v>4.9199999999999591</v>
      </c>
      <c r="M34" s="188">
        <f t="shared" si="1"/>
        <v>1.7792632571866335E-2</v>
      </c>
    </row>
    <row r="35" spans="1:14" x14ac:dyDescent="0.2">
      <c r="B35" s="181">
        <v>24</v>
      </c>
      <c r="C35" s="182">
        <f t="shared" si="2"/>
        <v>2700</v>
      </c>
      <c r="D35" s="183">
        <f t="shared" si="3"/>
        <v>20.580000000000002</v>
      </c>
      <c r="E35" s="184">
        <f t="shared" si="4"/>
        <v>263.69549999999998</v>
      </c>
      <c r="F35" s="184">
        <f t="shared" si="4"/>
        <v>2.0099457000000003</v>
      </c>
      <c r="G35" s="185">
        <f t="shared" si="5"/>
        <v>286.28544569999997</v>
      </c>
      <c r="H35" s="186">
        <f t="shared" si="6"/>
        <v>25.5</v>
      </c>
      <c r="I35" s="184">
        <f t="shared" si="7"/>
        <v>263.69549999999998</v>
      </c>
      <c r="J35" s="184">
        <f t="shared" si="7"/>
        <v>2.0099457000000003</v>
      </c>
      <c r="K35" s="187">
        <f t="shared" si="8"/>
        <v>291.20544569999998</v>
      </c>
      <c r="L35" s="186">
        <f t="shared" si="0"/>
        <v>4.9200000000000159</v>
      </c>
      <c r="M35" s="188">
        <f t="shared" si="1"/>
        <v>1.7185644865634245E-2</v>
      </c>
    </row>
    <row r="36" spans="1:14" x14ac:dyDescent="0.2">
      <c r="B36" s="181">
        <v>25</v>
      </c>
      <c r="C36" s="182">
        <f t="shared" si="2"/>
        <v>2800</v>
      </c>
      <c r="D36" s="183">
        <f t="shared" si="3"/>
        <v>20.580000000000002</v>
      </c>
      <c r="E36" s="184">
        <f t="shared" si="4"/>
        <v>273.46199999999999</v>
      </c>
      <c r="F36" s="184">
        <f t="shared" si="4"/>
        <v>2.0099457000000003</v>
      </c>
      <c r="G36" s="185">
        <f t="shared" si="5"/>
        <v>296.05194569999998</v>
      </c>
      <c r="H36" s="186">
        <f t="shared" si="6"/>
        <v>25.5</v>
      </c>
      <c r="I36" s="184">
        <f t="shared" si="7"/>
        <v>273.46199999999999</v>
      </c>
      <c r="J36" s="184">
        <f t="shared" si="7"/>
        <v>2.0099457000000003</v>
      </c>
      <c r="K36" s="187">
        <f t="shared" si="8"/>
        <v>300.97194569999999</v>
      </c>
      <c r="L36" s="186">
        <f t="shared" si="0"/>
        <v>4.9200000000000159</v>
      </c>
      <c r="M36" s="188">
        <f t="shared" si="1"/>
        <v>1.6618705167996524E-2</v>
      </c>
    </row>
    <row r="37" spans="1:14" x14ac:dyDescent="0.2">
      <c r="B37" s="181">
        <v>26</v>
      </c>
      <c r="C37" s="182">
        <f t="shared" si="2"/>
        <v>2900</v>
      </c>
      <c r="D37" s="183">
        <f t="shared" si="3"/>
        <v>20.580000000000002</v>
      </c>
      <c r="E37" s="184">
        <f t="shared" si="4"/>
        <v>283.2285</v>
      </c>
      <c r="F37" s="184">
        <f t="shared" si="4"/>
        <v>2.0099457000000003</v>
      </c>
      <c r="G37" s="185">
        <f t="shared" si="5"/>
        <v>305.81844569999998</v>
      </c>
      <c r="H37" s="186">
        <f t="shared" si="6"/>
        <v>25.5</v>
      </c>
      <c r="I37" s="184">
        <f t="shared" si="7"/>
        <v>283.2285</v>
      </c>
      <c r="J37" s="184">
        <f t="shared" si="7"/>
        <v>2.0099457000000003</v>
      </c>
      <c r="K37" s="187">
        <f t="shared" si="8"/>
        <v>310.7384457</v>
      </c>
      <c r="L37" s="186">
        <f t="shared" si="0"/>
        <v>4.9200000000000159</v>
      </c>
      <c r="M37" s="188">
        <f t="shared" si="1"/>
        <v>1.6087976605657101E-2</v>
      </c>
    </row>
    <row r="38" spans="1:14" ht="13.5" thickBot="1" x14ac:dyDescent="0.25">
      <c r="B38" s="189">
        <v>27</v>
      </c>
      <c r="C38" s="190">
        <f t="shared" si="2"/>
        <v>3000</v>
      </c>
      <c r="D38" s="191">
        <f t="shared" si="3"/>
        <v>20.580000000000002</v>
      </c>
      <c r="E38" s="192">
        <f t="shared" si="4"/>
        <v>292.995</v>
      </c>
      <c r="F38" s="192">
        <f t="shared" si="4"/>
        <v>2.0099457000000003</v>
      </c>
      <c r="G38" s="193">
        <f t="shared" si="5"/>
        <v>315.58494569999999</v>
      </c>
      <c r="H38" s="194">
        <f t="shared" si="6"/>
        <v>25.5</v>
      </c>
      <c r="I38" s="192">
        <f t="shared" si="7"/>
        <v>292.995</v>
      </c>
      <c r="J38" s="192">
        <f t="shared" si="7"/>
        <v>2.0099457000000003</v>
      </c>
      <c r="K38" s="195">
        <f t="shared" si="8"/>
        <v>320.50494570000001</v>
      </c>
      <c r="L38" s="194">
        <f t="shared" si="0"/>
        <v>4.9200000000000159</v>
      </c>
      <c r="M38" s="196">
        <f t="shared" si="1"/>
        <v>1.5590097268698758E-2</v>
      </c>
    </row>
    <row r="39" spans="1:14" ht="14.25" thickTop="1" thickBot="1" x14ac:dyDescent="0.25">
      <c r="A39" s="197"/>
      <c r="B39" s="198" t="s">
        <v>146</v>
      </c>
      <c r="C39" s="199">
        <f>'Res-1'!D18</f>
        <v>950.75120735095095</v>
      </c>
      <c r="D39" s="200">
        <f t="shared" si="3"/>
        <v>20.580000000000002</v>
      </c>
      <c r="E39" s="201">
        <f t="shared" si="4"/>
        <v>92.855116665930623</v>
      </c>
      <c r="F39" s="201"/>
      <c r="G39" s="202">
        <f t="shared" si="5"/>
        <v>113.43511666593062</v>
      </c>
      <c r="H39" s="203">
        <f t="shared" si="6"/>
        <v>25.5</v>
      </c>
      <c r="I39" s="201">
        <f t="shared" si="7"/>
        <v>92.855116665930623</v>
      </c>
      <c r="J39" s="201">
        <f t="shared" si="7"/>
        <v>2.0099457000000003</v>
      </c>
      <c r="K39" s="204">
        <f t="shared" si="8"/>
        <v>120.36506236593063</v>
      </c>
      <c r="L39" s="203">
        <f t="shared" si="0"/>
        <v>6.9299457000000046</v>
      </c>
      <c r="M39" s="205">
        <f t="shared" si="1"/>
        <v>6.109171395670069E-2</v>
      </c>
      <c r="N39" s="197"/>
    </row>
    <row r="40" spans="1:14" ht="13.5" thickTop="1" x14ac:dyDescent="0.2"/>
  </sheetData>
  <mergeCells count="3">
    <mergeCell ref="D5:G5"/>
    <mergeCell ref="H5:K5"/>
    <mergeCell ref="L5:M5"/>
  </mergeCells>
  <pageMargins left="0.7" right="0.7" top="0.75" bottom="0.75" header="0.3" footer="0.3"/>
  <pageSetup paperSize="9" scale="7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</sheetPr>
  <dimension ref="A1:J62"/>
  <sheetViews>
    <sheetView view="pageBreakPreview" topLeftCell="A37" zoomScaleNormal="100" zoomScaleSheetLayoutView="100" workbookViewId="0">
      <selection activeCell="F68" sqref="F68"/>
    </sheetView>
  </sheetViews>
  <sheetFormatPr defaultRowHeight="12.75" x14ac:dyDescent="0.2"/>
  <cols>
    <col min="1" max="2" width="2.7109375" style="213" customWidth="1"/>
    <col min="3" max="3" width="5.7109375" style="213" customWidth="1"/>
    <col min="4" max="4" width="41.140625" style="213" customWidth="1"/>
    <col min="5" max="5" width="13.5703125" style="213" customWidth="1"/>
    <col min="6" max="7" width="14" style="213" bestFit="1" customWidth="1"/>
    <col min="8" max="8" width="13.85546875" style="213" customWidth="1"/>
    <col min="9" max="9" width="11" customWidth="1"/>
  </cols>
  <sheetData>
    <row r="1" spans="1:10" ht="18.75" x14ac:dyDescent="0.3">
      <c r="A1" s="79" t="str">
        <f>'Present and Proposed Rates'!A1</f>
        <v>MEADE COUNTY RECC</v>
      </c>
      <c r="B1" s="79"/>
      <c r="C1" s="163"/>
      <c r="D1" s="163"/>
      <c r="E1" s="327"/>
      <c r="F1" s="163"/>
      <c r="G1" s="163"/>
      <c r="H1" s="163"/>
    </row>
    <row r="2" spans="1:10" x14ac:dyDescent="0.2">
      <c r="A2" s="206"/>
      <c r="B2" s="206"/>
      <c r="C2" s="163"/>
      <c r="D2" s="163"/>
      <c r="E2" s="327"/>
      <c r="F2" s="163"/>
      <c r="G2" s="163"/>
      <c r="H2" s="163"/>
    </row>
    <row r="3" spans="1:10" x14ac:dyDescent="0.2">
      <c r="A3" s="206" t="s">
        <v>147</v>
      </c>
      <c r="B3" s="206"/>
      <c r="C3" s="163"/>
      <c r="D3" s="163"/>
      <c r="E3" s="327"/>
      <c r="F3" s="163"/>
      <c r="G3" s="163"/>
      <c r="H3" s="163"/>
    </row>
    <row r="4" spans="1:10" x14ac:dyDescent="0.2">
      <c r="A4" s="163"/>
      <c r="B4" s="163"/>
      <c r="C4" s="163"/>
      <c r="D4" s="163"/>
      <c r="E4" s="327"/>
      <c r="F4" s="163"/>
      <c r="G4" s="163"/>
      <c r="H4" s="163"/>
    </row>
    <row r="5" spans="1:10" x14ac:dyDescent="0.2">
      <c r="A5" s="163"/>
      <c r="B5" s="163"/>
      <c r="C5" s="163"/>
      <c r="D5" s="163"/>
      <c r="E5" s="400" t="s">
        <v>136</v>
      </c>
      <c r="F5" s="400"/>
      <c r="H5" s="354" t="s">
        <v>250</v>
      </c>
      <c r="I5" s="399" t="s">
        <v>128</v>
      </c>
      <c r="J5" s="399"/>
    </row>
    <row r="6" spans="1:10" ht="13.5" customHeight="1" x14ac:dyDescent="0.2">
      <c r="A6" s="163"/>
      <c r="B6" s="207" t="s">
        <v>54</v>
      </c>
      <c r="D6" s="163"/>
      <c r="E6" s="208" t="s">
        <v>56</v>
      </c>
      <c r="F6" s="208" t="s">
        <v>58</v>
      </c>
      <c r="H6" s="163"/>
      <c r="I6" s="208" t="s">
        <v>56</v>
      </c>
      <c r="J6" s="208" t="s">
        <v>58</v>
      </c>
    </row>
    <row r="7" spans="1:10" ht="13.5" customHeight="1" x14ac:dyDescent="0.2">
      <c r="A7" s="163"/>
      <c r="B7" s="210">
        <f>List!C5</f>
        <v>1</v>
      </c>
      <c r="C7" s="209" t="str">
        <f>List!D5</f>
        <v>Residential, Farm and Non- Farm, Schools &amp; Churches</v>
      </c>
      <c r="H7"/>
    </row>
    <row r="8" spans="1:10" ht="13.5" customHeight="1" x14ac:dyDescent="0.2">
      <c r="A8" s="163"/>
      <c r="B8" s="210"/>
      <c r="C8" s="209"/>
      <c r="D8" s="327" t="str">
        <f>'Present and Proposed Rates'!C10</f>
        <v>Customer Charge (per day)</v>
      </c>
      <c r="E8" s="374">
        <f>'Present and Proposed Rates'!E10</f>
        <v>0.68600000000000005</v>
      </c>
      <c r="F8" s="374">
        <f>'Present and Proposed Rates'!F10</f>
        <v>0.85</v>
      </c>
      <c r="H8" s="374">
        <f>F8-E8</f>
        <v>0.16399999999999992</v>
      </c>
      <c r="I8" s="382">
        <f>E8*365/12</f>
        <v>20.865833333333335</v>
      </c>
      <c r="J8" s="382">
        <f>F8*365/12</f>
        <v>25.854166666666668</v>
      </c>
    </row>
    <row r="9" spans="1:10" ht="13.5" customHeight="1" x14ac:dyDescent="0.2">
      <c r="A9" s="163"/>
      <c r="B9" s="210"/>
      <c r="C9" s="209"/>
      <c r="D9" s="327" t="str">
        <f>'Present and Proposed Rates'!C11</f>
        <v>Energy Charge (per kWh)</v>
      </c>
      <c r="E9" s="375">
        <f>'Present and Proposed Rates'!E11</f>
        <v>9.7665000000000002E-2</v>
      </c>
      <c r="F9" s="375">
        <f>'Present and Proposed Rates'!F11</f>
        <v>9.7665000000000002E-2</v>
      </c>
      <c r="H9" s="375">
        <f>F9-E9</f>
        <v>0</v>
      </c>
    </row>
    <row r="10" spans="1:10" ht="13.5" customHeight="1" x14ac:dyDescent="0.2">
      <c r="A10" s="163"/>
      <c r="B10" s="210">
        <f>List!C6</f>
        <v>2</v>
      </c>
      <c r="C10" s="209" t="str">
        <f>List!D6</f>
        <v>Commercial Rate</v>
      </c>
      <c r="D10" s="327"/>
      <c r="E10" s="376"/>
      <c r="F10" s="376"/>
      <c r="H10" s="376"/>
    </row>
    <row r="11" spans="1:10" ht="13.5" customHeight="1" x14ac:dyDescent="0.2">
      <c r="A11" s="163"/>
      <c r="B11" s="210"/>
      <c r="C11" s="209"/>
      <c r="D11" s="327" t="str">
        <f>'Present and Proposed Rates'!C13</f>
        <v>Customer Charge (per day)</v>
      </c>
      <c r="E11" s="374">
        <f>'Present and Proposed Rates'!E13</f>
        <v>0.81599999999999995</v>
      </c>
      <c r="F11" s="374">
        <f>'Present and Proposed Rates'!F13</f>
        <v>0.89</v>
      </c>
      <c r="H11" s="374">
        <f>F11-E11</f>
        <v>7.4000000000000066E-2</v>
      </c>
      <c r="I11" s="382">
        <f>E11*365/12</f>
        <v>24.819999999999997</v>
      </c>
      <c r="J11" s="382">
        <f>F11*365/12</f>
        <v>27.070833333333336</v>
      </c>
    </row>
    <row r="12" spans="1:10" ht="13.5" customHeight="1" x14ac:dyDescent="0.2">
      <c r="A12" s="163"/>
      <c r="B12" s="210"/>
      <c r="C12" s="209"/>
      <c r="D12" s="327" t="str">
        <f>'Present and Proposed Rates'!C14</f>
        <v>Energy Charge (per kWh)</v>
      </c>
      <c r="E12" s="375">
        <f>'Present and Proposed Rates'!E14</f>
        <v>0.104294</v>
      </c>
      <c r="F12" s="375">
        <f>'Present and Proposed Rates'!F14</f>
        <v>0.10240046229822218</v>
      </c>
      <c r="H12" s="375">
        <f>F12-E12</f>
        <v>-1.8935377017778171E-3</v>
      </c>
    </row>
    <row r="13" spans="1:10" ht="13.5" customHeight="1" x14ac:dyDescent="0.2">
      <c r="A13" s="163"/>
      <c r="B13" s="210">
        <f>List!C7</f>
        <v>3</v>
      </c>
      <c r="C13" s="209" t="str">
        <f>List!D7</f>
        <v>Three Phase Power Service, 0 KVA and greater- 3 Phase Service</v>
      </c>
      <c r="D13" s="327"/>
      <c r="E13" s="376"/>
      <c r="F13" s="376"/>
      <c r="H13" s="376"/>
    </row>
    <row r="14" spans="1:10" ht="13.5" customHeight="1" x14ac:dyDescent="0.2">
      <c r="A14" s="163"/>
      <c r="B14" s="210"/>
      <c r="C14" s="209"/>
      <c r="D14" s="327" t="str">
        <f>'Present and Proposed Rates'!C16</f>
        <v>Customer Charge (per day) (0-100 KVA)</v>
      </c>
      <c r="E14" s="374">
        <f>'Present and Proposed Rates'!E16</f>
        <v>1.786</v>
      </c>
      <c r="F14" s="374">
        <f>'Present and Proposed Rates'!F16</f>
        <v>1.786</v>
      </c>
      <c r="H14" s="374">
        <f>F14-E14</f>
        <v>0</v>
      </c>
      <c r="I14" s="382">
        <f t="shared" ref="I14:J16" si="0">E14*365/12</f>
        <v>54.324166666666663</v>
      </c>
      <c r="J14" s="382">
        <f t="shared" si="0"/>
        <v>54.324166666666663</v>
      </c>
    </row>
    <row r="15" spans="1:10" ht="13.5" customHeight="1" x14ac:dyDescent="0.2">
      <c r="A15" s="163"/>
      <c r="B15" s="210"/>
      <c r="C15" s="209"/>
      <c r="D15" s="327" t="str">
        <f>'Present and Proposed Rates'!C17</f>
        <v>Customer Charge (per day) (101-1,000 KVA)</v>
      </c>
      <c r="E15" s="374">
        <f>'Present and Proposed Rates'!E17</f>
        <v>3.1179999999999999</v>
      </c>
      <c r="F15" s="374">
        <f>'Present and Proposed Rates'!F17</f>
        <v>3.1179999999999999</v>
      </c>
      <c r="H15" s="374">
        <f>F15-E15</f>
        <v>0</v>
      </c>
      <c r="I15" s="382">
        <f t="shared" si="0"/>
        <v>94.839166666666657</v>
      </c>
      <c r="J15" s="382">
        <f t="shared" si="0"/>
        <v>94.839166666666657</v>
      </c>
    </row>
    <row r="16" spans="1:10" ht="13.5" customHeight="1" x14ac:dyDescent="0.2">
      <c r="A16" s="163"/>
      <c r="B16" s="210"/>
      <c r="C16" s="209"/>
      <c r="D16" s="327" t="str">
        <f>'Present and Proposed Rates'!C18</f>
        <v>Customer Charge (per day) (Over 1,000 KVA)</v>
      </c>
      <c r="E16" s="374">
        <f>'Present and Proposed Rates'!E18</f>
        <v>4.45</v>
      </c>
      <c r="F16" s="374">
        <f>'Present and Proposed Rates'!F18</f>
        <v>4.45</v>
      </c>
      <c r="H16" s="374">
        <f>F16-E16</f>
        <v>0</v>
      </c>
      <c r="I16" s="382">
        <f t="shared" si="0"/>
        <v>135.35416666666666</v>
      </c>
      <c r="J16" s="382">
        <f t="shared" si="0"/>
        <v>135.35416666666666</v>
      </c>
    </row>
    <row r="17" spans="1:10" ht="13.5" customHeight="1" x14ac:dyDescent="0.2">
      <c r="A17" s="163"/>
      <c r="B17" s="210"/>
      <c r="C17" s="209"/>
      <c r="D17" s="327" t="str">
        <f>'Present and Proposed Rates'!C19</f>
        <v>Energy Charge (per kWh)</v>
      </c>
      <c r="E17" s="375">
        <f>'Present and Proposed Rates'!E19</f>
        <v>6.5794000000000005E-2</v>
      </c>
      <c r="F17" s="375">
        <f>'Present and Proposed Rates'!F19</f>
        <v>6.5794000000000005E-2</v>
      </c>
      <c r="H17" s="375">
        <f>F17-E17</f>
        <v>0</v>
      </c>
    </row>
    <row r="18" spans="1:10" ht="13.5" customHeight="1" x14ac:dyDescent="0.2">
      <c r="A18" s="163"/>
      <c r="B18" s="210"/>
      <c r="C18" s="209"/>
      <c r="D18" s="327" t="str">
        <f>'Present and Proposed Rates'!C20</f>
        <v>Demand Charge (per kW)</v>
      </c>
      <c r="E18" s="377">
        <f>'Present and Proposed Rates'!E20</f>
        <v>11</v>
      </c>
      <c r="F18" s="377">
        <f>'Present and Proposed Rates'!F20</f>
        <v>11</v>
      </c>
      <c r="H18" s="377">
        <f>F18-E18</f>
        <v>0</v>
      </c>
    </row>
    <row r="19" spans="1:10" ht="13.5" customHeight="1" x14ac:dyDescent="0.2">
      <c r="A19" s="163"/>
      <c r="B19" s="210" t="str">
        <f>List!C8</f>
        <v>3A</v>
      </c>
      <c r="C19" s="209" t="str">
        <f>List!D8</f>
        <v>Three Phase Power Service, 0 KVA - 999 KVA- Optional Time-of-Day (TOD) Rate</v>
      </c>
      <c r="D19" s="327"/>
      <c r="E19" s="376"/>
      <c r="F19" s="376"/>
      <c r="H19" s="376"/>
    </row>
    <row r="20" spans="1:10" ht="13.5" customHeight="1" x14ac:dyDescent="0.2">
      <c r="A20" s="163"/>
      <c r="B20" s="210"/>
      <c r="C20" s="209"/>
      <c r="D20" s="327" t="str">
        <f>'Present and Proposed Rates'!C22</f>
        <v>Customer Charge (per day)</v>
      </c>
      <c r="E20" s="374">
        <f>'Present and Proposed Rates'!E22</f>
        <v>2.641</v>
      </c>
      <c r="F20" s="374">
        <f>'Present and Proposed Rates'!F22</f>
        <v>2.641</v>
      </c>
      <c r="H20" s="374">
        <f>F20-E20</f>
        <v>0</v>
      </c>
      <c r="I20" s="382">
        <f>E20*365/12</f>
        <v>80.330416666666665</v>
      </c>
      <c r="J20" s="382">
        <f>F20*365/12</f>
        <v>80.330416666666665</v>
      </c>
    </row>
    <row r="21" spans="1:10" ht="13.5" customHeight="1" x14ac:dyDescent="0.2">
      <c r="A21" s="163"/>
      <c r="B21" s="210"/>
      <c r="C21" s="209"/>
      <c r="D21" s="327" t="str">
        <f>'Present and Proposed Rates'!C23</f>
        <v>Energy Charge (per kWh)</v>
      </c>
      <c r="E21" s="375">
        <f>'Present and Proposed Rates'!E23</f>
        <v>6.5794000000000005E-2</v>
      </c>
      <c r="F21" s="375">
        <f>'Present and Proposed Rates'!F23</f>
        <v>6.5794000000000005E-2</v>
      </c>
      <c r="H21" s="375">
        <f>F21-E21</f>
        <v>0</v>
      </c>
    </row>
    <row r="22" spans="1:10" ht="13.5" customHeight="1" x14ac:dyDescent="0.2">
      <c r="A22" s="163"/>
      <c r="B22" s="210"/>
      <c r="C22" s="209"/>
      <c r="D22" s="327" t="str">
        <f>'Present and Proposed Rates'!C24</f>
        <v>Demand Charge (per kW)</v>
      </c>
      <c r="E22" s="377">
        <f>'Present and Proposed Rates'!E24</f>
        <v>11</v>
      </c>
      <c r="F22" s="377">
        <f>'Present and Proposed Rates'!F24</f>
        <v>11</v>
      </c>
      <c r="H22" s="377">
        <f>F22-E22</f>
        <v>0</v>
      </c>
    </row>
    <row r="23" spans="1:10" ht="13.5" customHeight="1" x14ac:dyDescent="0.2">
      <c r="A23" s="163"/>
      <c r="B23" s="210">
        <f>List!C9</f>
        <v>4</v>
      </c>
      <c r="C23" s="209" t="str">
        <f>List!D9</f>
        <v>Large Power Service, 1,000 KVA and Larger (TOD)</v>
      </c>
      <c r="D23" s="327"/>
      <c r="E23" s="376"/>
      <c r="F23" s="376"/>
      <c r="H23" s="376"/>
    </row>
    <row r="24" spans="1:10" ht="13.5" customHeight="1" x14ac:dyDescent="0.2">
      <c r="A24" s="163"/>
      <c r="B24" s="210"/>
      <c r="C24" s="209"/>
      <c r="D24" s="327" t="str">
        <f>'Present and Proposed Rates'!C26</f>
        <v>Customer Charge (Utility Transformer)</v>
      </c>
      <c r="E24" s="378">
        <f>'Present and Proposed Rates'!E26</f>
        <v>805.93</v>
      </c>
      <c r="F24" s="378">
        <f>'Present and Proposed Rates'!F26</f>
        <v>805.93</v>
      </c>
      <c r="H24" s="378">
        <f>F24-E24</f>
        <v>0</v>
      </c>
    </row>
    <row r="25" spans="1:10" ht="13.5" customHeight="1" x14ac:dyDescent="0.2">
      <c r="A25" s="163"/>
      <c r="B25" s="210"/>
      <c r="C25" s="209"/>
      <c r="D25" s="327" t="str">
        <f>'Present and Proposed Rates'!C27</f>
        <v>Customer Charge (Customer Transformer)</v>
      </c>
      <c r="E25" s="378">
        <f>'Present and Proposed Rates'!E27</f>
        <v>142.22999999999999</v>
      </c>
      <c r="F25" s="378">
        <f>'Present and Proposed Rates'!F27</f>
        <v>142.22999999999999</v>
      </c>
      <c r="H25" s="378">
        <f>F25-E25</f>
        <v>0</v>
      </c>
    </row>
    <row r="26" spans="1:10" ht="13.5" customHeight="1" x14ac:dyDescent="0.2">
      <c r="A26" s="163"/>
      <c r="B26" s="210"/>
      <c r="C26" s="209"/>
      <c r="D26" s="327" t="str">
        <f>'Present and Proposed Rates'!C28</f>
        <v>Energy Charge (per kWh) (First 300 kWh/kW)</v>
      </c>
      <c r="E26" s="375">
        <f>'Present and Proposed Rates'!E28</f>
        <v>6.0553000000000003E-2</v>
      </c>
      <c r="F26" s="375">
        <f>'Present and Proposed Rates'!F28</f>
        <v>6.0553000000000003E-2</v>
      </c>
      <c r="H26" s="375">
        <f>F26-E26</f>
        <v>0</v>
      </c>
    </row>
    <row r="27" spans="1:10" ht="13.5" customHeight="1" x14ac:dyDescent="0.2">
      <c r="A27" s="163"/>
      <c r="B27" s="210"/>
      <c r="C27" s="209"/>
      <c r="D27" s="327" t="str">
        <f>'Present and Proposed Rates'!C29</f>
        <v>Energy Charge (per kWh) (All remaining kWh)</v>
      </c>
      <c r="E27" s="375">
        <f>'Present and Proposed Rates'!E29</f>
        <v>5.2130000000000003E-2</v>
      </c>
      <c r="F27" s="375">
        <f>'Present and Proposed Rates'!F29</f>
        <v>5.2130000000000003E-2</v>
      </c>
      <c r="H27" s="375">
        <f>F27-E27</f>
        <v>0</v>
      </c>
    </row>
    <row r="28" spans="1:10" ht="13.5" customHeight="1" x14ac:dyDescent="0.2">
      <c r="A28" s="163"/>
      <c r="B28" s="210"/>
      <c r="C28" s="209"/>
      <c r="D28" s="327" t="str">
        <f>'Present and Proposed Rates'!C30</f>
        <v>Demand Charge (per kW)</v>
      </c>
      <c r="E28" s="377">
        <f>'Present and Proposed Rates'!E30</f>
        <v>10.5</v>
      </c>
      <c r="F28" s="377">
        <f>'Present and Proposed Rates'!F30</f>
        <v>10.5</v>
      </c>
      <c r="H28" s="377">
        <f>F28-E28</f>
        <v>0</v>
      </c>
    </row>
    <row r="29" spans="1:10" ht="13.5" customHeight="1" x14ac:dyDescent="0.2">
      <c r="A29" s="163"/>
      <c r="B29" s="210">
        <f>List!C10</f>
        <v>5</v>
      </c>
      <c r="C29" s="209" t="str">
        <f>List!D10</f>
        <v>Outdoor Lighting Service - Individual Consumers</v>
      </c>
      <c r="D29" s="327"/>
      <c r="E29" s="376"/>
      <c r="F29" s="376"/>
      <c r="H29" s="376"/>
    </row>
    <row r="30" spans="1:10" ht="13.5" customHeight="1" x14ac:dyDescent="0.2">
      <c r="A30" s="163"/>
      <c r="B30" s="210"/>
      <c r="C30" s="209"/>
      <c r="D30" s="327" t="str">
        <f>'Present and Proposed Rates'!C32</f>
        <v>175W Unmetered</v>
      </c>
      <c r="E30" s="378">
        <f>'Present and Proposed Rates'!E32</f>
        <v>10.93</v>
      </c>
      <c r="F30" s="378">
        <f>'Present and Proposed Rates'!F32</f>
        <v>10.93</v>
      </c>
      <c r="H30" s="378">
        <f>F30-E30</f>
        <v>0</v>
      </c>
    </row>
    <row r="31" spans="1:10" ht="13.5" customHeight="1" x14ac:dyDescent="0.2">
      <c r="A31" s="163"/>
      <c r="B31" s="210"/>
      <c r="C31" s="209"/>
      <c r="D31" s="327" t="str">
        <f>'Present and Proposed Rates'!C33</f>
        <v>175W Metered</v>
      </c>
      <c r="E31" s="378">
        <f>'Present and Proposed Rates'!E33</f>
        <v>4.7699999999999996</v>
      </c>
      <c r="F31" s="378">
        <f>'Present and Proposed Rates'!F33</f>
        <v>4.7699999999999996</v>
      </c>
      <c r="H31" s="378">
        <f>F31-E31</f>
        <v>0</v>
      </c>
    </row>
    <row r="32" spans="1:10" ht="13.5" customHeight="1" x14ac:dyDescent="0.2">
      <c r="A32" s="163"/>
      <c r="B32" s="210"/>
      <c r="C32" s="209"/>
      <c r="D32" s="327" t="str">
        <f>'Present and Proposed Rates'!C34</f>
        <v>400W Unmetered</v>
      </c>
      <c r="E32" s="378">
        <f>'Present and Proposed Rates'!E34</f>
        <v>16.420000000000002</v>
      </c>
      <c r="F32" s="378">
        <f>'Present and Proposed Rates'!F34</f>
        <v>16.420000000000002</v>
      </c>
      <c r="H32" s="378">
        <f>F32-E32</f>
        <v>0</v>
      </c>
    </row>
    <row r="33" spans="1:8" ht="13.5" customHeight="1" x14ac:dyDescent="0.2">
      <c r="A33" s="163"/>
      <c r="B33" s="210"/>
      <c r="C33" s="209"/>
      <c r="D33" s="327" t="str">
        <f>'Present and Proposed Rates'!C35</f>
        <v>400W Metered</v>
      </c>
      <c r="E33" s="378">
        <f>'Present and Proposed Rates'!E35</f>
        <v>4.7699999999999996</v>
      </c>
      <c r="F33" s="378">
        <f>'Present and Proposed Rates'!F35</f>
        <v>4.7699999999999996</v>
      </c>
      <c r="H33" s="378">
        <f>F33-E33</f>
        <v>0</v>
      </c>
    </row>
    <row r="34" spans="1:8" ht="13.5" customHeight="1" x14ac:dyDescent="0.2">
      <c r="A34" s="163"/>
      <c r="B34" s="163">
        <f>List!C11</f>
        <v>6</v>
      </c>
      <c r="C34" s="209" t="str">
        <f>List!D11</f>
        <v>Street Lighting - Community, Municipalities, Towns</v>
      </c>
      <c r="D34" s="327"/>
      <c r="E34" s="376"/>
      <c r="F34" s="376"/>
      <c r="H34" s="376"/>
    </row>
    <row r="35" spans="1:8" ht="13.5" customHeight="1" x14ac:dyDescent="0.2">
      <c r="A35" s="163"/>
      <c r="B35" s="163"/>
      <c r="C35" s="209"/>
      <c r="D35" s="327" t="str">
        <f>'Present and Proposed Rates'!C38</f>
        <v xml:space="preserve">175W </v>
      </c>
      <c r="E35" s="376">
        <f>'Present and Proposed Rates'!E38</f>
        <v>9.98</v>
      </c>
      <c r="F35" s="376">
        <f>'Present and Proposed Rates'!F38</f>
        <v>9.98</v>
      </c>
      <c r="H35" s="377">
        <f>F35-E35</f>
        <v>0</v>
      </c>
    </row>
    <row r="36" spans="1:8" ht="13.5" customHeight="1" x14ac:dyDescent="0.2">
      <c r="A36" s="163"/>
      <c r="B36" s="163"/>
      <c r="C36" s="209"/>
      <c r="D36" s="327" t="str">
        <f>'Present and Proposed Rates'!C39</f>
        <v>400W</v>
      </c>
      <c r="E36" s="378">
        <f>'Present and Proposed Rates'!E39</f>
        <v>15.72</v>
      </c>
      <c r="F36" s="327">
        <f>'Present and Proposed Rates'!F39</f>
        <v>15.72</v>
      </c>
      <c r="H36" s="377">
        <f>F36-E36</f>
        <v>0</v>
      </c>
    </row>
    <row r="37" spans="1:8" x14ac:dyDescent="0.2">
      <c r="A37" s="163"/>
      <c r="B37" s="163"/>
      <c r="C37" s="209"/>
      <c r="D37" s="211"/>
      <c r="E37" s="373"/>
      <c r="F37" s="212"/>
      <c r="G37" s="212"/>
      <c r="H37" s="163"/>
    </row>
    <row r="38" spans="1:8" x14ac:dyDescent="0.2">
      <c r="A38" s="163"/>
      <c r="B38" s="163"/>
      <c r="C38" s="209" t="s">
        <v>240</v>
      </c>
      <c r="D38" s="163"/>
      <c r="E38" s="249"/>
      <c r="F38" s="163"/>
      <c r="G38" s="163"/>
      <c r="H38" s="163"/>
    </row>
    <row r="39" spans="1:8" x14ac:dyDescent="0.2">
      <c r="A39" s="163"/>
      <c r="B39" s="163"/>
      <c r="H39" s="163"/>
    </row>
    <row r="40" spans="1:8" ht="39.75" customHeight="1" x14ac:dyDescent="0.2">
      <c r="A40" s="163"/>
      <c r="B40" s="163"/>
      <c r="C40" s="402" t="s">
        <v>148</v>
      </c>
      <c r="D40" s="402"/>
      <c r="E40" s="402"/>
      <c r="F40" s="402"/>
      <c r="H40" s="163"/>
    </row>
    <row r="41" spans="1:8" x14ac:dyDescent="0.2">
      <c r="E41" s="401" t="s">
        <v>59</v>
      </c>
      <c r="F41" s="401"/>
    </row>
    <row r="42" spans="1:8" x14ac:dyDescent="0.2">
      <c r="C42" s="207" t="s">
        <v>54</v>
      </c>
      <c r="E42" s="214" t="s">
        <v>149</v>
      </c>
      <c r="F42" s="214" t="s">
        <v>150</v>
      </c>
    </row>
    <row r="43" spans="1:8" x14ac:dyDescent="0.2">
      <c r="C43" s="379">
        <f>List!C5</f>
        <v>1</v>
      </c>
      <c r="D43" s="163" t="str">
        <f>List!B5</f>
        <v>Residential</v>
      </c>
      <c r="E43" s="215">
        <f>'Present and Proposed Rates'!K10</f>
        <v>1750780.2916666642</v>
      </c>
      <c r="F43" s="238">
        <f>'Present and Proposed Rates'!L10</f>
        <v>3.6780681253604383E-2</v>
      </c>
    </row>
    <row r="44" spans="1:8" x14ac:dyDescent="0.2">
      <c r="C44" s="379">
        <f>List!C6</f>
        <v>2</v>
      </c>
      <c r="D44" s="163" t="str">
        <f>List!B6</f>
        <v>Small Comm</v>
      </c>
      <c r="E44" s="215">
        <f>'Present and Proposed Rates'!K13</f>
        <v>0</v>
      </c>
      <c r="F44" s="247">
        <f>'Present and Proposed Rates'!L13</f>
        <v>0</v>
      </c>
    </row>
    <row r="45" spans="1:8" x14ac:dyDescent="0.2">
      <c r="C45" s="379">
        <f>List!C7</f>
        <v>3</v>
      </c>
      <c r="D45" s="163" t="str">
        <f>List!B7</f>
        <v>3 Phase</v>
      </c>
      <c r="E45" s="215">
        <f>'Present and Proposed Rates'!K16</f>
        <v>0</v>
      </c>
      <c r="F45" s="247">
        <f>'Present and Proposed Rates'!L16</f>
        <v>0</v>
      </c>
    </row>
    <row r="46" spans="1:8" x14ac:dyDescent="0.2">
      <c r="C46" s="379" t="str">
        <f>List!C8</f>
        <v>3A</v>
      </c>
      <c r="D46" s="163" t="str">
        <f>List!B8</f>
        <v>3 Ph 0-999 KVA TOD</v>
      </c>
      <c r="E46" s="215">
        <f>'Present and Proposed Rates'!K22</f>
        <v>0</v>
      </c>
      <c r="F46" s="247">
        <f>'Present and Proposed Rates'!L22</f>
        <v>0</v>
      </c>
    </row>
    <row r="47" spans="1:8" x14ac:dyDescent="0.2">
      <c r="C47" s="379">
        <f>List!C9</f>
        <v>4</v>
      </c>
      <c r="D47" s="163" t="str">
        <f>List!B9</f>
        <v>Large 1000 KVA TOD</v>
      </c>
      <c r="E47" s="215">
        <f>'Present and Proposed Rates'!K26</f>
        <v>0</v>
      </c>
      <c r="F47" s="247">
        <f>'Present and Proposed Rates'!L26</f>
        <v>0</v>
      </c>
    </row>
    <row r="48" spans="1:8" x14ac:dyDescent="0.2">
      <c r="C48" s="379">
        <f>List!C10</f>
        <v>5</v>
      </c>
      <c r="D48" s="163" t="str">
        <f>List!B10</f>
        <v>Private Outdoor Lighting</v>
      </c>
      <c r="E48" s="215">
        <f>'Present and Proposed Rates'!K32</f>
        <v>0</v>
      </c>
      <c r="F48" s="247">
        <f>'Present and Proposed Rates'!L32</f>
        <v>0</v>
      </c>
    </row>
    <row r="49" spans="3:8" x14ac:dyDescent="0.2">
      <c r="C49" s="379">
        <f>List!C11</f>
        <v>6</v>
      </c>
      <c r="D49" s="163" t="str">
        <f>List!B11</f>
        <v>Street &amp; Hwy Lights</v>
      </c>
      <c r="E49" s="215">
        <f>'Present and Proposed Rates'!K38</f>
        <v>0</v>
      </c>
      <c r="F49" s="247">
        <f>'Present and Proposed Rates'!L38</f>
        <v>0</v>
      </c>
    </row>
    <row r="50" spans="3:8" x14ac:dyDescent="0.2">
      <c r="D50" s="217" t="s">
        <v>85</v>
      </c>
      <c r="E50" s="218">
        <f>'Present and Proposed Rates'!K43</f>
        <v>1750780.2916666642</v>
      </c>
      <c r="F50" s="239">
        <f>'Present and Proposed Rates'!L43</f>
        <v>2.0605378556277264E-2</v>
      </c>
      <c r="H50" s="216"/>
    </row>
    <row r="51" spans="3:8" x14ac:dyDescent="0.2">
      <c r="H51" s="216"/>
    </row>
    <row r="52" spans="3:8" ht="39" customHeight="1" x14ac:dyDescent="0.2">
      <c r="C52" s="402" t="s">
        <v>151</v>
      </c>
      <c r="D52" s="402"/>
      <c r="E52" s="402"/>
      <c r="F52" s="402"/>
      <c r="G52" s="402"/>
      <c r="H52" s="216"/>
    </row>
    <row r="53" spans="3:8" x14ac:dyDescent="0.2">
      <c r="E53" s="219" t="s">
        <v>152</v>
      </c>
      <c r="F53" s="401" t="s">
        <v>59</v>
      </c>
      <c r="G53" s="401"/>
      <c r="H53" s="216"/>
    </row>
    <row r="54" spans="3:8" x14ac:dyDescent="0.2">
      <c r="C54" s="207" t="s">
        <v>54</v>
      </c>
      <c r="E54" s="220" t="s">
        <v>153</v>
      </c>
      <c r="F54" s="214" t="s">
        <v>149</v>
      </c>
      <c r="G54" s="214" t="s">
        <v>150</v>
      </c>
      <c r="H54" s="216"/>
    </row>
    <row r="55" spans="3:8" x14ac:dyDescent="0.2">
      <c r="C55" s="379">
        <f>List!C5</f>
        <v>1</v>
      </c>
      <c r="D55" s="163" t="str">
        <f>List!B5</f>
        <v>Residential</v>
      </c>
      <c r="E55" s="370">
        <f>'Res-1'!D33</f>
        <v>950.75120735095095</v>
      </c>
      <c r="F55" s="216">
        <f>'Present and Proposed Rates'!M10</f>
        <v>4.9883333333333262</v>
      </c>
      <c r="G55" s="240">
        <f>'Present and Proposed Rates'!L10</f>
        <v>3.6780681253604383E-2</v>
      </c>
    </row>
    <row r="56" spans="3:8" x14ac:dyDescent="0.2">
      <c r="C56" s="379">
        <f>List!C6</f>
        <v>2</v>
      </c>
      <c r="D56" s="163" t="str">
        <f>List!B6</f>
        <v>Small Comm</v>
      </c>
      <c r="E56" s="370">
        <f>'SmCom-2'!D33</f>
        <v>1188.6921138248638</v>
      </c>
      <c r="F56" s="215">
        <f>'Present and Proposed Rates'!M13</f>
        <v>0</v>
      </c>
      <c r="G56" s="248">
        <f>'Present and Proposed Rates'!L13</f>
        <v>0</v>
      </c>
    </row>
    <row r="57" spans="3:8" x14ac:dyDescent="0.2">
      <c r="C57" s="379">
        <f>List!C7</f>
        <v>3</v>
      </c>
      <c r="D57" s="163" t="str">
        <f>List!B7</f>
        <v>3 Phase</v>
      </c>
      <c r="E57" s="370">
        <f>'3Ph-3'!D38</f>
        <v>13573.500829187396</v>
      </c>
      <c r="F57" s="215">
        <f>'Present and Proposed Rates'!M16</f>
        <v>0</v>
      </c>
      <c r="G57" s="248">
        <f>'Present and Proposed Rates'!L16</f>
        <v>0</v>
      </c>
    </row>
    <row r="58" spans="3:8" x14ac:dyDescent="0.2">
      <c r="C58" s="379" t="str">
        <f>List!C8</f>
        <v>3A</v>
      </c>
      <c r="D58" s="163" t="str">
        <f>List!B8</f>
        <v>3 Ph 0-999 KVA TOD</v>
      </c>
      <c r="E58" s="370">
        <f>'3PhTOD-3A'!D36</f>
        <v>18357.479166666668</v>
      </c>
      <c r="F58" s="215">
        <f>'Present and Proposed Rates'!M22</f>
        <v>0</v>
      </c>
      <c r="G58" s="248">
        <f>'Present and Proposed Rates'!L22</f>
        <v>0</v>
      </c>
    </row>
    <row r="59" spans="3:8" x14ac:dyDescent="0.2">
      <c r="C59" s="379">
        <f>List!C9</f>
        <v>4</v>
      </c>
      <c r="D59" s="163" t="str">
        <f>List!B9</f>
        <v>Large 1000 KVA TOD</v>
      </c>
      <c r="E59" s="370">
        <f>'LgTOD-4'!D39</f>
        <v>126706.07272727272</v>
      </c>
      <c r="F59" s="215">
        <f>'Present and Proposed Rates'!M26</f>
        <v>0</v>
      </c>
      <c r="G59" s="248">
        <f>'Present and Proposed Rates'!L26</f>
        <v>0</v>
      </c>
    </row>
    <row r="60" spans="3:8" x14ac:dyDescent="0.2">
      <c r="C60" s="379">
        <f>List!C10</f>
        <v>5</v>
      </c>
      <c r="D60" s="163" t="str">
        <f>List!B10</f>
        <v>Private Outdoor Lighting</v>
      </c>
      <c r="E60" s="371" t="s">
        <v>154</v>
      </c>
      <c r="F60" s="215">
        <f>'Present and Proposed Rates'!M32</f>
        <v>0</v>
      </c>
      <c r="G60" s="248">
        <f>'Present and Proposed Rates'!L32</f>
        <v>0</v>
      </c>
    </row>
    <row r="61" spans="3:8" x14ac:dyDescent="0.2">
      <c r="C61" s="379">
        <f>List!C11</f>
        <v>6</v>
      </c>
      <c r="D61" s="163" t="str">
        <f>List!B11</f>
        <v>Street &amp; Hwy Lights</v>
      </c>
      <c r="E61" s="371" t="s">
        <v>154</v>
      </c>
      <c r="F61" s="215">
        <f>'Present and Proposed Rates'!M38</f>
        <v>0</v>
      </c>
      <c r="G61" s="248">
        <f>'Present and Proposed Rates'!L38</f>
        <v>0</v>
      </c>
    </row>
    <row r="62" spans="3:8" x14ac:dyDescent="0.2">
      <c r="D62" s="217" t="s">
        <v>85</v>
      </c>
      <c r="E62" s="372" t="s">
        <v>154</v>
      </c>
      <c r="F62" s="224" t="s">
        <v>154</v>
      </c>
      <c r="G62" s="239">
        <f>'Present and Proposed Rates'!L43</f>
        <v>2.0605378556277264E-2</v>
      </c>
    </row>
  </sheetData>
  <mergeCells count="6">
    <mergeCell ref="I5:J5"/>
    <mergeCell ref="E5:F5"/>
    <mergeCell ref="E41:F41"/>
    <mergeCell ref="F53:G53"/>
    <mergeCell ref="C40:F40"/>
    <mergeCell ref="C52:G52"/>
  </mergeCells>
  <pageMargins left="0.7" right="0.7" top="0.75" bottom="0.75" header="0.3" footer="0.3"/>
  <pageSetup scale="8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94E6F-7C79-4E17-9C38-EA4F8A7E5B12}">
  <sheetPr>
    <tabColor theme="5" tint="0.59999389629810485"/>
    <pageSetUpPr fitToPage="1"/>
  </sheetPr>
  <dimension ref="A1:V73"/>
  <sheetViews>
    <sheetView zoomScaleNormal="100" workbookViewId="0">
      <pane ySplit="6" topLeftCell="A43" activePane="bottomLeft" state="frozen"/>
      <selection activeCell="F68" sqref="F68"/>
      <selection pane="bottomLeft" activeCell="F68" sqref="F68"/>
    </sheetView>
  </sheetViews>
  <sheetFormatPr defaultColWidth="21.5703125" defaultRowHeight="15.75" x14ac:dyDescent="0.25"/>
  <cols>
    <col min="1" max="1" width="25.42578125" style="252" customWidth="1"/>
    <col min="2" max="10" width="21.28515625" style="251" customWidth="1"/>
    <col min="11" max="11" width="21.5703125" style="251"/>
    <col min="12" max="12" width="21.5703125" style="252"/>
    <col min="13" max="13" width="14.42578125" style="269" customWidth="1"/>
    <col min="14" max="14" width="14" style="269" bestFit="1" customWidth="1"/>
    <col min="15" max="15" width="12.28515625" style="269" bestFit="1" customWidth="1"/>
    <col min="16" max="16" width="20.85546875" style="269" bestFit="1" customWidth="1"/>
    <col min="17" max="17" width="20.85546875" style="269" customWidth="1"/>
    <col min="18" max="18" width="21.140625" style="269" bestFit="1" customWidth="1"/>
    <col min="19" max="19" width="19" style="269" bestFit="1" customWidth="1"/>
    <col min="20" max="20" width="20.7109375" style="269" bestFit="1" customWidth="1"/>
    <col min="21" max="21" width="12.28515625" style="269" bestFit="1" customWidth="1"/>
    <col min="22" max="16384" width="21.5703125" style="252"/>
  </cols>
  <sheetData>
    <row r="1" spans="1:21" x14ac:dyDescent="0.25">
      <c r="A1" s="250" t="s">
        <v>157</v>
      </c>
      <c r="M1" s="251"/>
      <c r="N1" s="251"/>
      <c r="O1" s="251"/>
      <c r="P1" s="252"/>
      <c r="Q1" s="252"/>
      <c r="R1" s="252"/>
      <c r="S1" s="252"/>
      <c r="T1" s="252"/>
      <c r="U1" s="252"/>
    </row>
    <row r="2" spans="1:21" x14ac:dyDescent="0.25">
      <c r="A2" s="253" t="s">
        <v>209</v>
      </c>
      <c r="M2" s="254" t="s">
        <v>210</v>
      </c>
      <c r="N2" s="251"/>
      <c r="O2" s="251"/>
      <c r="P2" s="252"/>
      <c r="Q2" s="252"/>
      <c r="R2" s="252"/>
      <c r="S2" s="252"/>
      <c r="T2" s="252"/>
      <c r="U2" s="252"/>
    </row>
    <row r="3" spans="1:21" x14ac:dyDescent="0.25">
      <c r="A3" s="250" t="s">
        <v>158</v>
      </c>
      <c r="B3" s="255" t="s">
        <v>211</v>
      </c>
      <c r="C3" s="256" t="s">
        <v>212</v>
      </c>
      <c r="D3" s="257" t="s">
        <v>213</v>
      </c>
      <c r="E3" s="255" t="s">
        <v>214</v>
      </c>
      <c r="F3" s="256" t="s">
        <v>214</v>
      </c>
      <c r="G3" s="256"/>
      <c r="H3" s="256" t="s">
        <v>215</v>
      </c>
      <c r="I3" s="257">
        <v>6</v>
      </c>
      <c r="J3" s="258" t="s">
        <v>216</v>
      </c>
      <c r="M3" s="259">
        <v>1</v>
      </c>
      <c r="N3" s="259">
        <v>2</v>
      </c>
      <c r="O3" s="259">
        <v>3</v>
      </c>
      <c r="P3" s="259" t="s">
        <v>106</v>
      </c>
      <c r="Q3" s="256" t="s">
        <v>214</v>
      </c>
      <c r="R3" s="259">
        <v>4</v>
      </c>
      <c r="S3" s="259">
        <v>5</v>
      </c>
      <c r="T3" s="259">
        <v>6</v>
      </c>
      <c r="U3" s="259"/>
    </row>
    <row r="4" spans="1:21" x14ac:dyDescent="0.25">
      <c r="A4" s="250" t="s">
        <v>3</v>
      </c>
      <c r="B4" s="257" t="s">
        <v>217</v>
      </c>
      <c r="C4" s="257" t="s">
        <v>97</v>
      </c>
      <c r="D4" s="257" t="s">
        <v>98</v>
      </c>
      <c r="E4" s="257" t="s">
        <v>218</v>
      </c>
      <c r="F4" s="257" t="s">
        <v>219</v>
      </c>
      <c r="G4" s="257" t="s">
        <v>220</v>
      </c>
      <c r="H4" s="257" t="s">
        <v>99</v>
      </c>
      <c r="I4" s="257" t="s">
        <v>155</v>
      </c>
      <c r="J4" s="257" t="s">
        <v>221</v>
      </c>
      <c r="M4" s="257" t="s">
        <v>104</v>
      </c>
      <c r="N4" s="257" t="s">
        <v>97</v>
      </c>
      <c r="O4" s="257" t="s">
        <v>105</v>
      </c>
      <c r="P4" s="257" t="s">
        <v>98</v>
      </c>
      <c r="Q4" s="257" t="s">
        <v>219</v>
      </c>
      <c r="R4" s="257" t="s">
        <v>99</v>
      </c>
      <c r="S4" s="257" t="s">
        <v>159</v>
      </c>
      <c r="T4" s="257" t="s">
        <v>155</v>
      </c>
      <c r="U4" s="257" t="s">
        <v>66</v>
      </c>
    </row>
    <row r="5" spans="1:21" x14ac:dyDescent="0.25">
      <c r="A5" s="260" t="s">
        <v>222</v>
      </c>
      <c r="B5" s="261">
        <v>20</v>
      </c>
      <c r="C5" s="261">
        <v>30</v>
      </c>
      <c r="D5" s="261">
        <v>50</v>
      </c>
      <c r="E5" s="262">
        <v>40</v>
      </c>
      <c r="F5" s="262">
        <v>80</v>
      </c>
      <c r="G5" s="262"/>
      <c r="H5" s="262">
        <v>81</v>
      </c>
      <c r="I5" s="261">
        <v>90</v>
      </c>
      <c r="J5" s="263"/>
      <c r="M5" s="262">
        <v>20</v>
      </c>
      <c r="N5" s="262">
        <v>30</v>
      </c>
      <c r="O5" s="251">
        <v>40</v>
      </c>
      <c r="P5" s="252">
        <v>50</v>
      </c>
      <c r="Q5" s="262">
        <v>80</v>
      </c>
      <c r="R5" s="252">
        <v>81</v>
      </c>
      <c r="S5" s="252"/>
      <c r="T5" s="252">
        <v>90</v>
      </c>
      <c r="U5" s="252"/>
    </row>
    <row r="6" spans="1:21" x14ac:dyDescent="0.25">
      <c r="A6" s="250" t="s">
        <v>223</v>
      </c>
      <c r="B6" s="264">
        <v>440.1</v>
      </c>
      <c r="C6" s="264">
        <v>442.1</v>
      </c>
      <c r="D6" s="264">
        <v>442.11</v>
      </c>
      <c r="E6" s="265">
        <v>442.2</v>
      </c>
      <c r="F6" s="265">
        <v>442.3</v>
      </c>
      <c r="G6" s="265">
        <v>442.35</v>
      </c>
      <c r="H6" s="265">
        <v>442.4</v>
      </c>
      <c r="I6" s="264">
        <v>444</v>
      </c>
      <c r="J6" s="257"/>
      <c r="M6" s="264"/>
      <c r="N6" s="257"/>
      <c r="O6" s="251"/>
      <c r="P6" s="252"/>
      <c r="Q6" s="265"/>
      <c r="R6" s="252"/>
      <c r="S6" s="252"/>
      <c r="T6" s="252"/>
      <c r="U6" s="252"/>
    </row>
    <row r="7" spans="1:21" x14ac:dyDescent="0.25">
      <c r="B7" s="266"/>
      <c r="C7" s="266"/>
      <c r="D7" s="266"/>
      <c r="E7" s="267"/>
      <c r="F7" s="267"/>
      <c r="G7" s="267"/>
      <c r="H7" s="267"/>
      <c r="I7" s="268"/>
      <c r="J7" s="263"/>
    </row>
    <row r="8" spans="1:21" x14ac:dyDescent="0.25">
      <c r="A8" s="250" t="s">
        <v>160</v>
      </c>
      <c r="B8" s="266"/>
      <c r="C8" s="266"/>
      <c r="D8" s="266"/>
      <c r="E8" s="267"/>
      <c r="F8" s="267"/>
      <c r="G8" s="267"/>
      <c r="H8" s="267"/>
      <c r="I8" s="268"/>
      <c r="J8" s="263"/>
    </row>
    <row r="9" spans="1:21" x14ac:dyDescent="0.25">
      <c r="A9" s="252" t="s">
        <v>161</v>
      </c>
      <c r="B9" s="270">
        <v>29067</v>
      </c>
      <c r="C9" s="270">
        <v>1838</v>
      </c>
      <c r="D9" s="270">
        <v>4</v>
      </c>
      <c r="E9" s="270">
        <v>394</v>
      </c>
      <c r="F9" s="270">
        <v>8</v>
      </c>
      <c r="G9" s="270">
        <v>1</v>
      </c>
      <c r="H9" s="270">
        <v>3</v>
      </c>
      <c r="I9" s="270">
        <v>6</v>
      </c>
      <c r="J9" s="271">
        <f t="shared" ref="J9:J20" si="0">SUM(B9:I9)</f>
        <v>31321</v>
      </c>
    </row>
    <row r="10" spans="1:21" x14ac:dyDescent="0.25">
      <c r="A10" s="252" t="s">
        <v>162</v>
      </c>
      <c r="B10" s="270">
        <v>29075</v>
      </c>
      <c r="C10" s="270">
        <v>1831</v>
      </c>
      <c r="D10" s="270">
        <v>4</v>
      </c>
      <c r="E10" s="270">
        <v>393</v>
      </c>
      <c r="F10" s="270">
        <v>8</v>
      </c>
      <c r="G10" s="270">
        <v>1</v>
      </c>
      <c r="H10" s="270">
        <v>3</v>
      </c>
      <c r="I10" s="270">
        <v>6</v>
      </c>
      <c r="J10" s="271">
        <f t="shared" si="0"/>
        <v>31321</v>
      </c>
    </row>
    <row r="11" spans="1:21" x14ac:dyDescent="0.25">
      <c r="A11" s="252" t="s">
        <v>163</v>
      </c>
      <c r="B11" s="270">
        <v>29111</v>
      </c>
      <c r="C11" s="270">
        <v>1817</v>
      </c>
      <c r="D11" s="270">
        <v>4</v>
      </c>
      <c r="E11" s="270">
        <v>391</v>
      </c>
      <c r="F11" s="270">
        <v>8</v>
      </c>
      <c r="G11" s="270">
        <v>1</v>
      </c>
      <c r="H11" s="270">
        <v>4</v>
      </c>
      <c r="I11" s="270">
        <v>6</v>
      </c>
      <c r="J11" s="271">
        <f t="shared" si="0"/>
        <v>31342</v>
      </c>
    </row>
    <row r="12" spans="1:21" x14ac:dyDescent="0.25">
      <c r="A12" s="252" t="s">
        <v>164</v>
      </c>
      <c r="B12" s="270">
        <v>29125</v>
      </c>
      <c r="C12" s="270">
        <v>1809</v>
      </c>
      <c r="D12" s="270">
        <v>4</v>
      </c>
      <c r="E12" s="270">
        <v>392</v>
      </c>
      <c r="F12" s="270">
        <v>8</v>
      </c>
      <c r="G12" s="270">
        <v>1</v>
      </c>
      <c r="H12" s="270">
        <v>5</v>
      </c>
      <c r="I12" s="270">
        <v>6</v>
      </c>
      <c r="J12" s="271">
        <f t="shared" si="0"/>
        <v>31350</v>
      </c>
    </row>
    <row r="13" spans="1:21" x14ac:dyDescent="0.25">
      <c r="A13" s="252" t="s">
        <v>165</v>
      </c>
      <c r="B13" s="270">
        <v>29170</v>
      </c>
      <c r="C13" s="270">
        <v>1812</v>
      </c>
      <c r="D13" s="270">
        <v>4</v>
      </c>
      <c r="E13" s="270">
        <v>391</v>
      </c>
      <c r="F13" s="270">
        <v>8</v>
      </c>
      <c r="G13" s="270">
        <v>1</v>
      </c>
      <c r="H13" s="270">
        <v>5</v>
      </c>
      <c r="I13" s="270">
        <v>6</v>
      </c>
      <c r="J13" s="271">
        <f t="shared" si="0"/>
        <v>31397</v>
      </c>
    </row>
    <row r="14" spans="1:21" x14ac:dyDescent="0.25">
      <c r="A14" s="252" t="s">
        <v>166</v>
      </c>
      <c r="B14" s="270">
        <v>29240</v>
      </c>
      <c r="C14" s="270">
        <v>1815</v>
      </c>
      <c r="D14" s="270">
        <v>4</v>
      </c>
      <c r="E14" s="270">
        <v>394</v>
      </c>
      <c r="F14" s="270">
        <v>8</v>
      </c>
      <c r="G14" s="270">
        <v>1</v>
      </c>
      <c r="H14" s="270">
        <v>5</v>
      </c>
      <c r="I14" s="270">
        <v>6</v>
      </c>
      <c r="J14" s="271">
        <f t="shared" si="0"/>
        <v>31473</v>
      </c>
    </row>
    <row r="15" spans="1:21" x14ac:dyDescent="0.25">
      <c r="A15" s="252" t="s">
        <v>167</v>
      </c>
      <c r="B15" s="270">
        <v>29290</v>
      </c>
      <c r="C15" s="270">
        <v>1818</v>
      </c>
      <c r="D15" s="270">
        <v>4</v>
      </c>
      <c r="E15" s="270">
        <v>394</v>
      </c>
      <c r="F15" s="270">
        <v>8</v>
      </c>
      <c r="G15" s="270">
        <v>1</v>
      </c>
      <c r="H15" s="270">
        <v>5</v>
      </c>
      <c r="I15" s="270">
        <v>6</v>
      </c>
      <c r="J15" s="271">
        <f t="shared" si="0"/>
        <v>31526</v>
      </c>
    </row>
    <row r="16" spans="1:21" x14ac:dyDescent="0.25">
      <c r="A16" s="252" t="s">
        <v>168</v>
      </c>
      <c r="B16" s="270">
        <v>29309</v>
      </c>
      <c r="C16" s="270">
        <v>1818</v>
      </c>
      <c r="D16" s="270">
        <v>4</v>
      </c>
      <c r="E16" s="270">
        <v>395</v>
      </c>
      <c r="F16" s="270">
        <v>8</v>
      </c>
      <c r="G16" s="270">
        <v>1</v>
      </c>
      <c r="H16" s="270">
        <v>5</v>
      </c>
      <c r="I16" s="270">
        <v>6</v>
      </c>
      <c r="J16" s="271">
        <f t="shared" si="0"/>
        <v>31546</v>
      </c>
    </row>
    <row r="17" spans="1:22" x14ac:dyDescent="0.25">
      <c r="A17" s="252" t="s">
        <v>169</v>
      </c>
      <c r="B17" s="270">
        <v>29340</v>
      </c>
      <c r="C17" s="270">
        <v>1822</v>
      </c>
      <c r="D17" s="270">
        <v>4</v>
      </c>
      <c r="E17" s="270">
        <v>395</v>
      </c>
      <c r="F17" s="270">
        <v>8</v>
      </c>
      <c r="G17" s="270">
        <v>1</v>
      </c>
      <c r="H17" s="270">
        <v>5</v>
      </c>
      <c r="I17" s="270">
        <v>6</v>
      </c>
      <c r="J17" s="271">
        <f t="shared" si="0"/>
        <v>31581</v>
      </c>
    </row>
    <row r="18" spans="1:22" x14ac:dyDescent="0.25">
      <c r="A18" s="252" t="s">
        <v>170</v>
      </c>
      <c r="B18" s="270">
        <v>29390</v>
      </c>
      <c r="C18" s="270">
        <v>1825</v>
      </c>
      <c r="D18" s="270">
        <v>4</v>
      </c>
      <c r="E18" s="270">
        <v>397</v>
      </c>
      <c r="F18" s="270">
        <v>8</v>
      </c>
      <c r="G18" s="270">
        <v>1</v>
      </c>
      <c r="H18" s="270">
        <v>5</v>
      </c>
      <c r="I18" s="270">
        <v>6</v>
      </c>
      <c r="J18" s="271">
        <f t="shared" si="0"/>
        <v>31636</v>
      </c>
    </row>
    <row r="19" spans="1:22" x14ac:dyDescent="0.25">
      <c r="A19" s="252" t="s">
        <v>171</v>
      </c>
      <c r="B19" s="270">
        <v>29428</v>
      </c>
      <c r="C19" s="270">
        <v>1811</v>
      </c>
      <c r="D19" s="270">
        <v>4</v>
      </c>
      <c r="E19" s="270">
        <v>396</v>
      </c>
      <c r="F19" s="270">
        <v>8</v>
      </c>
      <c r="G19" s="270">
        <v>1</v>
      </c>
      <c r="H19" s="270">
        <v>5</v>
      </c>
      <c r="I19" s="270">
        <v>6</v>
      </c>
      <c r="J19" s="271">
        <f t="shared" si="0"/>
        <v>31659</v>
      </c>
    </row>
    <row r="20" spans="1:22" x14ac:dyDescent="0.25">
      <c r="A20" s="252" t="s">
        <v>172</v>
      </c>
      <c r="B20" s="272">
        <v>29430</v>
      </c>
      <c r="C20" s="272">
        <v>1807</v>
      </c>
      <c r="D20" s="272">
        <v>4</v>
      </c>
      <c r="E20" s="272">
        <v>396</v>
      </c>
      <c r="F20" s="272">
        <v>8</v>
      </c>
      <c r="G20" s="272">
        <v>1</v>
      </c>
      <c r="H20" s="272">
        <v>5</v>
      </c>
      <c r="I20" s="272">
        <v>6</v>
      </c>
      <c r="J20" s="273">
        <f t="shared" si="0"/>
        <v>31657</v>
      </c>
    </row>
    <row r="21" spans="1:22" x14ac:dyDescent="0.25">
      <c r="A21" s="252" t="s">
        <v>173</v>
      </c>
      <c r="B21" s="271">
        <f t="shared" ref="B21:J21" si="1">SUM(B9:B20)</f>
        <v>350975</v>
      </c>
      <c r="C21" s="271">
        <f t="shared" si="1"/>
        <v>21823</v>
      </c>
      <c r="D21" s="271">
        <f t="shared" si="1"/>
        <v>48</v>
      </c>
      <c r="E21" s="271">
        <f t="shared" si="1"/>
        <v>4728</v>
      </c>
      <c r="F21" s="271">
        <f t="shared" si="1"/>
        <v>96</v>
      </c>
      <c r="G21" s="271">
        <f t="shared" si="1"/>
        <v>12</v>
      </c>
      <c r="H21" s="271">
        <f t="shared" si="1"/>
        <v>55</v>
      </c>
      <c r="I21" s="271">
        <f t="shared" si="1"/>
        <v>72</v>
      </c>
      <c r="J21" s="271">
        <f t="shared" si="1"/>
        <v>377809</v>
      </c>
    </row>
    <row r="23" spans="1:22" x14ac:dyDescent="0.25">
      <c r="A23" s="250" t="s">
        <v>174</v>
      </c>
      <c r="B23" s="252"/>
      <c r="C23" s="274"/>
      <c r="D23" s="274"/>
      <c r="E23" s="252"/>
      <c r="F23" s="252"/>
      <c r="G23" s="252"/>
      <c r="H23" s="252"/>
      <c r="I23" s="252"/>
      <c r="J23" s="252"/>
    </row>
    <row r="24" spans="1:22" x14ac:dyDescent="0.25">
      <c r="A24" s="252" t="s">
        <v>161</v>
      </c>
      <c r="B24" s="275">
        <f>-4219177+44575903+5391254</f>
        <v>45747980</v>
      </c>
      <c r="C24" s="275">
        <f>-275859+2578879+311904</f>
        <v>2614924</v>
      </c>
      <c r="D24" s="275">
        <f>-152321+102454+12391</f>
        <v>-37476</v>
      </c>
      <c r="E24" s="275">
        <f>-556006+4763712+576149</f>
        <v>4783855</v>
      </c>
      <c r="F24" s="275">
        <f>-77693+76276+630662</f>
        <v>629245</v>
      </c>
      <c r="G24" s="275">
        <f>13513580+25285100</f>
        <v>38798680</v>
      </c>
      <c r="H24" s="275">
        <f>-61131+375364+45399</f>
        <v>359632</v>
      </c>
      <c r="I24" s="275">
        <f>-10856+87588+10593</f>
        <v>87325</v>
      </c>
      <c r="J24" s="276">
        <f t="shared" ref="J24:J35" si="2">SUM(B24:I24)</f>
        <v>92984165</v>
      </c>
      <c r="M24" s="277">
        <v>-679391</v>
      </c>
      <c r="N24" s="278">
        <v>-126854</v>
      </c>
      <c r="O24" s="278">
        <v>-33154</v>
      </c>
      <c r="P24" s="278">
        <v>-1614</v>
      </c>
      <c r="Q24" s="278">
        <v>-1942</v>
      </c>
      <c r="R24" s="278">
        <v>-4264</v>
      </c>
      <c r="S24" s="278">
        <v>847219</v>
      </c>
      <c r="T24" s="278"/>
      <c r="U24" s="278">
        <f>SUM(M24:T24)</f>
        <v>0</v>
      </c>
      <c r="V24" s="279"/>
    </row>
    <row r="25" spans="1:22" x14ac:dyDescent="0.25">
      <c r="A25" s="252" t="s">
        <v>162</v>
      </c>
      <c r="B25" s="275">
        <f>-5391254+30832620+4270205</f>
        <v>29711571</v>
      </c>
      <c r="C25" s="275">
        <f>-311904+2199641+304642</f>
        <v>2192379</v>
      </c>
      <c r="D25" s="275">
        <f>-12391+93134+12899</f>
        <v>93642</v>
      </c>
      <c r="E25" s="275">
        <f>-576149+4687046+649139</f>
        <v>4760036</v>
      </c>
      <c r="F25" s="275">
        <f>-76276+668902+92640</f>
        <v>685266</v>
      </c>
      <c r="G25" s="275">
        <f>13863583+24764399</f>
        <v>38627982</v>
      </c>
      <c r="H25" s="275">
        <f>-45399+520068+72028</f>
        <v>546697</v>
      </c>
      <c r="I25" s="275">
        <f>-10593+87588+12131</f>
        <v>89126</v>
      </c>
      <c r="J25" s="276">
        <f t="shared" si="2"/>
        <v>76706699</v>
      </c>
      <c r="M25" s="278">
        <v>-677985</v>
      </c>
      <c r="N25" s="278">
        <v>-124229</v>
      </c>
      <c r="O25" s="278">
        <v>-33112</v>
      </c>
      <c r="P25" s="278">
        <v>-1614</v>
      </c>
      <c r="Q25" s="278">
        <v>-1942</v>
      </c>
      <c r="R25" s="278">
        <v>-4368</v>
      </c>
      <c r="S25" s="278">
        <v>843250</v>
      </c>
      <c r="T25" s="278"/>
      <c r="U25" s="278">
        <f t="shared" ref="U25:U36" si="3">SUM(M25:T25)</f>
        <v>0</v>
      </c>
      <c r="V25" s="279"/>
    </row>
    <row r="26" spans="1:22" x14ac:dyDescent="0.25">
      <c r="A26" s="252" t="s">
        <v>163</v>
      </c>
      <c r="B26" s="275">
        <f>-4270205+24599561+3393811</f>
        <v>23723167</v>
      </c>
      <c r="C26" s="275">
        <f>-304642+1954697+269674</f>
        <v>1919729</v>
      </c>
      <c r="D26" s="275">
        <f>-12899+77718+10722</f>
        <v>75541</v>
      </c>
      <c r="E26" s="275">
        <f>-649139+4153628+573044</f>
        <v>4077533</v>
      </c>
      <c r="F26" s="275">
        <f>-92640+588202+81150</f>
        <v>576712</v>
      </c>
      <c r="G26" s="275">
        <f>14318808+25018577</f>
        <v>39337385</v>
      </c>
      <c r="H26" s="275">
        <f>-72028+505368+69722</f>
        <v>503062</v>
      </c>
      <c r="I26" s="275">
        <f>-12131+87588+12084</f>
        <v>87541</v>
      </c>
      <c r="J26" s="276">
        <f t="shared" si="2"/>
        <v>70300670</v>
      </c>
      <c r="M26" s="278">
        <v>-677454</v>
      </c>
      <c r="N26" s="278">
        <v>-123230</v>
      </c>
      <c r="O26" s="278">
        <v>-32874</v>
      </c>
      <c r="P26" s="278">
        <f t="shared" ref="P26:R35" si="4">P25</f>
        <v>-1614</v>
      </c>
      <c r="Q26" s="278">
        <v>-1942</v>
      </c>
      <c r="R26" s="278">
        <v>-4368</v>
      </c>
      <c r="S26" s="278">
        <v>841482</v>
      </c>
      <c r="T26" s="278"/>
      <c r="U26" s="278">
        <f t="shared" si="3"/>
        <v>0</v>
      </c>
      <c r="V26" s="279"/>
    </row>
    <row r="27" spans="1:22" x14ac:dyDescent="0.25">
      <c r="A27" s="252" t="s">
        <v>164</v>
      </c>
      <c r="B27" s="275">
        <f>-3393811+3274168+21916975</f>
        <v>21797332</v>
      </c>
      <c r="C27" s="275">
        <f>-269674+1954109+291924</f>
        <v>1976359</v>
      </c>
      <c r="D27" s="275">
        <f>-10722+81302+12146</f>
        <v>82726</v>
      </c>
      <c r="E27" s="275">
        <f>-573044+4413244+659293</f>
        <v>4499493</v>
      </c>
      <c r="F27" s="275">
        <f>-81150+603262+90121</f>
        <v>612233</v>
      </c>
      <c r="G27" s="275">
        <f>15211649+24766403</f>
        <v>39978052</v>
      </c>
      <c r="H27" s="275">
        <f>-69722+577568+86283</f>
        <v>594129</v>
      </c>
      <c r="I27" s="275">
        <f>-12084+87588+13085</f>
        <v>88589</v>
      </c>
      <c r="J27" s="276">
        <f t="shared" si="2"/>
        <v>69628913</v>
      </c>
      <c r="M27" s="278">
        <v>-678387</v>
      </c>
      <c r="N27" s="278">
        <v>-123573</v>
      </c>
      <c r="O27" s="278">
        <v>-32934</v>
      </c>
      <c r="P27" s="278">
        <f t="shared" si="4"/>
        <v>-1614</v>
      </c>
      <c r="Q27" s="278">
        <v>-1942</v>
      </c>
      <c r="R27" s="278">
        <f t="shared" si="4"/>
        <v>-4368</v>
      </c>
      <c r="S27" s="278">
        <v>842818</v>
      </c>
      <c r="T27" s="278"/>
      <c r="U27" s="278">
        <f t="shared" si="3"/>
        <v>0</v>
      </c>
      <c r="V27" s="279"/>
    </row>
    <row r="28" spans="1:22" x14ac:dyDescent="0.25">
      <c r="A28" s="252" t="s">
        <v>165</v>
      </c>
      <c r="B28" s="275">
        <f>-3274168+21612979+3102067</f>
        <v>21440878</v>
      </c>
      <c r="C28" s="275">
        <f>-291924+2128761+305537</f>
        <v>2142374</v>
      </c>
      <c r="D28" s="275">
        <f>-12146+74648+10714</f>
        <v>73216</v>
      </c>
      <c r="E28" s="275">
        <f>-659293+4655931+668256</f>
        <v>4664894</v>
      </c>
      <c r="F28" s="275">
        <f>-90121+629162+90302</f>
        <v>629343</v>
      </c>
      <c r="G28" s="275">
        <f>14010572+27453093</f>
        <v>41463665</v>
      </c>
      <c r="H28" s="275">
        <f>-86283+542568+77874</f>
        <v>534159</v>
      </c>
      <c r="I28" s="275">
        <f>-13085+87588+12571</f>
        <v>87074</v>
      </c>
      <c r="J28" s="276">
        <f t="shared" si="2"/>
        <v>71035603</v>
      </c>
      <c r="M28" s="278">
        <v>-678584</v>
      </c>
      <c r="N28" s="278">
        <v>-124126</v>
      </c>
      <c r="O28" s="278">
        <v>-32904</v>
      </c>
      <c r="P28" s="278">
        <v>-1614</v>
      </c>
      <c r="Q28" s="278">
        <v>-1942</v>
      </c>
      <c r="R28" s="278">
        <f t="shared" si="4"/>
        <v>-4368</v>
      </c>
      <c r="S28" s="278">
        <v>843538</v>
      </c>
      <c r="T28" s="278"/>
      <c r="U28" s="278">
        <f t="shared" si="3"/>
        <v>0</v>
      </c>
      <c r="V28" s="279"/>
    </row>
    <row r="29" spans="1:22" x14ac:dyDescent="0.25">
      <c r="A29" s="252" t="s">
        <v>166</v>
      </c>
      <c r="B29" s="275">
        <f>-3102067+27613282+3699793</f>
        <v>28211008</v>
      </c>
      <c r="C29" s="275">
        <f>-305537+2548090+341408</f>
        <v>2583961</v>
      </c>
      <c r="D29" s="275">
        <f>-10714+77005+10318</f>
        <v>76609</v>
      </c>
      <c r="E29" s="275">
        <f>-668256+5145139+689377</f>
        <v>5166260</v>
      </c>
      <c r="F29" s="275">
        <f>-90302+624102+83621</f>
        <v>617421</v>
      </c>
      <c r="G29" s="275">
        <f>13958733+24999495</f>
        <v>38958228</v>
      </c>
      <c r="H29" s="275">
        <f>-77874+650368+87140</f>
        <v>659634</v>
      </c>
      <c r="I29" s="275">
        <f>-12571+87588+11736</f>
        <v>86753</v>
      </c>
      <c r="J29" s="276">
        <f t="shared" si="2"/>
        <v>76359874</v>
      </c>
      <c r="M29" s="278">
        <v>-677833</v>
      </c>
      <c r="N29" s="278">
        <v>-123950</v>
      </c>
      <c r="O29" s="278">
        <v>-32914</v>
      </c>
      <c r="P29" s="278">
        <v>-1614</v>
      </c>
      <c r="Q29" s="278">
        <v>-1942</v>
      </c>
      <c r="R29" s="278">
        <f t="shared" si="4"/>
        <v>-4368</v>
      </c>
      <c r="S29" s="278">
        <v>842621</v>
      </c>
      <c r="T29" s="278"/>
      <c r="U29" s="278">
        <f t="shared" si="3"/>
        <v>0</v>
      </c>
      <c r="V29" s="279"/>
    </row>
    <row r="30" spans="1:22" x14ac:dyDescent="0.25">
      <c r="A30" s="252" t="s">
        <v>167</v>
      </c>
      <c r="B30" s="275">
        <f>-3699793+31812930+4248957</f>
        <v>32362094</v>
      </c>
      <c r="C30" s="275">
        <f>-341408+2786566+372176</f>
        <v>2817334</v>
      </c>
      <c r="D30" s="275">
        <f>-10318+85033+11357</f>
        <v>86072</v>
      </c>
      <c r="E30" s="275">
        <f>-689377+5426236+724732</f>
        <v>5461591</v>
      </c>
      <c r="F30" s="275">
        <f>-83621+597422+79792</f>
        <v>593593</v>
      </c>
      <c r="G30" s="275">
        <f>13895549+27920728</f>
        <v>41816277</v>
      </c>
      <c r="H30" s="275">
        <f>-87140+571968+76392</f>
        <v>561220</v>
      </c>
      <c r="I30" s="275">
        <f>-11736+87588+11698</f>
        <v>87550</v>
      </c>
      <c r="J30" s="276">
        <f t="shared" si="2"/>
        <v>83785731</v>
      </c>
      <c r="M30" s="278">
        <v>-679638</v>
      </c>
      <c r="N30" s="278">
        <v>-124417</v>
      </c>
      <c r="O30" s="278">
        <v>-32904</v>
      </c>
      <c r="P30" s="278">
        <v>-1614</v>
      </c>
      <c r="Q30" s="278">
        <v>-1942</v>
      </c>
      <c r="R30" s="278">
        <f t="shared" si="4"/>
        <v>-4368</v>
      </c>
      <c r="S30" s="278">
        <v>844883</v>
      </c>
      <c r="T30" s="278"/>
      <c r="U30" s="278">
        <f t="shared" si="3"/>
        <v>0</v>
      </c>
      <c r="V30" s="279"/>
    </row>
    <row r="31" spans="1:22" x14ac:dyDescent="0.25">
      <c r="A31" s="252" t="s">
        <v>168</v>
      </c>
      <c r="B31" s="275">
        <f>-4248957+4167500+30639352</f>
        <v>30557895</v>
      </c>
      <c r="C31" s="275">
        <f>-372176+2722442+370301</f>
        <v>2720567</v>
      </c>
      <c r="D31" s="275">
        <f>-11357+85770+11666</f>
        <v>86079</v>
      </c>
      <c r="E31" s="275">
        <f>-724732+5575820+758411</f>
        <v>5609499</v>
      </c>
      <c r="F31" s="275">
        <f>-79792+710162+96595</f>
        <v>726965</v>
      </c>
      <c r="G31" s="275">
        <f>16523335+30753732</f>
        <v>47277067</v>
      </c>
      <c r="H31" s="275">
        <f>-76392+524064+71282</f>
        <v>518954</v>
      </c>
      <c r="I31" s="275">
        <f>-11698+87588+11914</f>
        <v>87804</v>
      </c>
      <c r="J31" s="276">
        <f t="shared" si="2"/>
        <v>87584830</v>
      </c>
      <c r="M31" s="278">
        <v>-678582</v>
      </c>
      <c r="N31" s="278">
        <v>-124777</v>
      </c>
      <c r="O31" s="278">
        <v>-32904</v>
      </c>
      <c r="P31" s="278">
        <v>-1614</v>
      </c>
      <c r="Q31" s="278">
        <v>-1942</v>
      </c>
      <c r="R31" s="278">
        <v>-4264</v>
      </c>
      <c r="S31" s="278">
        <v>844083</v>
      </c>
      <c r="T31" s="278"/>
      <c r="U31" s="278">
        <f t="shared" si="3"/>
        <v>0</v>
      </c>
      <c r="V31" s="279"/>
    </row>
    <row r="32" spans="1:22" x14ac:dyDescent="0.25">
      <c r="A32" s="252" t="s">
        <v>169</v>
      </c>
      <c r="B32" s="275">
        <f>-4167500+26041911+4145731</f>
        <v>26020142</v>
      </c>
      <c r="C32" s="275">
        <f>-370301+2385802+379807</f>
        <v>2395308</v>
      </c>
      <c r="D32" s="275">
        <f>-11666+92931+14794</f>
        <v>96059</v>
      </c>
      <c r="E32" s="275">
        <f>-758411+5567196+886267</f>
        <v>5695052</v>
      </c>
      <c r="F32" s="275">
        <f>-96595+668222+106377</f>
        <v>678004</v>
      </c>
      <c r="G32" s="275">
        <f>14863976+31012492</f>
        <v>45876468</v>
      </c>
      <c r="H32" s="275">
        <f>-71282+731492+116450</f>
        <v>776660</v>
      </c>
      <c r="I32" s="275">
        <f>-11914+87588+13944</f>
        <v>89618</v>
      </c>
      <c r="J32" s="276">
        <f t="shared" si="2"/>
        <v>81627311</v>
      </c>
      <c r="M32" s="278">
        <v>-678954</v>
      </c>
      <c r="N32" s="278">
        <v>-125389</v>
      </c>
      <c r="O32" s="278">
        <v>-32904</v>
      </c>
      <c r="P32" s="278">
        <f t="shared" si="4"/>
        <v>-1614</v>
      </c>
      <c r="Q32" s="278">
        <v>-1942</v>
      </c>
      <c r="R32" s="278">
        <v>-4492</v>
      </c>
      <c r="S32" s="278">
        <v>845295</v>
      </c>
      <c r="T32" s="278"/>
      <c r="U32" s="278">
        <f t="shared" si="3"/>
        <v>0</v>
      </c>
      <c r="V32" s="279"/>
    </row>
    <row r="33" spans="1:22" x14ac:dyDescent="0.25">
      <c r="A33" s="252" t="s">
        <v>170</v>
      </c>
      <c r="B33" s="275">
        <f>-4145731+20713671+3045475</f>
        <v>19613415</v>
      </c>
      <c r="C33" s="275">
        <f>-379807+2001669+294300</f>
        <v>1916162</v>
      </c>
      <c r="D33" s="275">
        <f>-14794+84960+12491</f>
        <v>82657</v>
      </c>
      <c r="E33" s="275">
        <f>-886267+4863939+715132</f>
        <v>4692804</v>
      </c>
      <c r="F33" s="275">
        <f>-106377+538962+79242</f>
        <v>511827</v>
      </c>
      <c r="G33" s="275">
        <f>19863789+33007621</f>
        <v>52871410</v>
      </c>
      <c r="H33" s="275">
        <f>-116450+607068+89256</f>
        <v>579874</v>
      </c>
      <c r="I33" s="275">
        <f>-13944+87588+12878</f>
        <v>86522</v>
      </c>
      <c r="J33" s="276">
        <f t="shared" si="2"/>
        <v>80354671</v>
      </c>
      <c r="M33" s="278">
        <v>-679190</v>
      </c>
      <c r="N33" s="278">
        <v>-124518</v>
      </c>
      <c r="O33" s="278">
        <v>-32904</v>
      </c>
      <c r="P33" s="278">
        <f t="shared" si="4"/>
        <v>-1614</v>
      </c>
      <c r="Q33" s="278">
        <v>-1942</v>
      </c>
      <c r="R33" s="278">
        <v>-4368</v>
      </c>
      <c r="S33" s="278">
        <v>844536</v>
      </c>
      <c r="T33" s="278"/>
      <c r="U33" s="278">
        <f t="shared" si="3"/>
        <v>0</v>
      </c>
      <c r="V33" s="279"/>
    </row>
    <row r="34" spans="1:22" x14ac:dyDescent="0.25">
      <c r="A34" s="252" t="s">
        <v>171</v>
      </c>
      <c r="B34" s="275">
        <f>-3045475+23992148+3028751</f>
        <v>23975424</v>
      </c>
      <c r="C34" s="275">
        <f>-294300+1903821+240337</f>
        <v>1849858</v>
      </c>
      <c r="D34" s="275">
        <f>-12491+83044+10483</f>
        <v>81036</v>
      </c>
      <c r="E34" s="275">
        <f>-715132+4626995+584109</f>
        <v>4495972</v>
      </c>
      <c r="F34" s="275">
        <f>-79242+525574+66348</f>
        <v>512680</v>
      </c>
      <c r="G34" s="275">
        <f>17321194+32466659</f>
        <v>49787853</v>
      </c>
      <c r="H34" s="275">
        <f>-89256+679868+85826</f>
        <v>676438</v>
      </c>
      <c r="I34" s="275">
        <f>-12878+87468+11042</f>
        <v>85632</v>
      </c>
      <c r="J34" s="276">
        <f t="shared" si="2"/>
        <v>81464893</v>
      </c>
      <c r="M34" s="278">
        <v>-679425</v>
      </c>
      <c r="N34" s="278">
        <v>-123846</v>
      </c>
      <c r="O34" s="278">
        <v>-33049</v>
      </c>
      <c r="P34" s="278">
        <f t="shared" si="4"/>
        <v>-1614</v>
      </c>
      <c r="Q34" s="278">
        <v>-1974</v>
      </c>
      <c r="R34" s="278">
        <f t="shared" si="4"/>
        <v>-4368</v>
      </c>
      <c r="S34" s="278">
        <v>844276</v>
      </c>
      <c r="T34" s="278"/>
      <c r="U34" s="278">
        <f t="shared" si="3"/>
        <v>0</v>
      </c>
      <c r="V34" s="279"/>
    </row>
    <row r="35" spans="1:22" x14ac:dyDescent="0.25">
      <c r="A35" s="252" t="s">
        <v>172</v>
      </c>
      <c r="B35" s="280">
        <f>-3028751+37009322+4694548</f>
        <v>38675119</v>
      </c>
      <c r="C35" s="280">
        <f>-240337+2258780+286521</f>
        <v>2304964</v>
      </c>
      <c r="D35" s="280">
        <f>-10483+101921+12928</f>
        <v>104366</v>
      </c>
      <c r="E35" s="280">
        <f>-584109+4628160+587072</f>
        <v>4631123</v>
      </c>
      <c r="F35" s="280">
        <f>-66348+73430+578882</f>
        <v>585964</v>
      </c>
      <c r="G35" s="280">
        <f>18203014+34882475</f>
        <v>53085489</v>
      </c>
      <c r="H35" s="280">
        <f>-85826+706868+89665</f>
        <v>710707</v>
      </c>
      <c r="I35" s="280">
        <f>-11042+87488+11098</f>
        <v>87544</v>
      </c>
      <c r="J35" s="281">
        <f t="shared" si="2"/>
        <v>100185276</v>
      </c>
      <c r="M35" s="278">
        <v>-680697</v>
      </c>
      <c r="N35" s="278">
        <v>-124182</v>
      </c>
      <c r="O35" s="278">
        <v>-32904</v>
      </c>
      <c r="P35" s="278">
        <f t="shared" si="4"/>
        <v>-1614</v>
      </c>
      <c r="Q35" s="278">
        <v>-1942</v>
      </c>
      <c r="R35" s="278">
        <f t="shared" si="4"/>
        <v>-4368</v>
      </c>
      <c r="S35" s="278">
        <v>845707</v>
      </c>
      <c r="T35" s="278"/>
      <c r="U35" s="278">
        <f t="shared" si="3"/>
        <v>0</v>
      </c>
      <c r="V35" s="279"/>
    </row>
    <row r="36" spans="1:22" s="276" customFormat="1" x14ac:dyDescent="0.25">
      <c r="A36" s="276" t="s">
        <v>173</v>
      </c>
      <c r="B36" s="271">
        <f t="shared" ref="B36:J36" si="5">SUM(B24:B35)</f>
        <v>341836025</v>
      </c>
      <c r="C36" s="271">
        <f t="shared" si="5"/>
        <v>27433919</v>
      </c>
      <c r="D36" s="271">
        <f t="shared" si="5"/>
        <v>900527</v>
      </c>
      <c r="E36" s="271">
        <f t="shared" si="5"/>
        <v>58538112</v>
      </c>
      <c r="F36" s="271">
        <f t="shared" si="5"/>
        <v>7359253</v>
      </c>
      <c r="G36" s="271">
        <f t="shared" si="5"/>
        <v>527878556</v>
      </c>
      <c r="H36" s="271">
        <f t="shared" si="5"/>
        <v>7021166</v>
      </c>
      <c r="I36" s="271">
        <f t="shared" si="5"/>
        <v>1051078</v>
      </c>
      <c r="J36" s="276">
        <f t="shared" si="5"/>
        <v>972018636</v>
      </c>
      <c r="K36" s="271"/>
      <c r="M36" s="282">
        <f>SUM(M24:M35)</f>
        <v>-8146120</v>
      </c>
      <c r="N36" s="282">
        <f t="shared" ref="N36:T36" si="6">SUM(N24:N35)</f>
        <v>-1493091</v>
      </c>
      <c r="O36" s="282">
        <f t="shared" si="6"/>
        <v>-395461</v>
      </c>
      <c r="P36" s="282">
        <f t="shared" si="6"/>
        <v>-19368</v>
      </c>
      <c r="Q36" s="282">
        <f t="shared" si="6"/>
        <v>-23336</v>
      </c>
      <c r="R36" s="282">
        <f t="shared" si="6"/>
        <v>-52332</v>
      </c>
      <c r="S36" s="282">
        <f t="shared" si="6"/>
        <v>10129708</v>
      </c>
      <c r="T36" s="282">
        <f t="shared" si="6"/>
        <v>0</v>
      </c>
      <c r="U36" s="282">
        <f t="shared" si="3"/>
        <v>0</v>
      </c>
    </row>
    <row r="38" spans="1:22" x14ac:dyDescent="0.25">
      <c r="A38" s="250" t="s">
        <v>175</v>
      </c>
      <c r="B38" s="252"/>
      <c r="C38" s="274"/>
      <c r="D38" s="274"/>
      <c r="E38" s="252"/>
      <c r="F38" s="252"/>
      <c r="G38" s="252"/>
      <c r="H38" s="252"/>
      <c r="I38" s="252"/>
      <c r="J38" s="252"/>
    </row>
    <row r="39" spans="1:22" x14ac:dyDescent="0.25">
      <c r="A39" s="252" t="s">
        <v>161</v>
      </c>
      <c r="B39" s="283">
        <v>0</v>
      </c>
      <c r="C39" s="283">
        <v>0</v>
      </c>
      <c r="D39" s="284">
        <v>317.83999999999997</v>
      </c>
      <c r="E39" s="284">
        <v>16792.366999999998</v>
      </c>
      <c r="F39" s="284">
        <v>3174.12</v>
      </c>
      <c r="G39" s="284"/>
      <c r="H39" s="284">
        <v>3179.7</v>
      </c>
      <c r="I39" s="284"/>
      <c r="J39" s="285">
        <f t="shared" ref="J39:J50" si="7">SUM(B39:I39)</f>
        <v>23464.026999999998</v>
      </c>
    </row>
    <row r="40" spans="1:22" x14ac:dyDescent="0.25">
      <c r="A40" s="252" t="s">
        <v>162</v>
      </c>
      <c r="B40" s="283">
        <v>0</v>
      </c>
      <c r="C40" s="283">
        <v>0</v>
      </c>
      <c r="D40" s="284">
        <v>268.64800000000002</v>
      </c>
      <c r="E40" s="284">
        <v>16287.717000000001</v>
      </c>
      <c r="F40" s="284">
        <v>3091.18</v>
      </c>
      <c r="G40" s="284"/>
      <c r="H40" s="284">
        <v>3123.9</v>
      </c>
      <c r="I40" s="284"/>
      <c r="J40" s="285">
        <f t="shared" si="7"/>
        <v>22771.445000000003</v>
      </c>
    </row>
    <row r="41" spans="1:22" x14ac:dyDescent="0.25">
      <c r="A41" s="252" t="s">
        <v>163</v>
      </c>
      <c r="B41" s="283">
        <v>0</v>
      </c>
      <c r="C41" s="283">
        <v>0</v>
      </c>
      <c r="D41" s="284">
        <v>296.88799999999998</v>
      </c>
      <c r="E41" s="284">
        <v>15524.088</v>
      </c>
      <c r="F41" s="284">
        <v>3015.2</v>
      </c>
      <c r="G41" s="284"/>
      <c r="H41" s="284">
        <v>3310.2</v>
      </c>
      <c r="I41" s="284"/>
      <c r="J41" s="285">
        <f t="shared" si="7"/>
        <v>22146.376</v>
      </c>
    </row>
    <row r="42" spans="1:22" x14ac:dyDescent="0.25">
      <c r="A42" s="252" t="s">
        <v>164</v>
      </c>
      <c r="B42" s="283">
        <v>0</v>
      </c>
      <c r="C42" s="283">
        <v>0</v>
      </c>
      <c r="D42" s="284">
        <v>250.232</v>
      </c>
      <c r="E42" s="284">
        <v>16341.778</v>
      </c>
      <c r="F42" s="284">
        <v>3074.8</v>
      </c>
      <c r="G42" s="284"/>
      <c r="H42" s="284">
        <v>3463.1</v>
      </c>
      <c r="I42" s="284"/>
      <c r="J42" s="285">
        <f t="shared" si="7"/>
        <v>23129.91</v>
      </c>
    </row>
    <row r="43" spans="1:22" x14ac:dyDescent="0.25">
      <c r="A43" s="252" t="s">
        <v>165</v>
      </c>
      <c r="B43" s="283">
        <v>0</v>
      </c>
      <c r="C43" s="283">
        <v>0</v>
      </c>
      <c r="D43" s="284">
        <v>209.143</v>
      </c>
      <c r="E43" s="284">
        <v>17422.643</v>
      </c>
      <c r="F43" s="284">
        <v>3204.84</v>
      </c>
      <c r="G43" s="284"/>
      <c r="H43" s="284">
        <v>3247</v>
      </c>
      <c r="I43" s="284"/>
      <c r="J43" s="285">
        <f t="shared" si="7"/>
        <v>24083.626</v>
      </c>
    </row>
    <row r="44" spans="1:22" x14ac:dyDescent="0.25">
      <c r="A44" s="252" t="s">
        <v>166</v>
      </c>
      <c r="B44" s="283">
        <v>0</v>
      </c>
      <c r="C44" s="283">
        <v>0</v>
      </c>
      <c r="D44" s="284">
        <v>248.46899999999999</v>
      </c>
      <c r="E44" s="284">
        <v>17684.488000000001</v>
      </c>
      <c r="F44" s="284">
        <v>3306.92</v>
      </c>
      <c r="G44" s="284"/>
      <c r="H44" s="284">
        <v>3481.4</v>
      </c>
      <c r="I44" s="284"/>
      <c r="J44" s="285">
        <f t="shared" si="7"/>
        <v>24721.277000000002</v>
      </c>
    </row>
    <row r="45" spans="1:22" x14ac:dyDescent="0.25">
      <c r="A45" s="252" t="s">
        <v>167</v>
      </c>
      <c r="B45" s="283">
        <v>0</v>
      </c>
      <c r="C45" s="283">
        <v>0</v>
      </c>
      <c r="D45" s="284">
        <v>287.50099999999998</v>
      </c>
      <c r="E45" s="284">
        <v>17521.574000000001</v>
      </c>
      <c r="F45" s="284">
        <v>3037.98</v>
      </c>
      <c r="G45" s="284"/>
      <c r="H45" s="284">
        <v>3386.3</v>
      </c>
      <c r="I45" s="284"/>
      <c r="J45" s="285">
        <f t="shared" si="7"/>
        <v>24233.355</v>
      </c>
    </row>
    <row r="46" spans="1:22" x14ac:dyDescent="0.25">
      <c r="A46" s="252" t="s">
        <v>168</v>
      </c>
      <c r="B46" s="283">
        <v>0</v>
      </c>
      <c r="C46" s="283">
        <v>0</v>
      </c>
      <c r="D46" s="284">
        <v>254.245</v>
      </c>
      <c r="E46" s="284">
        <v>18435.919999999998</v>
      </c>
      <c r="F46" s="284">
        <v>3540.52</v>
      </c>
      <c r="G46" s="284"/>
      <c r="H46" s="284">
        <v>3472.1</v>
      </c>
      <c r="I46" s="284"/>
      <c r="J46" s="285">
        <f t="shared" si="7"/>
        <v>25702.784999999996</v>
      </c>
    </row>
    <row r="47" spans="1:22" x14ac:dyDescent="0.25">
      <c r="A47" s="252" t="s">
        <v>169</v>
      </c>
      <c r="B47" s="283">
        <v>0</v>
      </c>
      <c r="C47" s="283">
        <v>0</v>
      </c>
      <c r="D47" s="284">
        <v>310.233</v>
      </c>
      <c r="E47" s="284">
        <v>19368.974999999999</v>
      </c>
      <c r="F47" s="284">
        <v>3509.6</v>
      </c>
      <c r="G47" s="284"/>
      <c r="H47" s="284">
        <v>3564.9</v>
      </c>
      <c r="I47" s="284"/>
      <c r="J47" s="285">
        <f t="shared" si="7"/>
        <v>26753.707999999999</v>
      </c>
    </row>
    <row r="48" spans="1:22" x14ac:dyDescent="0.25">
      <c r="A48" s="252" t="s">
        <v>170</v>
      </c>
      <c r="B48" s="283">
        <v>0</v>
      </c>
      <c r="C48" s="283">
        <v>0</v>
      </c>
      <c r="D48" s="284">
        <v>315.56200000000001</v>
      </c>
      <c r="E48" s="284">
        <v>18531.182000000001</v>
      </c>
      <c r="F48" s="284">
        <v>3175.96</v>
      </c>
      <c r="G48" s="284"/>
      <c r="H48" s="284">
        <v>3744.4</v>
      </c>
      <c r="I48" s="284"/>
      <c r="J48" s="285">
        <f t="shared" si="7"/>
        <v>25767.104000000003</v>
      </c>
    </row>
    <row r="49" spans="1:22" x14ac:dyDescent="0.25">
      <c r="A49" s="252" t="s">
        <v>171</v>
      </c>
      <c r="B49" s="283">
        <v>0</v>
      </c>
      <c r="C49" s="283">
        <v>0</v>
      </c>
      <c r="D49" s="284">
        <v>269.60500000000002</v>
      </c>
      <c r="E49" s="284">
        <v>17214.837</v>
      </c>
      <c r="F49" s="284">
        <v>2438.86</v>
      </c>
      <c r="G49" s="284"/>
      <c r="H49" s="284">
        <v>3754.2</v>
      </c>
      <c r="I49" s="284"/>
      <c r="J49" s="285">
        <f t="shared" si="7"/>
        <v>23677.502</v>
      </c>
    </row>
    <row r="50" spans="1:22" x14ac:dyDescent="0.25">
      <c r="A50" s="252" t="s">
        <v>172</v>
      </c>
      <c r="B50" s="286">
        <v>0</v>
      </c>
      <c r="C50" s="286">
        <v>0</v>
      </c>
      <c r="D50" s="287">
        <v>304.67399999999998</v>
      </c>
      <c r="E50" s="287">
        <v>16426.088</v>
      </c>
      <c r="F50" s="287">
        <v>2407.7399999999998</v>
      </c>
      <c r="G50" s="287"/>
      <c r="H50" s="287">
        <v>3818.7</v>
      </c>
      <c r="I50" s="287"/>
      <c r="J50" s="288">
        <f t="shared" si="7"/>
        <v>22957.202000000001</v>
      </c>
    </row>
    <row r="51" spans="1:22" x14ac:dyDescent="0.25">
      <c r="A51" s="252" t="s">
        <v>173</v>
      </c>
      <c r="B51" s="289">
        <f t="shared" ref="B51:J51" si="8">SUM(B39:B50)</f>
        <v>0</v>
      </c>
      <c r="C51" s="289">
        <f t="shared" si="8"/>
        <v>0</v>
      </c>
      <c r="D51" s="290">
        <f t="shared" si="8"/>
        <v>3333.04</v>
      </c>
      <c r="E51" s="290">
        <f t="shared" si="8"/>
        <v>207551.65700000001</v>
      </c>
      <c r="F51" s="290">
        <f t="shared" si="8"/>
        <v>36977.719999999994</v>
      </c>
      <c r="G51" s="290"/>
      <c r="H51" s="290">
        <f t="shared" si="8"/>
        <v>41545.899999999994</v>
      </c>
      <c r="I51" s="290">
        <f t="shared" si="8"/>
        <v>0</v>
      </c>
      <c r="J51" s="285">
        <f t="shared" si="8"/>
        <v>289408.31699999998</v>
      </c>
    </row>
    <row r="52" spans="1:22" x14ac:dyDescent="0.25">
      <c r="B52" s="289"/>
      <c r="C52" s="289"/>
      <c r="D52" s="289"/>
      <c r="E52" s="289"/>
      <c r="F52" s="289"/>
      <c r="G52" s="289"/>
      <c r="H52" s="289"/>
      <c r="I52" s="289"/>
      <c r="J52" s="291"/>
    </row>
    <row r="53" spans="1:22" x14ac:dyDescent="0.25">
      <c r="A53" s="250" t="s">
        <v>176</v>
      </c>
      <c r="B53" s="252"/>
      <c r="C53" s="252"/>
      <c r="D53" s="292"/>
      <c r="E53" s="292"/>
      <c r="F53" s="292"/>
      <c r="G53" s="292"/>
      <c r="H53" s="292"/>
      <c r="I53" s="252"/>
      <c r="J53" s="252"/>
    </row>
    <row r="54" spans="1:22" x14ac:dyDescent="0.25">
      <c r="A54" s="252" t="s">
        <v>161</v>
      </c>
      <c r="B54" s="293">
        <v>6317487.7199999997</v>
      </c>
      <c r="C54" s="293">
        <v>372808.81</v>
      </c>
      <c r="D54" s="293">
        <v>-2087.6999999999998</v>
      </c>
      <c r="E54" s="293">
        <v>627366.89</v>
      </c>
      <c r="F54" s="293">
        <v>90461.27</v>
      </c>
      <c r="G54" s="293">
        <v>1635933.13</v>
      </c>
      <c r="H54" s="293">
        <v>65099.78</v>
      </c>
      <c r="I54" s="293">
        <v>11801.46</v>
      </c>
      <c r="J54" s="294">
        <f t="shared" ref="J54:J65" si="9">SUM(B54:I54)</f>
        <v>9118871.3599999975</v>
      </c>
      <c r="M54" s="277">
        <v>-103675.21</v>
      </c>
      <c r="N54" s="278">
        <v>-15747.69</v>
      </c>
      <c r="O54" s="278">
        <v>-4262.21</v>
      </c>
      <c r="P54" s="278">
        <v>-181.69</v>
      </c>
      <c r="Q54" s="278">
        <v>-209.09</v>
      </c>
      <c r="R54" s="278">
        <v>-613.79</v>
      </c>
      <c r="S54" s="278">
        <f>134750.8-10061.12</f>
        <v>124689.68</v>
      </c>
      <c r="T54" s="278"/>
      <c r="U54" s="278">
        <f>SUM(M54:T54)</f>
        <v>0</v>
      </c>
      <c r="V54" s="279"/>
    </row>
    <row r="55" spans="1:22" x14ac:dyDescent="0.25">
      <c r="A55" s="252" t="s">
        <v>162</v>
      </c>
      <c r="B55" s="293">
        <v>3957463.15</v>
      </c>
      <c r="C55" s="293">
        <v>319173.65000000002</v>
      </c>
      <c r="D55" s="293">
        <v>11407.21</v>
      </c>
      <c r="E55" s="293">
        <v>622900.09</v>
      </c>
      <c r="F55" s="293">
        <v>94440.87</v>
      </c>
      <c r="G55" s="293">
        <v>1649310.95</v>
      </c>
      <c r="H55" s="293">
        <v>80001.52</v>
      </c>
      <c r="I55" s="293">
        <v>12012.95</v>
      </c>
      <c r="J55" s="294">
        <f t="shared" si="9"/>
        <v>6746710.3899999997</v>
      </c>
      <c r="M55" s="278">
        <v>-103463.97</v>
      </c>
      <c r="N55" s="278">
        <v>-15359.31</v>
      </c>
      <c r="O55" s="278">
        <v>-4257.83</v>
      </c>
      <c r="P55" s="278">
        <v>-181.69</v>
      </c>
      <c r="Q55" s="278">
        <v>-209.09</v>
      </c>
      <c r="R55" s="278">
        <v>-624.74</v>
      </c>
      <c r="S55" s="278">
        <f>-10061.12+134157.75</f>
        <v>124096.63</v>
      </c>
      <c r="T55" s="278"/>
      <c r="U55" s="278">
        <f t="shared" ref="U55:U66" si="10">SUM(M55:T55)</f>
        <v>0</v>
      </c>
      <c r="V55" s="279"/>
    </row>
    <row r="56" spans="1:22" x14ac:dyDescent="0.25">
      <c r="A56" s="252" t="s">
        <v>163</v>
      </c>
      <c r="B56" s="293">
        <v>3628312.81</v>
      </c>
      <c r="C56" s="293">
        <v>296279.81</v>
      </c>
      <c r="D56" s="293">
        <v>10664.42</v>
      </c>
      <c r="E56" s="293">
        <v>575303.32999999996</v>
      </c>
      <c r="F56" s="293">
        <v>87365.49</v>
      </c>
      <c r="G56" s="293">
        <v>1650327.17</v>
      </c>
      <c r="H56" s="293">
        <v>82662.47</v>
      </c>
      <c r="I56" s="293">
        <v>12353.25</v>
      </c>
      <c r="J56" s="294">
        <f t="shared" si="9"/>
        <v>6343268.75</v>
      </c>
      <c r="M56" s="278">
        <v>-103379.14</v>
      </c>
      <c r="N56" s="278">
        <v>-15255.87</v>
      </c>
      <c r="O56" s="278">
        <v>-4232.3999999999996</v>
      </c>
      <c r="P56" s="278">
        <v>-181.69</v>
      </c>
      <c r="Q56" s="278">
        <v>-209.09</v>
      </c>
      <c r="R56" s="278">
        <v>-637.78</v>
      </c>
      <c r="S56" s="278">
        <f>-10061.12+133957.09</f>
        <v>123895.97</v>
      </c>
      <c r="T56" s="278"/>
      <c r="U56" s="278">
        <f t="shared" si="10"/>
        <v>0</v>
      </c>
      <c r="V56" s="279"/>
    </row>
    <row r="57" spans="1:22" x14ac:dyDescent="0.25">
      <c r="A57" s="252" t="s">
        <v>164</v>
      </c>
      <c r="B57" s="293">
        <v>3163580.37</v>
      </c>
      <c r="C57" s="293">
        <v>315470.69</v>
      </c>
      <c r="D57" s="293">
        <v>11176.68</v>
      </c>
      <c r="E57" s="293">
        <v>651898.71</v>
      </c>
      <c r="F57" s="293">
        <v>95083.66</v>
      </c>
      <c r="G57" s="293">
        <v>1686415.13</v>
      </c>
      <c r="H57" s="293">
        <v>95188.27</v>
      </c>
      <c r="I57" s="293">
        <v>12973.12</v>
      </c>
      <c r="J57" s="294">
        <f t="shared" si="9"/>
        <v>6031786.6299999999</v>
      </c>
      <c r="M57" s="278">
        <v>-103527.16</v>
      </c>
      <c r="N57" s="278">
        <v>-15289.99</v>
      </c>
      <c r="O57" s="278">
        <v>-4239.46</v>
      </c>
      <c r="P57" s="278">
        <v>-181.69</v>
      </c>
      <c r="Q57" s="278">
        <v>-209.09</v>
      </c>
      <c r="R57" s="278">
        <v>-634.28</v>
      </c>
      <c r="S57" s="278">
        <f>-10061.12+134142.79</f>
        <v>124081.67000000001</v>
      </c>
      <c r="T57" s="278"/>
      <c r="U57" s="278">
        <f t="shared" si="10"/>
        <v>0</v>
      </c>
      <c r="V57" s="279"/>
    </row>
    <row r="58" spans="1:22" x14ac:dyDescent="0.25">
      <c r="A58" s="252" t="s">
        <v>165</v>
      </c>
      <c r="B58" s="293">
        <v>2991290.7</v>
      </c>
      <c r="C58" s="293">
        <v>320872.99</v>
      </c>
      <c r="D58" s="293">
        <v>9210.76</v>
      </c>
      <c r="E58" s="293">
        <v>641690.53</v>
      </c>
      <c r="F58" s="293">
        <v>93029.42</v>
      </c>
      <c r="G58" s="293">
        <v>1718193.46</v>
      </c>
      <c r="H58" s="293">
        <v>82458.91</v>
      </c>
      <c r="I58" s="293">
        <v>12113.24</v>
      </c>
      <c r="J58" s="294">
        <f t="shared" si="9"/>
        <v>5868860.0100000007</v>
      </c>
      <c r="M58" s="278">
        <v>-103550.86</v>
      </c>
      <c r="N58" s="278">
        <v>-15346.75</v>
      </c>
      <c r="O58" s="278">
        <v>-4235.93</v>
      </c>
      <c r="P58" s="278">
        <v>-181.69</v>
      </c>
      <c r="Q58" s="278">
        <v>-209.09</v>
      </c>
      <c r="R58" s="278">
        <v>-634.28</v>
      </c>
      <c r="S58" s="278">
        <f>-10061.12+134219.72</f>
        <v>124158.6</v>
      </c>
      <c r="T58" s="278"/>
      <c r="U58" s="278">
        <f t="shared" si="10"/>
        <v>0</v>
      </c>
      <c r="V58" s="279"/>
    </row>
    <row r="59" spans="1:22" x14ac:dyDescent="0.25">
      <c r="A59" s="252" t="s">
        <v>166</v>
      </c>
      <c r="B59" s="293">
        <v>3867934.95</v>
      </c>
      <c r="C59" s="293">
        <v>351502.9</v>
      </c>
      <c r="D59" s="293">
        <v>9380.98</v>
      </c>
      <c r="E59" s="293">
        <v>636122.59</v>
      </c>
      <c r="F59" s="293">
        <v>86657.98</v>
      </c>
      <c r="G59" s="293">
        <v>1657198.55</v>
      </c>
      <c r="H59" s="293">
        <v>89423.33</v>
      </c>
      <c r="I59" s="293">
        <v>11182.23</v>
      </c>
      <c r="J59" s="294">
        <f t="shared" si="9"/>
        <v>6709403.5100000016</v>
      </c>
      <c r="M59" s="278">
        <v>-103432.37</v>
      </c>
      <c r="N59" s="278">
        <v>-15320.55</v>
      </c>
      <c r="O59" s="278">
        <v>-4237.03</v>
      </c>
      <c r="P59" s="278">
        <v>-181.69</v>
      </c>
      <c r="Q59" s="278">
        <v>-209.09</v>
      </c>
      <c r="R59" s="278">
        <v>-634.28</v>
      </c>
      <c r="S59" s="278">
        <f>-10061.12+134076.13</f>
        <v>124015.01000000001</v>
      </c>
      <c r="T59" s="278"/>
      <c r="U59" s="278">
        <f t="shared" si="10"/>
        <v>0</v>
      </c>
      <c r="V59" s="279"/>
    </row>
    <row r="60" spans="1:22" x14ac:dyDescent="0.25">
      <c r="A60" s="252" t="s">
        <v>167</v>
      </c>
      <c r="B60" s="295">
        <v>4472236.01</v>
      </c>
      <c r="C60" s="295">
        <v>380659</v>
      </c>
      <c r="D60" s="295">
        <v>10499.13</v>
      </c>
      <c r="E60" s="295">
        <v>660838.15</v>
      </c>
      <c r="F60" s="295">
        <v>81873.98</v>
      </c>
      <c r="G60" s="293">
        <v>1751524.32</v>
      </c>
      <c r="H60" s="295">
        <v>81282.91</v>
      </c>
      <c r="I60" s="295">
        <v>11327.57</v>
      </c>
      <c r="J60" s="294">
        <f t="shared" si="9"/>
        <v>7450241.0700000012</v>
      </c>
      <c r="M60" s="278">
        <v>-103687.43</v>
      </c>
      <c r="N60" s="278">
        <v>-15383.62</v>
      </c>
      <c r="O60" s="278">
        <v>-4235.93</v>
      </c>
      <c r="P60" s="278">
        <v>-181.69</v>
      </c>
      <c r="Q60" s="278">
        <v>-209.09</v>
      </c>
      <c r="R60" s="278">
        <v>-634.28</v>
      </c>
      <c r="S60" s="278">
        <f>-10061.12+134393.16</f>
        <v>124332.04000000001</v>
      </c>
      <c r="T60" s="278"/>
      <c r="U60" s="278">
        <f t="shared" si="10"/>
        <v>0</v>
      </c>
      <c r="V60" s="279"/>
    </row>
    <row r="61" spans="1:22" x14ac:dyDescent="0.25">
      <c r="A61" s="252" t="s">
        <v>168</v>
      </c>
      <c r="B61" s="295">
        <v>4373998.63</v>
      </c>
      <c r="C61" s="295">
        <v>381492.11</v>
      </c>
      <c r="D61" s="295">
        <v>10418.06</v>
      </c>
      <c r="E61" s="295">
        <v>708319.95</v>
      </c>
      <c r="F61" s="295">
        <v>101969.83</v>
      </c>
      <c r="G61" s="293">
        <v>1913835.12</v>
      </c>
      <c r="H61" s="295">
        <v>81028.67</v>
      </c>
      <c r="I61" s="295">
        <v>11707.3</v>
      </c>
      <c r="J61" s="294">
        <f t="shared" si="9"/>
        <v>7582769.6699999999</v>
      </c>
      <c r="M61" s="278">
        <v>-103524.46</v>
      </c>
      <c r="N61" s="278">
        <v>-15424.67</v>
      </c>
      <c r="O61" s="278">
        <v>-4235.93</v>
      </c>
      <c r="P61" s="278">
        <v>-181.69</v>
      </c>
      <c r="Q61" s="278">
        <v>-209.09</v>
      </c>
      <c r="R61" s="278">
        <v>-594.15</v>
      </c>
      <c r="S61" s="278">
        <f>-10061.12+134231.11</f>
        <v>124169.98999999999</v>
      </c>
      <c r="T61" s="278"/>
      <c r="U61" s="278">
        <f t="shared" si="10"/>
        <v>0</v>
      </c>
      <c r="V61" s="279"/>
    </row>
    <row r="62" spans="1:22" x14ac:dyDescent="0.25">
      <c r="A62" s="252" t="s">
        <v>169</v>
      </c>
      <c r="B62" s="295">
        <v>3831347.13</v>
      </c>
      <c r="C62" s="295">
        <v>352909.71</v>
      </c>
      <c r="D62" s="295">
        <v>12488.31</v>
      </c>
      <c r="E62" s="295">
        <v>756323.19</v>
      </c>
      <c r="F62" s="295">
        <v>100843.79</v>
      </c>
      <c r="G62" s="293">
        <v>1872617.3</v>
      </c>
      <c r="H62" s="295">
        <v>107094.84</v>
      </c>
      <c r="I62" s="295">
        <v>12345.85</v>
      </c>
      <c r="J62" s="294">
        <f t="shared" si="9"/>
        <v>7045970.1199999992</v>
      </c>
      <c r="M62" s="278">
        <v>-103588.99</v>
      </c>
      <c r="N62" s="278">
        <v>-15492.9</v>
      </c>
      <c r="O62" s="278">
        <v>-4235.93</v>
      </c>
      <c r="P62" s="278">
        <v>-181.69</v>
      </c>
      <c r="Q62" s="278">
        <v>-209.09</v>
      </c>
      <c r="R62" s="278">
        <v>-689.78</v>
      </c>
      <c r="S62" s="278">
        <f>-10061.12+134459.5</f>
        <v>124398.38</v>
      </c>
      <c r="T62" s="278"/>
      <c r="U62" s="278">
        <f t="shared" si="10"/>
        <v>0</v>
      </c>
      <c r="V62" s="279"/>
    </row>
    <row r="63" spans="1:22" x14ac:dyDescent="0.25">
      <c r="A63" s="252" t="s">
        <v>170</v>
      </c>
      <c r="B63" s="295">
        <v>3128482.49</v>
      </c>
      <c r="C63" s="295">
        <v>305725.7</v>
      </c>
      <c r="D63" s="295">
        <v>11821.17</v>
      </c>
      <c r="E63" s="295">
        <v>684975.31</v>
      </c>
      <c r="F63" s="295">
        <v>84917.14</v>
      </c>
      <c r="G63" s="293">
        <v>2096040.54</v>
      </c>
      <c r="H63" s="295">
        <v>96026.91</v>
      </c>
      <c r="I63" s="295">
        <v>12593.95</v>
      </c>
      <c r="J63" s="294">
        <f t="shared" si="9"/>
        <v>6420583.2100000009</v>
      </c>
      <c r="M63" s="278">
        <v>-103601.93</v>
      </c>
      <c r="N63" s="278">
        <v>-15398.92</v>
      </c>
      <c r="O63" s="278">
        <v>-4235.93</v>
      </c>
      <c r="P63" s="278">
        <v>-181.69</v>
      </c>
      <c r="Q63" s="278">
        <v>-209.09</v>
      </c>
      <c r="R63" s="278">
        <v>-643.82000000000005</v>
      </c>
      <c r="S63" s="278">
        <f>-10061.12+134332.5</f>
        <v>124271.38</v>
      </c>
      <c r="T63" s="278"/>
      <c r="U63" s="278">
        <f t="shared" si="10"/>
        <v>0</v>
      </c>
      <c r="V63" s="279"/>
    </row>
    <row r="64" spans="1:22" x14ac:dyDescent="0.25">
      <c r="A64" s="252" t="s">
        <v>171</v>
      </c>
      <c r="B64" s="295">
        <v>3594206.45</v>
      </c>
      <c r="C64" s="295">
        <v>299841.94</v>
      </c>
      <c r="D64" s="295">
        <v>11251.27</v>
      </c>
      <c r="E64" s="295">
        <v>659991.31000000006</v>
      </c>
      <c r="F64" s="295">
        <v>77145.259999999995</v>
      </c>
      <c r="G64" s="293">
        <v>2007661.9</v>
      </c>
      <c r="H64" s="295">
        <v>105542.92</v>
      </c>
      <c r="I64" s="295">
        <v>12676.33</v>
      </c>
      <c r="J64" s="294">
        <f t="shared" si="9"/>
        <v>6768317.3800000008</v>
      </c>
      <c r="M64" s="278">
        <v>-103635.86</v>
      </c>
      <c r="N64" s="278">
        <v>-15302.51</v>
      </c>
      <c r="O64" s="278">
        <v>-4251.59</v>
      </c>
      <c r="P64" s="278">
        <v>-181.69</v>
      </c>
      <c r="Q64" s="278">
        <v>-212.77</v>
      </c>
      <c r="R64" s="278">
        <v>-644.46</v>
      </c>
      <c r="S64" s="278">
        <f>-10049.07+134277.95</f>
        <v>124228.88</v>
      </c>
      <c r="T64" s="278"/>
      <c r="U64" s="278">
        <f t="shared" si="10"/>
        <v>0</v>
      </c>
      <c r="V64" s="279"/>
    </row>
    <row r="65" spans="1:22" x14ac:dyDescent="0.25">
      <c r="A65" s="252" t="s">
        <v>172</v>
      </c>
      <c r="B65" s="296">
        <v>5457154.2599999998</v>
      </c>
      <c r="C65" s="296">
        <v>338662.67</v>
      </c>
      <c r="D65" s="296">
        <v>13019.18</v>
      </c>
      <c r="E65" s="296">
        <v>619765.16</v>
      </c>
      <c r="F65" s="296">
        <v>79915.5</v>
      </c>
      <c r="G65" s="296">
        <v>2094183.28</v>
      </c>
      <c r="H65" s="296">
        <v>103090.48</v>
      </c>
      <c r="I65" s="296">
        <v>12042.07</v>
      </c>
      <c r="J65" s="297">
        <f t="shared" si="9"/>
        <v>8717832.5999999996</v>
      </c>
      <c r="M65" s="278">
        <v>-103798.06</v>
      </c>
      <c r="N65" s="278">
        <v>-15349.16</v>
      </c>
      <c r="O65" s="278">
        <v>-4235.93</v>
      </c>
      <c r="P65" s="278">
        <v>-181.69</v>
      </c>
      <c r="Q65" s="278">
        <v>-209.09</v>
      </c>
      <c r="R65" s="278">
        <v>-653.36</v>
      </c>
      <c r="S65" s="278">
        <f>-10053.38+134480.67</f>
        <v>124427.29000000001</v>
      </c>
      <c r="T65" s="278"/>
      <c r="U65" s="278">
        <f t="shared" si="10"/>
        <v>0</v>
      </c>
      <c r="V65" s="279"/>
    </row>
    <row r="66" spans="1:22" x14ac:dyDescent="0.25">
      <c r="A66" s="252" t="s">
        <v>173</v>
      </c>
      <c r="B66" s="298">
        <f t="shared" ref="B66:J66" si="11">SUM(B54:B65)</f>
        <v>48783494.670000002</v>
      </c>
      <c r="C66" s="298">
        <f t="shared" si="11"/>
        <v>4035399.98</v>
      </c>
      <c r="D66" s="298">
        <f t="shared" si="11"/>
        <v>119249.47</v>
      </c>
      <c r="E66" s="298">
        <f t="shared" si="11"/>
        <v>7845495.2100000009</v>
      </c>
      <c r="F66" s="298">
        <f>SUM(F54:F65)</f>
        <v>1073704.19</v>
      </c>
      <c r="G66" s="298">
        <f>SUM(G54:G65)</f>
        <v>21733240.850000001</v>
      </c>
      <c r="H66" s="298">
        <f>SUM(H54:H65)</f>
        <v>1068901.01</v>
      </c>
      <c r="I66" s="298">
        <f t="shared" si="11"/>
        <v>145129.32</v>
      </c>
      <c r="J66" s="298">
        <f t="shared" si="11"/>
        <v>84804614.699999988</v>
      </c>
      <c r="M66" s="282">
        <f>SUM(M54:M65)</f>
        <v>-1242865.44</v>
      </c>
      <c r="N66" s="282">
        <f t="shared" ref="N66:T66" si="12">SUM(N54:N65)</f>
        <v>-184671.94000000003</v>
      </c>
      <c r="O66" s="282">
        <f t="shared" si="12"/>
        <v>-50896.1</v>
      </c>
      <c r="P66" s="282">
        <f t="shared" si="12"/>
        <v>-2180.2800000000002</v>
      </c>
      <c r="Q66" s="282">
        <f t="shared" si="12"/>
        <v>-2512.7599999999998</v>
      </c>
      <c r="R66" s="282">
        <f t="shared" si="12"/>
        <v>-7638.9999999999982</v>
      </c>
      <c r="S66" s="282">
        <f t="shared" si="12"/>
        <v>1490765.52</v>
      </c>
      <c r="T66" s="282">
        <f t="shared" si="12"/>
        <v>0</v>
      </c>
      <c r="U66" s="282">
        <f t="shared" si="10"/>
        <v>0</v>
      </c>
    </row>
    <row r="67" spans="1:22" x14ac:dyDescent="0.25">
      <c r="A67" s="252" t="s">
        <v>231</v>
      </c>
      <c r="B67" s="326">
        <f>B66+M66</f>
        <v>47540629.230000004</v>
      </c>
      <c r="C67" s="326">
        <f>C66+N66</f>
        <v>3850728.04</v>
      </c>
      <c r="D67" s="326">
        <f>D66+P66</f>
        <v>117069.19</v>
      </c>
      <c r="E67" s="326">
        <f>E66+O66</f>
        <v>7794599.1100000013</v>
      </c>
      <c r="F67" s="326">
        <f>F66+Q66</f>
        <v>1071191.43</v>
      </c>
      <c r="H67" s="326">
        <f>H66+R66</f>
        <v>1061262.01</v>
      </c>
      <c r="I67" s="326">
        <f>I66</f>
        <v>145129.32</v>
      </c>
    </row>
    <row r="68" spans="1:22" x14ac:dyDescent="0.25">
      <c r="B68" s="299" t="s">
        <v>224</v>
      </c>
      <c r="F68" s="326">
        <f>F67+E67</f>
        <v>8865790.540000001</v>
      </c>
    </row>
    <row r="69" spans="1:22" x14ac:dyDescent="0.25">
      <c r="C69" s="299" t="s">
        <v>225</v>
      </c>
    </row>
    <row r="70" spans="1:22" x14ac:dyDescent="0.25">
      <c r="A70" s="250"/>
      <c r="E70" s="299" t="s">
        <v>226</v>
      </c>
    </row>
    <row r="71" spans="1:22" x14ac:dyDescent="0.25">
      <c r="A71" s="250"/>
    </row>
    <row r="72" spans="1:22" x14ac:dyDescent="0.25">
      <c r="A72" s="250"/>
    </row>
    <row r="73" spans="1:22" x14ac:dyDescent="0.25">
      <c r="A73" s="403"/>
      <c r="B73" s="403"/>
    </row>
  </sheetData>
  <mergeCells count="1">
    <mergeCell ref="A73:B73"/>
  </mergeCells>
  <pageMargins left="0.7" right="0.7" top="0.75" bottom="0.75" header="0.3" footer="0.3"/>
  <pageSetup scale="4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D32DC-DC5A-4804-85DE-8F7256C4DE4A}">
  <sheetPr>
    <tabColor theme="5" tint="0.59999389629810485"/>
    <pageSetUpPr fitToPage="1"/>
  </sheetPr>
  <dimension ref="A1:R34"/>
  <sheetViews>
    <sheetView workbookViewId="0">
      <selection activeCell="F68" sqref="F68"/>
    </sheetView>
  </sheetViews>
  <sheetFormatPr defaultRowHeight="15" x14ac:dyDescent="0.25"/>
  <cols>
    <col min="1" max="1" width="34.7109375" style="269" bestFit="1" customWidth="1"/>
    <col min="2" max="2" width="10.7109375" style="269" bestFit="1" customWidth="1"/>
    <col min="3" max="3" width="13.5703125" style="300" bestFit="1" customWidth="1"/>
    <col min="4" max="5" width="12.5703125" style="301" bestFit="1" customWidth="1"/>
    <col min="6" max="6" width="12.5703125" style="278" bestFit="1" customWidth="1"/>
    <col min="7" max="8" width="12.5703125" style="301" bestFit="1" customWidth="1"/>
    <col min="9" max="9" width="12.5703125" style="278" bestFit="1" customWidth="1"/>
    <col min="10" max="11" width="12.5703125" style="301" bestFit="1" customWidth="1"/>
    <col min="12" max="12" width="12.5703125" style="278" bestFit="1" customWidth="1"/>
    <col min="13" max="14" width="12.5703125" style="301" bestFit="1" customWidth="1"/>
    <col min="15" max="15" width="12.5703125" style="278" bestFit="1" customWidth="1"/>
    <col min="16" max="16" width="14" bestFit="1" customWidth="1"/>
    <col min="17" max="17" width="12.28515625" bestFit="1" customWidth="1"/>
    <col min="18" max="18" width="14.28515625" bestFit="1" customWidth="1"/>
    <col min="19" max="16384" width="9.140625" style="269"/>
  </cols>
  <sheetData>
    <row r="1" spans="1:18" x14ac:dyDescent="0.25">
      <c r="A1" s="300" t="s">
        <v>227</v>
      </c>
      <c r="B1" s="300"/>
    </row>
    <row r="2" spans="1:18" x14ac:dyDescent="0.25">
      <c r="A2" s="302" t="s">
        <v>209</v>
      </c>
      <c r="B2" s="302"/>
      <c r="C2" s="302"/>
    </row>
    <row r="3" spans="1:18" x14ac:dyDescent="0.25">
      <c r="A3" s="300" t="s">
        <v>180</v>
      </c>
      <c r="B3" s="300"/>
    </row>
    <row r="4" spans="1:18" x14ac:dyDescent="0.25">
      <c r="A4" s="300"/>
      <c r="B4" s="300"/>
    </row>
    <row r="5" spans="1:18" x14ac:dyDescent="0.25">
      <c r="A5" s="303" t="s">
        <v>181</v>
      </c>
      <c r="B5" s="303"/>
      <c r="C5" s="303"/>
    </row>
    <row r="6" spans="1:18" s="300" customFormat="1" x14ac:dyDescent="0.25">
      <c r="B6" s="304" t="s">
        <v>182</v>
      </c>
      <c r="C6" s="305"/>
      <c r="D6" s="306" t="s">
        <v>161</v>
      </c>
      <c r="E6" s="306" t="s">
        <v>162</v>
      </c>
      <c r="F6" s="307" t="s">
        <v>163</v>
      </c>
      <c r="G6" s="306" t="s">
        <v>164</v>
      </c>
      <c r="H6" s="306" t="s">
        <v>165</v>
      </c>
      <c r="I6" s="307" t="s">
        <v>166</v>
      </c>
      <c r="J6" s="306" t="s">
        <v>167</v>
      </c>
      <c r="K6" s="306" t="s">
        <v>168</v>
      </c>
      <c r="L6" s="307" t="s">
        <v>169</v>
      </c>
      <c r="M6" s="306" t="s">
        <v>170</v>
      </c>
      <c r="N6" s="306" t="s">
        <v>171</v>
      </c>
      <c r="O6" s="307" t="s">
        <v>172</v>
      </c>
      <c r="P6" s="229" t="s">
        <v>85</v>
      </c>
      <c r="Q6" s="229" t="s">
        <v>152</v>
      </c>
      <c r="R6" s="229" t="s">
        <v>199</v>
      </c>
    </row>
    <row r="7" spans="1:18" x14ac:dyDescent="0.25">
      <c r="A7" s="300" t="s">
        <v>183</v>
      </c>
      <c r="B7" s="308">
        <v>10.93</v>
      </c>
      <c r="C7" s="305" t="s">
        <v>184</v>
      </c>
      <c r="D7" s="309">
        <v>9197</v>
      </c>
      <c r="E7" s="309">
        <v>9189</v>
      </c>
      <c r="F7" s="309">
        <v>9198</v>
      </c>
      <c r="G7" s="309">
        <v>9198</v>
      </c>
      <c r="H7" s="309">
        <v>9196</v>
      </c>
      <c r="I7" s="309">
        <v>9199</v>
      </c>
      <c r="J7" s="309">
        <v>9187</v>
      </c>
      <c r="K7" s="309">
        <v>9194</v>
      </c>
      <c r="L7" s="309">
        <v>9200</v>
      </c>
      <c r="M7" s="309">
        <v>9194</v>
      </c>
      <c r="N7" s="309">
        <v>9209</v>
      </c>
      <c r="O7" s="309">
        <v>9223</v>
      </c>
      <c r="P7" s="230">
        <f>SUM(D7:O7)</f>
        <v>110384</v>
      </c>
      <c r="Q7" s="230">
        <f>P7/12</f>
        <v>9198.6666666666661</v>
      </c>
      <c r="R7" s="231">
        <f>P7*B7</f>
        <v>1206497.1199999999</v>
      </c>
    </row>
    <row r="8" spans="1:18" x14ac:dyDescent="0.25">
      <c r="A8" s="300" t="s">
        <v>185</v>
      </c>
      <c r="B8" s="310">
        <v>16.420000000000002</v>
      </c>
      <c r="C8" s="305" t="s">
        <v>186</v>
      </c>
      <c r="D8" s="311">
        <v>1270</v>
      </c>
      <c r="E8" s="311">
        <v>1253</v>
      </c>
      <c r="F8" s="311">
        <v>1251</v>
      </c>
      <c r="G8" s="311">
        <v>1258</v>
      </c>
      <c r="H8" s="311">
        <v>1260</v>
      </c>
      <c r="I8" s="311">
        <v>1263</v>
      </c>
      <c r="J8" s="311">
        <v>1265</v>
      </c>
      <c r="K8" s="311">
        <v>1264</v>
      </c>
      <c r="L8" s="311">
        <v>1264</v>
      </c>
      <c r="M8" s="311">
        <v>1261</v>
      </c>
      <c r="N8" s="311">
        <v>1258</v>
      </c>
      <c r="O8" s="311">
        <v>1268</v>
      </c>
      <c r="P8" s="230">
        <f>SUM(D8:O8)</f>
        <v>15135</v>
      </c>
      <c r="Q8" s="230">
        <f>P8/12</f>
        <v>1261.25</v>
      </c>
      <c r="R8" s="231">
        <f>P8*B8</f>
        <v>248516.7</v>
      </c>
    </row>
    <row r="9" spans="1:18" x14ac:dyDescent="0.25">
      <c r="A9" s="300" t="s">
        <v>187</v>
      </c>
      <c r="B9" s="310">
        <v>4.7699999999999996</v>
      </c>
      <c r="C9" s="305" t="s">
        <v>188</v>
      </c>
      <c r="D9" s="311">
        <v>75</v>
      </c>
      <c r="E9" s="311">
        <v>75</v>
      </c>
      <c r="F9" s="311">
        <v>75</v>
      </c>
      <c r="G9" s="311">
        <v>74</v>
      </c>
      <c r="H9" s="311">
        <v>75</v>
      </c>
      <c r="I9" s="311">
        <v>75</v>
      </c>
      <c r="J9" s="311">
        <v>75</v>
      </c>
      <c r="K9" s="311">
        <v>75</v>
      </c>
      <c r="L9" s="311">
        <v>75</v>
      </c>
      <c r="M9" s="311">
        <v>74</v>
      </c>
      <c r="N9" s="311">
        <v>74</v>
      </c>
      <c r="O9" s="311">
        <v>74</v>
      </c>
      <c r="P9" s="230">
        <f>SUM(D9:O9)</f>
        <v>896</v>
      </c>
      <c r="Q9" s="230">
        <f>P9/12</f>
        <v>74.666666666666671</v>
      </c>
      <c r="R9" s="231">
        <f>P9*B9</f>
        <v>4273.92</v>
      </c>
    </row>
    <row r="10" spans="1:18" x14ac:dyDescent="0.25">
      <c r="A10" s="300" t="s">
        <v>189</v>
      </c>
      <c r="B10" s="310">
        <v>4.7699999999999996</v>
      </c>
      <c r="C10" s="305" t="s">
        <v>190</v>
      </c>
      <c r="D10" s="311">
        <v>142</v>
      </c>
      <c r="E10" s="311">
        <v>142</v>
      </c>
      <c r="F10" s="311">
        <v>143</v>
      </c>
      <c r="G10" s="311">
        <v>144</v>
      </c>
      <c r="H10" s="311">
        <v>144</v>
      </c>
      <c r="I10" s="311">
        <v>144</v>
      </c>
      <c r="J10" s="311">
        <v>144</v>
      </c>
      <c r="K10" s="311">
        <v>126</v>
      </c>
      <c r="L10" s="311">
        <v>146</v>
      </c>
      <c r="M10" s="311">
        <v>146</v>
      </c>
      <c r="N10" s="311">
        <v>146</v>
      </c>
      <c r="O10" s="311">
        <v>148</v>
      </c>
      <c r="P10" s="230">
        <f>SUM(D10:O10)</f>
        <v>1715</v>
      </c>
      <c r="Q10" s="230">
        <f>P10/12</f>
        <v>142.91666666666666</v>
      </c>
      <c r="R10" s="231">
        <f>P10*B10</f>
        <v>8180.5499999999993</v>
      </c>
    </row>
    <row r="11" spans="1:18" x14ac:dyDescent="0.25">
      <c r="C11" s="305"/>
      <c r="P11" s="225"/>
      <c r="Q11" s="225"/>
      <c r="R11" s="123">
        <f>SUM(R7:R10)</f>
        <v>1467468.2899999998</v>
      </c>
    </row>
    <row r="12" spans="1:18" x14ac:dyDescent="0.25">
      <c r="A12" s="303" t="s">
        <v>191</v>
      </c>
      <c r="B12" s="312"/>
      <c r="C12" s="313"/>
      <c r="P12" s="225"/>
      <c r="Q12" s="225"/>
    </row>
    <row r="13" spans="1:18" x14ac:dyDescent="0.25">
      <c r="C13" s="305"/>
      <c r="D13" s="306" t="s">
        <v>161</v>
      </c>
      <c r="E13" s="306" t="s">
        <v>162</v>
      </c>
      <c r="F13" s="307" t="s">
        <v>163</v>
      </c>
      <c r="G13" s="306" t="s">
        <v>164</v>
      </c>
      <c r="H13" s="306" t="s">
        <v>165</v>
      </c>
      <c r="I13" s="307" t="s">
        <v>166</v>
      </c>
      <c r="J13" s="306" t="s">
        <v>167</v>
      </c>
      <c r="K13" s="306" t="s">
        <v>168</v>
      </c>
      <c r="L13" s="307" t="s">
        <v>169</v>
      </c>
      <c r="M13" s="306" t="s">
        <v>170</v>
      </c>
      <c r="N13" s="306" t="s">
        <v>171</v>
      </c>
      <c r="O13" s="307" t="s">
        <v>172</v>
      </c>
      <c r="P13" s="229" t="s">
        <v>85</v>
      </c>
      <c r="Q13" s="229" t="s">
        <v>152</v>
      </c>
      <c r="R13" s="229" t="s">
        <v>199</v>
      </c>
    </row>
    <row r="14" spans="1:18" x14ac:dyDescent="0.25">
      <c r="A14" s="300" t="s">
        <v>192</v>
      </c>
      <c r="B14" s="310">
        <v>9.98</v>
      </c>
      <c r="C14" s="305" t="s">
        <v>193</v>
      </c>
      <c r="D14" s="309">
        <v>434</v>
      </c>
      <c r="E14" s="309">
        <v>434</v>
      </c>
      <c r="F14" s="309">
        <v>434</v>
      </c>
      <c r="G14" s="309">
        <v>434</v>
      </c>
      <c r="H14" s="309">
        <v>434</v>
      </c>
      <c r="I14" s="309">
        <v>434</v>
      </c>
      <c r="J14" s="309">
        <v>434</v>
      </c>
      <c r="K14" s="309">
        <v>434</v>
      </c>
      <c r="L14" s="309">
        <v>434</v>
      </c>
      <c r="M14" s="309">
        <v>434</v>
      </c>
      <c r="N14" s="309">
        <v>434</v>
      </c>
      <c r="O14" s="309">
        <v>435</v>
      </c>
      <c r="P14" s="230">
        <f>SUM(D14:O14)</f>
        <v>5209</v>
      </c>
      <c r="Q14" s="230">
        <f t="shared" ref="Q14:Q19" si="0">P14/12</f>
        <v>434.08333333333331</v>
      </c>
      <c r="R14" s="231">
        <f>P14*B14</f>
        <v>51985.82</v>
      </c>
    </row>
    <row r="15" spans="1:18" x14ac:dyDescent="0.25">
      <c r="A15" s="300" t="s">
        <v>194</v>
      </c>
      <c r="B15" s="310">
        <v>15.72</v>
      </c>
      <c r="C15" s="305" t="s">
        <v>195</v>
      </c>
      <c r="D15" s="314">
        <v>373</v>
      </c>
      <c r="E15" s="314">
        <v>373</v>
      </c>
      <c r="F15" s="314">
        <v>373</v>
      </c>
      <c r="G15" s="314">
        <v>373</v>
      </c>
      <c r="H15" s="314">
        <v>373</v>
      </c>
      <c r="I15" s="314">
        <v>373</v>
      </c>
      <c r="J15" s="314">
        <v>373</v>
      </c>
      <c r="K15" s="314">
        <v>373</v>
      </c>
      <c r="L15" s="314">
        <v>373</v>
      </c>
      <c r="M15" s="314">
        <v>373</v>
      </c>
      <c r="N15" s="314">
        <v>372</v>
      </c>
      <c r="O15" s="314">
        <v>372</v>
      </c>
      <c r="P15" s="230">
        <f>SUM(D15:O15)</f>
        <v>4474</v>
      </c>
      <c r="Q15" s="230">
        <f t="shared" si="0"/>
        <v>372.83333333333331</v>
      </c>
      <c r="R15" s="231">
        <f>P15*B15</f>
        <v>70331.28</v>
      </c>
    </row>
    <row r="16" spans="1:18" x14ac:dyDescent="0.25">
      <c r="C16" s="305"/>
      <c r="D16" s="315"/>
      <c r="E16" s="315"/>
      <c r="G16" s="315"/>
      <c r="H16" s="315"/>
      <c r="J16" s="315"/>
      <c r="K16" s="315"/>
      <c r="M16" s="315"/>
      <c r="N16" s="315"/>
      <c r="P16" s="225"/>
      <c r="Q16" s="225"/>
      <c r="R16" s="123">
        <f>SUM(R14:R15)</f>
        <v>122317.1</v>
      </c>
    </row>
    <row r="17" spans="1:18" x14ac:dyDescent="0.25">
      <c r="A17" s="316" t="s">
        <v>196</v>
      </c>
      <c r="B17" s="316"/>
      <c r="C17" s="305"/>
      <c r="D17" s="317">
        <f t="shared" ref="D17:O17" si="1">SUM(D14:D16)+SUM(D7:D10)</f>
        <v>11491</v>
      </c>
      <c r="E17" s="317">
        <f t="shared" si="1"/>
        <v>11466</v>
      </c>
      <c r="F17" s="317">
        <f t="shared" si="1"/>
        <v>11474</v>
      </c>
      <c r="G17" s="317">
        <f t="shared" si="1"/>
        <v>11481</v>
      </c>
      <c r="H17" s="317">
        <f t="shared" si="1"/>
        <v>11482</v>
      </c>
      <c r="I17" s="317">
        <f t="shared" si="1"/>
        <v>11488</v>
      </c>
      <c r="J17" s="317">
        <f t="shared" si="1"/>
        <v>11478</v>
      </c>
      <c r="K17" s="317">
        <f t="shared" si="1"/>
        <v>11466</v>
      </c>
      <c r="L17" s="317">
        <f t="shared" si="1"/>
        <v>11492</v>
      </c>
      <c r="M17" s="317">
        <f t="shared" si="1"/>
        <v>11482</v>
      </c>
      <c r="N17" s="317">
        <f t="shared" si="1"/>
        <v>11493</v>
      </c>
      <c r="O17" s="317">
        <f t="shared" si="1"/>
        <v>11520</v>
      </c>
      <c r="P17" s="230">
        <f>SUM(D17:O17)</f>
        <v>137813</v>
      </c>
      <c r="Q17" s="230">
        <f t="shared" si="0"/>
        <v>11484.416666666666</v>
      </c>
    </row>
    <row r="18" spans="1:18" x14ac:dyDescent="0.25">
      <c r="A18" s="316" t="s">
        <v>197</v>
      </c>
      <c r="B18" s="316"/>
      <c r="C18" s="305"/>
      <c r="D18" s="307">
        <v>934807</v>
      </c>
      <c r="E18" s="307">
        <v>930838</v>
      </c>
      <c r="F18" s="307">
        <v>929070</v>
      </c>
      <c r="G18" s="307">
        <v>930406</v>
      </c>
      <c r="H18" s="307">
        <v>931126</v>
      </c>
      <c r="I18" s="307">
        <v>930209</v>
      </c>
      <c r="J18" s="307">
        <v>932471</v>
      </c>
      <c r="K18" s="307">
        <v>931671</v>
      </c>
      <c r="L18" s="307">
        <v>932883</v>
      </c>
      <c r="M18" s="307">
        <v>932124</v>
      </c>
      <c r="N18" s="307">
        <v>931744</v>
      </c>
      <c r="O18" s="307">
        <v>933195</v>
      </c>
      <c r="P18" s="230">
        <f>SUM(D18:O18)</f>
        <v>11180544</v>
      </c>
      <c r="Q18" s="230">
        <f t="shared" si="0"/>
        <v>931712</v>
      </c>
    </row>
    <row r="19" spans="1:18" s="316" customFormat="1" x14ac:dyDescent="0.25">
      <c r="A19" s="316" t="s">
        <v>198</v>
      </c>
      <c r="D19" s="318">
        <v>134750.79999999999</v>
      </c>
      <c r="E19" s="318">
        <v>134157.75</v>
      </c>
      <c r="F19" s="318">
        <v>133957.09</v>
      </c>
      <c r="G19" s="318">
        <v>134142.79</v>
      </c>
      <c r="H19" s="318">
        <v>134219.72</v>
      </c>
      <c r="I19" s="318">
        <v>134076.13</v>
      </c>
      <c r="J19" s="318">
        <v>134393.16</v>
      </c>
      <c r="K19" s="318">
        <v>134231.10999999999</v>
      </c>
      <c r="L19" s="318">
        <v>134459.5</v>
      </c>
      <c r="M19" s="318">
        <v>134332.5</v>
      </c>
      <c r="N19" s="318">
        <v>134277.95000000001</v>
      </c>
      <c r="O19" s="318">
        <v>134480.67000000001</v>
      </c>
      <c r="P19" s="230">
        <f>SUM(D19:O19)</f>
        <v>1611479.17</v>
      </c>
      <c r="Q19" s="230">
        <f t="shared" si="0"/>
        <v>134289.93083333332</v>
      </c>
      <c r="R19" s="123"/>
    </row>
    <row r="21" spans="1:18" x14ac:dyDescent="0.25">
      <c r="P21" s="232">
        <f t="shared" ref="P21:Q21" si="2">P7*$B7+P8*$B8+P9*$B9+P10*$B10+P14*$B14+P15*$B15</f>
        <v>1589785.39</v>
      </c>
      <c r="Q21" s="232">
        <f t="shared" si="2"/>
        <v>132482.11583333332</v>
      </c>
    </row>
    <row r="22" spans="1:18" x14ac:dyDescent="0.25">
      <c r="P22" s="232">
        <f t="shared" ref="P22:Q22" si="3">P19-P21</f>
        <v>21693.780000000028</v>
      </c>
      <c r="Q22" s="232">
        <f t="shared" si="3"/>
        <v>1807.8150000000023</v>
      </c>
    </row>
    <row r="25" spans="1:18" x14ac:dyDescent="0.25">
      <c r="G25" s="301" t="s">
        <v>228</v>
      </c>
      <c r="P25" s="319">
        <f>P7*B7+P8*B8+P9*B9+P10*B10</f>
        <v>1467468.2899999998</v>
      </c>
    </row>
    <row r="26" spans="1:18" x14ac:dyDescent="0.25">
      <c r="P26" s="319">
        <f>P14*B14+P15*B15</f>
        <v>122317.1</v>
      </c>
    </row>
    <row r="30" spans="1:18" x14ac:dyDescent="0.25">
      <c r="C30" s="306">
        <v>6</v>
      </c>
      <c r="D30" s="320">
        <f>D14*$B14</f>
        <v>4331.3200000000006</v>
      </c>
      <c r="E30" s="320">
        <f t="shared" ref="E30:O30" si="4">E14*$B14</f>
        <v>4331.3200000000006</v>
      </c>
      <c r="F30" s="320">
        <f t="shared" si="4"/>
        <v>4331.3200000000006</v>
      </c>
      <c r="G30" s="320">
        <f t="shared" si="4"/>
        <v>4331.3200000000006</v>
      </c>
      <c r="H30" s="320">
        <f t="shared" si="4"/>
        <v>4331.3200000000006</v>
      </c>
      <c r="I30" s="320">
        <f t="shared" si="4"/>
        <v>4331.3200000000006</v>
      </c>
      <c r="J30" s="320">
        <f t="shared" si="4"/>
        <v>4331.3200000000006</v>
      </c>
      <c r="K30" s="320">
        <f t="shared" si="4"/>
        <v>4331.3200000000006</v>
      </c>
      <c r="L30" s="320">
        <f t="shared" si="4"/>
        <v>4331.3200000000006</v>
      </c>
      <c r="M30" s="320">
        <f t="shared" si="4"/>
        <v>4331.3200000000006</v>
      </c>
      <c r="N30" s="320">
        <f t="shared" si="4"/>
        <v>4331.3200000000006</v>
      </c>
      <c r="O30" s="320">
        <f t="shared" si="4"/>
        <v>4341.3</v>
      </c>
      <c r="P30" s="322">
        <f>SUM(D30:O30)</f>
        <v>51985.820000000007</v>
      </c>
    </row>
    <row r="31" spans="1:18" x14ac:dyDescent="0.25">
      <c r="D31" s="320">
        <f>D15*$B15</f>
        <v>5863.56</v>
      </c>
      <c r="E31" s="320">
        <f t="shared" ref="E31:O31" si="5">E15*$B15</f>
        <v>5863.56</v>
      </c>
      <c r="F31" s="320">
        <f t="shared" si="5"/>
        <v>5863.56</v>
      </c>
      <c r="G31" s="320">
        <f t="shared" si="5"/>
        <v>5863.56</v>
      </c>
      <c r="H31" s="320">
        <f t="shared" si="5"/>
        <v>5863.56</v>
      </c>
      <c r="I31" s="320">
        <f t="shared" si="5"/>
        <v>5863.56</v>
      </c>
      <c r="J31" s="320">
        <f t="shared" si="5"/>
        <v>5863.56</v>
      </c>
      <c r="K31" s="320">
        <f t="shared" si="5"/>
        <v>5863.56</v>
      </c>
      <c r="L31" s="320">
        <f t="shared" si="5"/>
        <v>5863.56</v>
      </c>
      <c r="M31" s="320">
        <f t="shared" si="5"/>
        <v>5863.56</v>
      </c>
      <c r="N31" s="320">
        <f t="shared" si="5"/>
        <v>5847.84</v>
      </c>
      <c r="O31" s="320">
        <f t="shared" si="5"/>
        <v>5847.84</v>
      </c>
      <c r="P31" s="322">
        <f t="shared" ref="P31:P34" si="6">SUM(D31:O31)</f>
        <v>70331.279999999984</v>
      </c>
    </row>
    <row r="32" spans="1:18" x14ac:dyDescent="0.25">
      <c r="D32" s="321">
        <f>SUM(D30:D31)</f>
        <v>10194.880000000001</v>
      </c>
      <c r="E32" s="321">
        <f t="shared" ref="E32:O32" si="7">SUM(E30:E31)</f>
        <v>10194.880000000001</v>
      </c>
      <c r="F32" s="321">
        <f t="shared" si="7"/>
        <v>10194.880000000001</v>
      </c>
      <c r="G32" s="321">
        <f t="shared" si="7"/>
        <v>10194.880000000001</v>
      </c>
      <c r="H32" s="321">
        <f t="shared" si="7"/>
        <v>10194.880000000001</v>
      </c>
      <c r="I32" s="321">
        <f t="shared" si="7"/>
        <v>10194.880000000001</v>
      </c>
      <c r="J32" s="321">
        <f t="shared" si="7"/>
        <v>10194.880000000001</v>
      </c>
      <c r="K32" s="321">
        <f t="shared" si="7"/>
        <v>10194.880000000001</v>
      </c>
      <c r="L32" s="321">
        <f t="shared" si="7"/>
        <v>10194.880000000001</v>
      </c>
      <c r="M32" s="321">
        <f t="shared" si="7"/>
        <v>10194.880000000001</v>
      </c>
      <c r="N32" s="321">
        <f t="shared" si="7"/>
        <v>10179.16</v>
      </c>
      <c r="O32" s="321">
        <f t="shared" si="7"/>
        <v>10189.14</v>
      </c>
      <c r="P32" s="323">
        <f t="shared" si="6"/>
        <v>122317.10000000003</v>
      </c>
    </row>
    <row r="33" spans="4:16" x14ac:dyDescent="0.25">
      <c r="D33" s="320">
        <v>11801.46</v>
      </c>
      <c r="E33" s="320">
        <v>12012.95</v>
      </c>
      <c r="F33" s="322">
        <v>12353.25</v>
      </c>
      <c r="G33" s="320">
        <v>12973.12</v>
      </c>
      <c r="H33" s="320">
        <v>12113.24</v>
      </c>
      <c r="I33" s="322">
        <v>11182.23</v>
      </c>
      <c r="J33" s="320">
        <v>11327.57</v>
      </c>
      <c r="K33" s="320">
        <v>11707.3</v>
      </c>
      <c r="L33" s="322">
        <v>12345.85</v>
      </c>
      <c r="M33" s="320">
        <v>12593.95</v>
      </c>
      <c r="N33" s="320">
        <v>12676.33</v>
      </c>
      <c r="O33" s="322">
        <v>12042.07</v>
      </c>
      <c r="P33" s="322">
        <f t="shared" si="6"/>
        <v>145129.32</v>
      </c>
    </row>
    <row r="34" spans="4:16" x14ac:dyDescent="0.25">
      <c r="D34" s="320">
        <f>D33-D32</f>
        <v>1606.5799999999981</v>
      </c>
      <c r="E34" s="320">
        <f t="shared" ref="E34:O34" si="8">E33-E32</f>
        <v>1818.0699999999997</v>
      </c>
      <c r="F34" s="320">
        <f t="shared" si="8"/>
        <v>2158.369999999999</v>
      </c>
      <c r="G34" s="320">
        <f t="shared" si="8"/>
        <v>2778.24</v>
      </c>
      <c r="H34" s="320">
        <f t="shared" si="8"/>
        <v>1918.3599999999988</v>
      </c>
      <c r="I34" s="320">
        <f t="shared" si="8"/>
        <v>987.34999999999854</v>
      </c>
      <c r="J34" s="320">
        <f t="shared" si="8"/>
        <v>1132.6899999999987</v>
      </c>
      <c r="K34" s="320">
        <f t="shared" si="8"/>
        <v>1512.4199999999983</v>
      </c>
      <c r="L34" s="320">
        <f t="shared" si="8"/>
        <v>2150.9699999999993</v>
      </c>
      <c r="M34" s="320">
        <f t="shared" si="8"/>
        <v>2399.0699999999997</v>
      </c>
      <c r="N34" s="320">
        <f t="shared" si="8"/>
        <v>2497.17</v>
      </c>
      <c r="O34" s="320">
        <f t="shared" si="8"/>
        <v>1852.9300000000003</v>
      </c>
      <c r="P34" s="322">
        <f t="shared" si="6"/>
        <v>22812.219999999987</v>
      </c>
    </row>
  </sheetData>
  <pageMargins left="0.7" right="0.7" top="0.75" bottom="0.75" header="0.3" footer="0.3"/>
  <pageSetup scale="67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 tint="0.59999389629810485"/>
  </sheetPr>
  <dimension ref="A1:D12"/>
  <sheetViews>
    <sheetView workbookViewId="0">
      <selection activeCell="F68" sqref="F68"/>
    </sheetView>
  </sheetViews>
  <sheetFormatPr defaultRowHeight="12.75" x14ac:dyDescent="0.2"/>
  <cols>
    <col min="1" max="1" width="6.28515625" customWidth="1"/>
    <col min="2" max="2" width="23" customWidth="1"/>
    <col min="3" max="3" width="9.140625" style="222"/>
  </cols>
  <sheetData>
    <row r="1" spans="1:4" x14ac:dyDescent="0.2">
      <c r="A1" s="221" t="str">
        <f>'Present and Proposed Rates'!A1</f>
        <v>MEADE COUNTY RECC</v>
      </c>
    </row>
    <row r="2" spans="1:4" x14ac:dyDescent="0.2">
      <c r="A2" s="221" t="s">
        <v>156</v>
      </c>
    </row>
    <row r="3" spans="1:4" x14ac:dyDescent="0.2">
      <c r="A3" s="210"/>
    </row>
    <row r="4" spans="1:4" x14ac:dyDescent="0.2">
      <c r="A4" s="210" t="s">
        <v>144</v>
      </c>
      <c r="B4" s="207" t="s">
        <v>5</v>
      </c>
      <c r="C4" s="223" t="s">
        <v>61</v>
      </c>
    </row>
    <row r="5" spans="1:4" x14ac:dyDescent="0.2">
      <c r="A5" s="210">
        <v>1</v>
      </c>
      <c r="B5" s="163" t="s">
        <v>104</v>
      </c>
      <c r="C5" s="210">
        <v>1</v>
      </c>
      <c r="D5" s="327" t="s">
        <v>252</v>
      </c>
    </row>
    <row r="6" spans="1:4" x14ac:dyDescent="0.2">
      <c r="A6" s="210">
        <v>2</v>
      </c>
      <c r="B6" s="163" t="s">
        <v>97</v>
      </c>
      <c r="C6" s="210">
        <v>2</v>
      </c>
      <c r="D6" s="327" t="s">
        <v>235</v>
      </c>
    </row>
    <row r="7" spans="1:4" x14ac:dyDescent="0.2">
      <c r="A7" s="210">
        <v>3</v>
      </c>
      <c r="B7" s="163" t="s">
        <v>105</v>
      </c>
      <c r="C7" s="210">
        <v>3</v>
      </c>
      <c r="D7" s="327" t="s">
        <v>239</v>
      </c>
    </row>
    <row r="8" spans="1:4" x14ac:dyDescent="0.2">
      <c r="A8" s="210">
        <v>4</v>
      </c>
      <c r="B8" s="163" t="s">
        <v>98</v>
      </c>
      <c r="C8" s="210" t="s">
        <v>106</v>
      </c>
      <c r="D8" s="327" t="s">
        <v>251</v>
      </c>
    </row>
    <row r="9" spans="1:4" x14ac:dyDescent="0.2">
      <c r="A9" s="210">
        <v>5</v>
      </c>
      <c r="B9" s="327" t="s">
        <v>99</v>
      </c>
      <c r="C9" s="210">
        <v>4</v>
      </c>
      <c r="D9" t="s">
        <v>236</v>
      </c>
    </row>
    <row r="10" spans="1:4" x14ac:dyDescent="0.2">
      <c r="A10" s="210">
        <v>6</v>
      </c>
      <c r="B10" s="163" t="s">
        <v>132</v>
      </c>
      <c r="C10" s="210">
        <v>5</v>
      </c>
      <c r="D10" s="327" t="s">
        <v>238</v>
      </c>
    </row>
    <row r="11" spans="1:4" x14ac:dyDescent="0.2">
      <c r="A11" s="210">
        <v>7</v>
      </c>
      <c r="B11" s="163" t="s">
        <v>155</v>
      </c>
      <c r="C11" s="210">
        <v>6</v>
      </c>
      <c r="D11" t="s">
        <v>237</v>
      </c>
    </row>
    <row r="12" spans="1:4" x14ac:dyDescent="0.2">
      <c r="A12" s="249">
        <v>8</v>
      </c>
      <c r="B12" s="327" t="s">
        <v>220</v>
      </c>
      <c r="C12" s="249" t="s">
        <v>232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136"/>
  <sheetViews>
    <sheetView view="pageBreakPreview" zoomScale="75" zoomScaleNormal="85" zoomScaleSheetLayoutView="75" workbookViewId="0">
      <selection activeCell="L19" sqref="L19"/>
    </sheetView>
  </sheetViews>
  <sheetFormatPr defaultRowHeight="15.75" x14ac:dyDescent="0.25"/>
  <cols>
    <col min="1" max="1" width="4.7109375" style="2" customWidth="1"/>
    <col min="2" max="2" width="17.7109375" style="2" customWidth="1"/>
    <col min="3" max="3" width="5.28515625" style="2" customWidth="1"/>
    <col min="4" max="5" width="15" style="2" bestFit="1" customWidth="1"/>
    <col min="6" max="6" width="3.140625" style="2" customWidth="1"/>
    <col min="7" max="7" width="18" style="2" bestFit="1" customWidth="1"/>
    <col min="8" max="8" width="2.85546875" style="2" customWidth="1"/>
    <col min="9" max="9" width="9.85546875" style="2" customWidth="1"/>
    <col min="10" max="10" width="21" style="2" customWidth="1"/>
    <col min="11" max="11" width="10.28515625" style="2" customWidth="1"/>
    <col min="12" max="12" width="18.85546875" style="2" customWidth="1"/>
    <col min="13" max="13" width="15.140625" style="2" customWidth="1"/>
    <col min="14" max="14" width="4.28515625" style="2" customWidth="1"/>
    <col min="15" max="15" width="20.140625" style="2" customWidth="1"/>
    <col min="16" max="18" width="9.140625" style="2"/>
    <col min="19" max="19" width="17" style="2" customWidth="1"/>
    <col min="20" max="16384" width="9.140625" style="2"/>
  </cols>
  <sheetData>
    <row r="1" spans="1:17" x14ac:dyDescent="0.25">
      <c r="A1" s="1" t="s">
        <v>96</v>
      </c>
      <c r="J1" s="1"/>
    </row>
    <row r="2" spans="1:17" x14ac:dyDescent="0.25">
      <c r="A2" s="2" t="str">
        <f>'Present and Proposed Rates'!A10</f>
        <v>Residential</v>
      </c>
    </row>
    <row r="3" spans="1:17" ht="16.5" thickBot="1" x14ac:dyDescent="0.3">
      <c r="A3" s="2">
        <f>'Present and Proposed Rates'!B10</f>
        <v>1</v>
      </c>
    </row>
    <row r="4" spans="1:17" x14ac:dyDescent="0.25">
      <c r="D4" s="388" t="s">
        <v>31</v>
      </c>
      <c r="E4" s="389"/>
      <c r="F4" s="389"/>
      <c r="G4" s="390"/>
      <c r="H4" s="150"/>
      <c r="L4" s="388" t="s">
        <v>94</v>
      </c>
      <c r="M4" s="389"/>
      <c r="N4" s="389"/>
      <c r="O4" s="390"/>
    </row>
    <row r="5" spans="1:17" ht="16.5" thickBot="1" x14ac:dyDescent="0.3">
      <c r="A5" s="40"/>
      <c r="B5" s="57"/>
      <c r="C5" s="3"/>
      <c r="D5" s="391"/>
      <c r="E5" s="392"/>
      <c r="F5" s="392"/>
      <c r="G5" s="393"/>
      <c r="H5" s="150"/>
      <c r="I5" s="40"/>
      <c r="J5" s="57"/>
      <c r="K5" s="3"/>
      <c r="L5" s="391"/>
      <c r="M5" s="392"/>
      <c r="N5" s="392"/>
      <c r="O5" s="393"/>
    </row>
    <row r="6" spans="1:17" x14ac:dyDescent="0.25">
      <c r="A6" s="4"/>
      <c r="B6" s="4"/>
      <c r="C6" s="4"/>
      <c r="D6" s="4" t="s">
        <v>1</v>
      </c>
      <c r="E6" s="4"/>
      <c r="F6" s="4"/>
      <c r="G6" s="4" t="s">
        <v>2</v>
      </c>
      <c r="H6" s="151"/>
      <c r="I6" s="4"/>
      <c r="J6" s="4"/>
      <c r="K6" s="4"/>
      <c r="L6" s="4" t="s">
        <v>1</v>
      </c>
      <c r="M6" s="4"/>
      <c r="N6" s="4"/>
      <c r="O6" s="4" t="s">
        <v>2</v>
      </c>
    </row>
    <row r="7" spans="1:17" ht="16.5" thickBot="1" x14ac:dyDescent="0.3">
      <c r="A7" s="5"/>
      <c r="B7" s="5"/>
      <c r="C7" s="5"/>
      <c r="D7" s="5" t="s">
        <v>4</v>
      </c>
      <c r="E7" s="392" t="s">
        <v>5</v>
      </c>
      <c r="F7" s="392"/>
      <c r="G7" s="5" t="s">
        <v>6</v>
      </c>
      <c r="H7" s="152"/>
      <c r="I7" s="5"/>
      <c r="J7" s="5"/>
      <c r="K7" s="5"/>
      <c r="L7" s="5" t="s">
        <v>4</v>
      </c>
      <c r="M7" s="392" t="s">
        <v>5</v>
      </c>
      <c r="N7" s="392"/>
      <c r="O7" s="5" t="s">
        <v>6</v>
      </c>
      <c r="P7" s="5" t="s">
        <v>234</v>
      </c>
    </row>
    <row r="8" spans="1:17" x14ac:dyDescent="0.25">
      <c r="H8" s="153"/>
    </row>
    <row r="9" spans="1:17" x14ac:dyDescent="0.25">
      <c r="H9" s="153"/>
    </row>
    <row r="10" spans="1:17" x14ac:dyDescent="0.25">
      <c r="A10" s="96" t="s">
        <v>10</v>
      </c>
      <c r="H10" s="153"/>
      <c r="I10" s="96" t="s">
        <v>10</v>
      </c>
    </row>
    <row r="11" spans="1:17" x14ac:dyDescent="0.25">
      <c r="D11" s="139" t="s">
        <v>113</v>
      </c>
      <c r="E11" s="139" t="s">
        <v>100</v>
      </c>
      <c r="H11" s="153"/>
      <c r="L11" s="139" t="s">
        <v>113</v>
      </c>
      <c r="M11" s="139" t="s">
        <v>100</v>
      </c>
    </row>
    <row r="12" spans="1:17" x14ac:dyDescent="0.25">
      <c r="B12" s="2" t="s">
        <v>101</v>
      </c>
      <c r="D12" s="8">
        <f>BillDet!B21</f>
        <v>350975</v>
      </c>
      <c r="E12" s="136">
        <f>'Present and Proposed Rates'!E10</f>
        <v>0.68600000000000005</v>
      </c>
      <c r="G12" s="11">
        <f>D12*E12*365/12</f>
        <v>7323385.854166667</v>
      </c>
      <c r="H12" s="154"/>
      <c r="J12" s="2" t="s">
        <v>101</v>
      </c>
      <c r="L12" s="8">
        <f>D12</f>
        <v>350975</v>
      </c>
      <c r="M12" s="136">
        <f>'Present and Proposed Rates'!F10</f>
        <v>0.85</v>
      </c>
      <c r="O12" s="11">
        <f>L12*M12*365/12</f>
        <v>9074166.145833334</v>
      </c>
      <c r="P12" s="88">
        <f>O12/G12-1</f>
        <v>0.23906705539358608</v>
      </c>
      <c r="Q12" s="88"/>
    </row>
    <row r="13" spans="1:17" x14ac:dyDescent="0.25">
      <c r="D13" s="8"/>
      <c r="E13" s="9"/>
      <c r="G13" s="11"/>
      <c r="H13" s="154"/>
      <c r="L13" s="8"/>
      <c r="M13" s="9"/>
      <c r="O13" s="11"/>
    </row>
    <row r="14" spans="1:17" x14ac:dyDescent="0.25">
      <c r="D14" s="8"/>
      <c r="G14" s="11"/>
      <c r="H14" s="154"/>
      <c r="L14" s="8"/>
      <c r="O14" s="11"/>
    </row>
    <row r="15" spans="1:17" x14ac:dyDescent="0.25">
      <c r="A15" s="1" t="s">
        <v>7</v>
      </c>
      <c r="D15" s="8"/>
      <c r="G15" s="11"/>
      <c r="H15" s="154"/>
      <c r="I15" s="1" t="s">
        <v>7</v>
      </c>
      <c r="L15" s="8"/>
      <c r="O15" s="11"/>
    </row>
    <row r="16" spans="1:17" x14ac:dyDescent="0.25">
      <c r="D16" s="121" t="s">
        <v>8</v>
      </c>
      <c r="E16" s="122" t="s">
        <v>11</v>
      </c>
      <c r="G16" s="11"/>
      <c r="H16" s="154"/>
      <c r="L16" s="121" t="s">
        <v>8</v>
      </c>
      <c r="M16" s="122" t="s">
        <v>11</v>
      </c>
      <c r="O16" s="11"/>
    </row>
    <row r="17" spans="1:19" x14ac:dyDescent="0.25">
      <c r="B17" s="2" t="s">
        <v>101</v>
      </c>
      <c r="D17" s="8">
        <f>BillDet!B36+BillDet!M36</f>
        <v>333689905</v>
      </c>
      <c r="E17" s="135">
        <f>'Present and Proposed Rates'!E11</f>
        <v>9.7665000000000002E-2</v>
      </c>
      <c r="G17" s="11">
        <f>D17*E17</f>
        <v>32589824.571825001</v>
      </c>
      <c r="H17" s="154"/>
      <c r="J17" s="2" t="s">
        <v>101</v>
      </c>
      <c r="L17" s="8">
        <f>D17</f>
        <v>333689905</v>
      </c>
      <c r="M17" s="135">
        <f>'Present and Proposed Rates'!F11</f>
        <v>9.7665000000000002E-2</v>
      </c>
      <c r="O17" s="11">
        <f>L17*M17</f>
        <v>32589824.571825001</v>
      </c>
      <c r="P17" s="88">
        <f>O17/G17-1</f>
        <v>0</v>
      </c>
      <c r="Q17" s="88"/>
    </row>
    <row r="18" spans="1:19" x14ac:dyDescent="0.25">
      <c r="C18" s="16" t="s">
        <v>230</v>
      </c>
      <c r="D18" s="325">
        <f>D17/D12</f>
        <v>950.75120735095095</v>
      </c>
      <c r="E18" s="18"/>
      <c r="G18" s="11"/>
      <c r="H18" s="154"/>
      <c r="L18" s="8"/>
      <c r="M18" s="18"/>
      <c r="O18" s="11"/>
    </row>
    <row r="19" spans="1:19" x14ac:dyDescent="0.25">
      <c r="A19" s="1" t="s">
        <v>102</v>
      </c>
      <c r="D19" s="8"/>
      <c r="E19" s="18"/>
      <c r="G19" s="11"/>
      <c r="H19" s="154"/>
      <c r="I19" s="1" t="s">
        <v>102</v>
      </c>
      <c r="L19" s="8"/>
      <c r="M19" s="18"/>
      <c r="O19" s="11"/>
    </row>
    <row r="20" spans="1:19" x14ac:dyDescent="0.25">
      <c r="B20" s="2" t="s">
        <v>117</v>
      </c>
      <c r="D20" s="8"/>
      <c r="E20" s="324">
        <f>G20/D17</f>
        <v>1.2332171091600749E-2</v>
      </c>
      <c r="G20" s="11">
        <v>4115121</v>
      </c>
      <c r="H20" s="154"/>
      <c r="J20" s="2" t="str">
        <f>B20</f>
        <v>Fuel Adjustment Clause</v>
      </c>
      <c r="L20" s="8"/>
      <c r="M20" s="18"/>
      <c r="O20" s="11">
        <f>G20</f>
        <v>4115121</v>
      </c>
      <c r="P20" s="88">
        <f>O20/G20-1</f>
        <v>0</v>
      </c>
      <c r="Q20" s="88"/>
      <c r="S20" s="11"/>
    </row>
    <row r="21" spans="1:19" x14ac:dyDescent="0.25">
      <c r="B21" s="2" t="s">
        <v>114</v>
      </c>
      <c r="D21" s="8"/>
      <c r="E21" s="324">
        <f>G21/D17</f>
        <v>7.3716046938848822E-3</v>
      </c>
      <c r="G21" s="11">
        <v>2459830.0700000003</v>
      </c>
      <c r="H21" s="154"/>
      <c r="J21" s="2" t="str">
        <f t="shared" ref="J21:J23" si="0">B21</f>
        <v>Environmental Surcharge</v>
      </c>
      <c r="L21" s="8"/>
      <c r="M21" s="18"/>
      <c r="O21" s="11">
        <f t="shared" ref="O21:O23" si="1">G21</f>
        <v>2459830.0700000003</v>
      </c>
      <c r="P21" s="88">
        <f>O21/G21-1</f>
        <v>0</v>
      </c>
      <c r="Q21" s="88"/>
      <c r="S21" s="11"/>
    </row>
    <row r="22" spans="1:19" x14ac:dyDescent="0.25">
      <c r="B22" s="2" t="s">
        <v>115</v>
      </c>
      <c r="D22" s="8"/>
      <c r="E22" s="324">
        <f>G23/D17</f>
        <v>7.2405229639775897E-3</v>
      </c>
      <c r="G22" s="11">
        <v>-1303710.8500000001</v>
      </c>
      <c r="H22" s="154"/>
      <c r="J22" s="2" t="str">
        <f t="shared" si="0"/>
        <v>Member Rate Stability</v>
      </c>
      <c r="L22" s="8"/>
      <c r="M22" s="18"/>
      <c r="O22" s="11">
        <f t="shared" si="1"/>
        <v>-1303710.8500000001</v>
      </c>
      <c r="P22" s="88">
        <f>O22/G22-1</f>
        <v>0</v>
      </c>
      <c r="Q22" s="88"/>
      <c r="S22" s="11"/>
    </row>
    <row r="23" spans="1:19" x14ac:dyDescent="0.25">
      <c r="B23" s="2" t="s">
        <v>116</v>
      </c>
      <c r="D23" s="8"/>
      <c r="E23" s="324">
        <f>G23/D17</f>
        <v>7.2405229639775897E-3</v>
      </c>
      <c r="G23" s="33">
        <v>2416089.4200000004</v>
      </c>
      <c r="H23" s="155"/>
      <c r="J23" s="2" t="str">
        <f t="shared" si="0"/>
        <v>Non-FAC PPA</v>
      </c>
      <c r="L23" s="8"/>
      <c r="M23" s="18"/>
      <c r="O23" s="33">
        <f t="shared" si="1"/>
        <v>2416089.4200000004</v>
      </c>
      <c r="P23" s="88">
        <f>O23/G23-1</f>
        <v>0</v>
      </c>
      <c r="Q23" s="88"/>
      <c r="S23" s="11"/>
    </row>
    <row r="24" spans="1:19" x14ac:dyDescent="0.25">
      <c r="A24" s="1"/>
      <c r="C24" s="16"/>
      <c r="D24" s="8"/>
      <c r="E24" s="18"/>
      <c r="G24" s="11"/>
      <c r="H24" s="154"/>
      <c r="O24" s="11"/>
      <c r="P24" s="88"/>
    </row>
    <row r="25" spans="1:19" ht="16.5" thickBot="1" x14ac:dyDescent="0.3">
      <c r="A25" s="1" t="s">
        <v>81</v>
      </c>
      <c r="G25" s="24">
        <f>SUM(G12:G24)</f>
        <v>47600540.06599167</v>
      </c>
      <c r="H25" s="154"/>
      <c r="I25" s="1" t="s">
        <v>81</v>
      </c>
      <c r="O25" s="24">
        <f>SUM(O12:O24)</f>
        <v>49351320.357658334</v>
      </c>
      <c r="P25" s="88">
        <f>O25/G25-1</f>
        <v>3.6780681253604453E-2</v>
      </c>
      <c r="Q25" s="58"/>
    </row>
    <row r="26" spans="1:19" ht="16.5" thickTop="1" x14ac:dyDescent="0.25">
      <c r="A26" s="1"/>
      <c r="B26" s="1"/>
      <c r="G26" s="11"/>
      <c r="H26" s="154"/>
      <c r="I26" s="1"/>
      <c r="J26" s="1"/>
      <c r="O26" s="11"/>
    </row>
    <row r="27" spans="1:19" x14ac:dyDescent="0.25">
      <c r="A27" s="1" t="s">
        <v>18</v>
      </c>
      <c r="B27" s="10"/>
      <c r="G27" s="11">
        <f>BillDet!B66+BillDet!M66</f>
        <v>47540629.230000004</v>
      </c>
      <c r="H27" s="154"/>
      <c r="I27" s="1" t="s">
        <v>86</v>
      </c>
      <c r="J27" s="10"/>
      <c r="O27" s="29">
        <f>O25-G25</f>
        <v>1750780.2916666642</v>
      </c>
    </row>
    <row r="28" spans="1:19" x14ac:dyDescent="0.25">
      <c r="A28" s="10"/>
      <c r="B28" s="10"/>
      <c r="G28" s="10"/>
      <c r="H28" s="156"/>
      <c r="J28" s="10"/>
      <c r="O28" s="10"/>
    </row>
    <row r="29" spans="1:19" x14ac:dyDescent="0.25">
      <c r="A29" s="1" t="s">
        <v>13</v>
      </c>
      <c r="B29" s="10"/>
      <c r="G29" s="22">
        <f>G25-G27</f>
        <v>59910.835991665721</v>
      </c>
      <c r="H29" s="157"/>
      <c r="I29" s="1" t="s">
        <v>87</v>
      </c>
      <c r="J29" s="10"/>
      <c r="O29" s="234">
        <f>O27/G25</f>
        <v>3.6780681253604383E-2</v>
      </c>
    </row>
    <row r="30" spans="1:19" x14ac:dyDescent="0.25">
      <c r="A30" s="10"/>
      <c r="B30" s="10"/>
      <c r="G30" s="11"/>
      <c r="H30" s="154"/>
      <c r="J30" s="10"/>
      <c r="O30" s="11"/>
    </row>
    <row r="31" spans="1:19" x14ac:dyDescent="0.25">
      <c r="A31" s="1" t="s">
        <v>27</v>
      </c>
      <c r="B31" s="10"/>
      <c r="G31" s="23">
        <f>G29/G27</f>
        <v>1.2602028404340015E-3</v>
      </c>
      <c r="H31" s="158"/>
      <c r="I31" s="1" t="s">
        <v>88</v>
      </c>
      <c r="J31" s="10"/>
      <c r="O31" s="31">
        <f>O27/L12</f>
        <v>4.9883333333333262</v>
      </c>
    </row>
    <row r="32" spans="1:19" x14ac:dyDescent="0.25">
      <c r="A32" s="1"/>
      <c r="B32" s="10"/>
      <c r="G32" s="23"/>
      <c r="H32" s="23"/>
      <c r="I32" s="1"/>
      <c r="J32" s="10"/>
      <c r="O32" s="23"/>
    </row>
    <row r="33" spans="1:15" x14ac:dyDescent="0.25">
      <c r="A33" s="1"/>
      <c r="B33" s="10"/>
      <c r="D33" s="14">
        <f>D17/D12</f>
        <v>950.75120735095095</v>
      </c>
      <c r="G33" s="23"/>
      <c r="H33" s="23"/>
      <c r="I33" s="1"/>
      <c r="J33" s="10"/>
      <c r="O33" s="23"/>
    </row>
    <row r="34" spans="1:15" x14ac:dyDescent="0.25">
      <c r="A34" s="1"/>
      <c r="B34" s="10"/>
      <c r="G34" s="35">
        <v>38473236.120000005</v>
      </c>
      <c r="H34" s="23"/>
      <c r="I34" s="1"/>
      <c r="J34" s="10"/>
      <c r="O34" s="23"/>
    </row>
    <row r="35" spans="1:15" x14ac:dyDescent="0.25">
      <c r="A35" s="1"/>
      <c r="B35" s="10"/>
      <c r="G35" s="140">
        <f>G17+G12</f>
        <v>39913210.425991669</v>
      </c>
      <c r="H35" s="23"/>
      <c r="I35" s="1"/>
      <c r="J35" s="10"/>
      <c r="O35" s="23"/>
    </row>
    <row r="36" spans="1:15" x14ac:dyDescent="0.25">
      <c r="A36" s="1"/>
      <c r="B36" s="10"/>
      <c r="G36" s="140">
        <f>G34-G35</f>
        <v>-1439974.3059916645</v>
      </c>
      <c r="H36" s="23"/>
      <c r="I36" s="1"/>
      <c r="J36" s="10"/>
      <c r="O36" s="23"/>
    </row>
    <row r="37" spans="1:15" x14ac:dyDescent="0.25">
      <c r="A37" s="1"/>
      <c r="B37" s="10"/>
      <c r="G37" s="23"/>
      <c r="H37" s="23"/>
      <c r="I37" s="1"/>
      <c r="J37" s="10"/>
      <c r="O37" s="23"/>
    </row>
    <row r="38" spans="1:15" ht="18.75" customHeight="1" x14ac:dyDescent="0.25">
      <c r="A38" s="1"/>
      <c r="B38" s="11"/>
      <c r="G38" s="140">
        <f>G12+G17</f>
        <v>39913210.425991669</v>
      </c>
      <c r="H38" s="23"/>
    </row>
    <row r="39" spans="1:15" x14ac:dyDescent="0.25">
      <c r="E39" s="11"/>
    </row>
    <row r="40" spans="1:15" x14ac:dyDescent="0.25">
      <c r="I40" s="37"/>
      <c r="J40" s="37"/>
    </row>
    <row r="41" spans="1:15" x14ac:dyDescent="0.25">
      <c r="I41" s="37"/>
      <c r="J41" s="37"/>
    </row>
    <row r="42" spans="1:15" x14ac:dyDescent="0.25">
      <c r="I42" s="37"/>
      <c r="J42" s="37"/>
    </row>
    <row r="43" spans="1:15" x14ac:dyDescent="0.25">
      <c r="I43" s="37"/>
      <c r="J43" s="71"/>
    </row>
    <row r="44" spans="1:15" x14ac:dyDescent="0.25">
      <c r="I44" s="37"/>
      <c r="J44" s="71"/>
    </row>
    <row r="45" spans="1:15" x14ac:dyDescent="0.25">
      <c r="I45" s="37"/>
      <c r="J45" s="71"/>
    </row>
    <row r="46" spans="1:15" x14ac:dyDescent="0.25">
      <c r="I46" s="37"/>
      <c r="J46" s="71"/>
    </row>
    <row r="47" spans="1:15" x14ac:dyDescent="0.25">
      <c r="I47" s="37"/>
      <c r="J47" s="71"/>
    </row>
    <row r="48" spans="1:15" x14ac:dyDescent="0.25">
      <c r="I48" s="37"/>
      <c r="J48" s="71"/>
    </row>
    <row r="49" spans="9:16" x14ac:dyDescent="0.25">
      <c r="I49" s="37"/>
      <c r="J49" s="71"/>
      <c r="P49" s="2" t="e">
        <f>IF(#REF!=#REF!,"ok","err")</f>
        <v>#REF!</v>
      </c>
    </row>
    <row r="50" spans="9:16" x14ac:dyDescent="0.25">
      <c r="I50" s="37"/>
      <c r="J50" s="71"/>
    </row>
    <row r="51" spans="9:16" x14ac:dyDescent="0.25">
      <c r="I51" s="37"/>
      <c r="J51" s="71"/>
    </row>
    <row r="52" spans="9:16" x14ac:dyDescent="0.25">
      <c r="I52" s="37"/>
      <c r="J52" s="71"/>
    </row>
    <row r="53" spans="9:16" ht="16.5" customHeight="1" x14ac:dyDescent="0.25">
      <c r="I53" s="37"/>
      <c r="J53" s="71"/>
    </row>
    <row r="54" spans="9:16" x14ac:dyDescent="0.25">
      <c r="I54" s="37"/>
      <c r="J54" s="71"/>
    </row>
    <row r="55" spans="9:16" x14ac:dyDescent="0.25">
      <c r="I55" s="37"/>
      <c r="J55" s="71"/>
      <c r="P55" s="2" t="e">
        <f>IF(#REF!=#REF!,"ok","err")</f>
        <v>#REF!</v>
      </c>
    </row>
    <row r="58" spans="9:16" x14ac:dyDescent="0.25">
      <c r="I58" s="37"/>
      <c r="J58" s="37"/>
    </row>
    <row r="59" spans="9:16" x14ac:dyDescent="0.25">
      <c r="I59" s="37"/>
      <c r="J59" s="37"/>
    </row>
    <row r="60" spans="9:16" x14ac:dyDescent="0.25">
      <c r="I60" s="37"/>
      <c r="J60" s="37"/>
    </row>
    <row r="61" spans="9:16" x14ac:dyDescent="0.25">
      <c r="I61" s="69"/>
      <c r="J61" s="62"/>
    </row>
    <row r="62" spans="9:16" x14ac:dyDescent="0.25">
      <c r="I62" s="69"/>
      <c r="J62" s="62"/>
    </row>
    <row r="63" spans="9:16" x14ac:dyDescent="0.25">
      <c r="I63" s="69"/>
      <c r="J63" s="62"/>
    </row>
    <row r="64" spans="9:16" x14ac:dyDescent="0.25">
      <c r="I64" s="69"/>
      <c r="J64" s="62"/>
    </row>
    <row r="65" spans="9:10" x14ac:dyDescent="0.25">
      <c r="I65" s="69"/>
      <c r="J65" s="62"/>
    </row>
    <row r="66" spans="9:10" x14ac:dyDescent="0.25">
      <c r="I66" s="69"/>
      <c r="J66" s="62"/>
    </row>
    <row r="67" spans="9:10" x14ac:dyDescent="0.25">
      <c r="I67" s="69"/>
      <c r="J67" s="62"/>
    </row>
    <row r="68" spans="9:10" x14ac:dyDescent="0.25">
      <c r="I68" s="69"/>
      <c r="J68" s="62"/>
    </row>
    <row r="69" spans="9:10" x14ac:dyDescent="0.25">
      <c r="I69" s="69"/>
      <c r="J69" s="62"/>
    </row>
    <row r="70" spans="9:10" x14ac:dyDescent="0.25">
      <c r="I70" s="69"/>
      <c r="J70" s="62"/>
    </row>
    <row r="71" spans="9:10" x14ac:dyDescent="0.25">
      <c r="I71" s="69"/>
      <c r="J71" s="62"/>
    </row>
    <row r="72" spans="9:10" x14ac:dyDescent="0.25">
      <c r="I72" s="69"/>
      <c r="J72" s="62"/>
    </row>
    <row r="73" spans="9:10" x14ac:dyDescent="0.25">
      <c r="I73" s="37"/>
      <c r="J73" s="37"/>
    </row>
    <row r="74" spans="9:10" x14ac:dyDescent="0.25">
      <c r="I74" s="37"/>
      <c r="J74" s="37"/>
    </row>
    <row r="75" spans="9:10" x14ac:dyDescent="0.25">
      <c r="I75" s="37"/>
      <c r="J75" s="37"/>
    </row>
    <row r="76" spans="9:10" x14ac:dyDescent="0.25">
      <c r="I76" s="37"/>
      <c r="J76" s="37"/>
    </row>
    <row r="77" spans="9:10" x14ac:dyDescent="0.25">
      <c r="I77" s="37"/>
      <c r="J77" s="37"/>
    </row>
    <row r="78" spans="9:10" x14ac:dyDescent="0.25">
      <c r="I78" s="37"/>
      <c r="J78" s="37"/>
    </row>
    <row r="79" spans="9:10" x14ac:dyDescent="0.25">
      <c r="I79" s="37"/>
      <c r="J79" s="37"/>
    </row>
    <row r="80" spans="9:10" x14ac:dyDescent="0.25">
      <c r="I80" s="37"/>
      <c r="J80" s="37"/>
    </row>
    <row r="81" spans="9:10" x14ac:dyDescent="0.25">
      <c r="I81" s="37"/>
      <c r="J81" s="37"/>
    </row>
    <row r="82" spans="9:10" x14ac:dyDescent="0.25">
      <c r="I82" s="37"/>
      <c r="J82" s="37"/>
    </row>
    <row r="83" spans="9:10" x14ac:dyDescent="0.25">
      <c r="I83" s="37"/>
      <c r="J83" s="37"/>
    </row>
    <row r="84" spans="9:10" x14ac:dyDescent="0.25">
      <c r="I84" s="37"/>
      <c r="J84" s="37"/>
    </row>
    <row r="85" spans="9:10" x14ac:dyDescent="0.25">
      <c r="I85" s="37"/>
      <c r="J85" s="37"/>
    </row>
    <row r="86" spans="9:10" ht="15" customHeight="1" x14ac:dyDescent="0.25">
      <c r="I86" s="37"/>
      <c r="J86" s="37"/>
    </row>
    <row r="87" spans="9:10" x14ac:dyDescent="0.25">
      <c r="I87" s="37"/>
      <c r="J87" s="37"/>
    </row>
    <row r="88" spans="9:10" x14ac:dyDescent="0.25">
      <c r="I88" s="37"/>
      <c r="J88" s="37"/>
    </row>
    <row r="89" spans="9:10" x14ac:dyDescent="0.25">
      <c r="I89" s="37"/>
      <c r="J89" s="37"/>
    </row>
    <row r="90" spans="9:10" x14ac:dyDescent="0.25">
      <c r="I90" s="37"/>
      <c r="J90" s="37"/>
    </row>
    <row r="91" spans="9:10" x14ac:dyDescent="0.25">
      <c r="I91" s="37"/>
      <c r="J91" s="37"/>
    </row>
    <row r="92" spans="9:10" x14ac:dyDescent="0.25">
      <c r="I92" s="37"/>
      <c r="J92" s="37"/>
    </row>
    <row r="93" spans="9:10" x14ac:dyDescent="0.25">
      <c r="I93" s="37"/>
      <c r="J93" s="37"/>
    </row>
    <row r="94" spans="9:10" x14ac:dyDescent="0.25">
      <c r="I94" s="37"/>
      <c r="J94" s="37"/>
    </row>
    <row r="95" spans="9:10" x14ac:dyDescent="0.25">
      <c r="I95" s="37"/>
      <c r="J95" s="37"/>
    </row>
    <row r="96" spans="9:10" x14ac:dyDescent="0.25">
      <c r="I96" s="37"/>
      <c r="J96" s="37"/>
    </row>
    <row r="97" spans="9:10" x14ac:dyDescent="0.25">
      <c r="I97" s="37"/>
      <c r="J97" s="37"/>
    </row>
    <row r="98" spans="9:10" x14ac:dyDescent="0.25">
      <c r="I98" s="37"/>
      <c r="J98" s="37"/>
    </row>
    <row r="99" spans="9:10" x14ac:dyDescent="0.25">
      <c r="I99" s="37"/>
      <c r="J99" s="37"/>
    </row>
    <row r="100" spans="9:10" x14ac:dyDescent="0.25">
      <c r="I100" s="37"/>
      <c r="J100" s="37"/>
    </row>
    <row r="101" spans="9:10" x14ac:dyDescent="0.25">
      <c r="I101" s="37"/>
      <c r="J101" s="37"/>
    </row>
    <row r="102" spans="9:10" x14ac:dyDescent="0.25">
      <c r="I102" s="37"/>
      <c r="J102" s="37"/>
    </row>
    <row r="103" spans="9:10" x14ac:dyDescent="0.25">
      <c r="I103" s="37"/>
      <c r="J103" s="37"/>
    </row>
    <row r="104" spans="9:10" x14ac:dyDescent="0.25">
      <c r="I104" s="37"/>
      <c r="J104" s="37"/>
    </row>
    <row r="105" spans="9:10" x14ac:dyDescent="0.25">
      <c r="I105" s="37"/>
      <c r="J105" s="37"/>
    </row>
    <row r="106" spans="9:10" x14ac:dyDescent="0.25">
      <c r="I106" s="37"/>
      <c r="J106" s="37"/>
    </row>
    <row r="107" spans="9:10" x14ac:dyDescent="0.25">
      <c r="I107" s="37"/>
      <c r="J107" s="37"/>
    </row>
    <row r="108" spans="9:10" x14ac:dyDescent="0.25">
      <c r="I108" s="37"/>
      <c r="J108" s="37"/>
    </row>
    <row r="109" spans="9:10" x14ac:dyDescent="0.25">
      <c r="I109" s="37"/>
      <c r="J109" s="37"/>
    </row>
    <row r="110" spans="9:10" x14ac:dyDescent="0.25">
      <c r="I110" s="37"/>
      <c r="J110" s="37"/>
    </row>
    <row r="111" spans="9:10" x14ac:dyDescent="0.25">
      <c r="I111" s="37"/>
      <c r="J111" s="37"/>
    </row>
    <row r="112" spans="9:10" x14ac:dyDescent="0.25">
      <c r="I112" s="37"/>
      <c r="J112" s="37"/>
    </row>
    <row r="113" spans="9:10" x14ac:dyDescent="0.25">
      <c r="I113" s="37"/>
      <c r="J113" s="37"/>
    </row>
    <row r="114" spans="9:10" x14ac:dyDescent="0.25">
      <c r="I114" s="37"/>
      <c r="J114" s="37"/>
    </row>
    <row r="115" spans="9:10" x14ac:dyDescent="0.25">
      <c r="I115" s="37"/>
      <c r="J115" s="37"/>
    </row>
    <row r="116" spans="9:10" x14ac:dyDescent="0.25">
      <c r="I116" s="37"/>
      <c r="J116" s="37"/>
    </row>
    <row r="117" spans="9:10" x14ac:dyDescent="0.25">
      <c r="I117" s="37"/>
      <c r="J117" s="37"/>
    </row>
    <row r="118" spans="9:10" x14ac:dyDescent="0.25">
      <c r="I118" s="37"/>
      <c r="J118" s="37"/>
    </row>
    <row r="133" spans="3:5" x14ac:dyDescent="0.25">
      <c r="C133" s="37"/>
      <c r="D133" s="37"/>
    </row>
    <row r="134" spans="3:5" x14ac:dyDescent="0.25">
      <c r="C134" s="39"/>
      <c r="D134" s="55"/>
      <c r="E134" s="58"/>
    </row>
    <row r="135" spans="3:5" x14ac:dyDescent="0.25">
      <c r="C135" s="39"/>
      <c r="D135" s="55"/>
      <c r="E135" s="58"/>
    </row>
    <row r="136" spans="3:5" x14ac:dyDescent="0.25">
      <c r="C136" s="39"/>
      <c r="D136" s="55"/>
      <c r="E136" s="58"/>
    </row>
  </sheetData>
  <mergeCells count="4">
    <mergeCell ref="D4:G5"/>
    <mergeCell ref="E7:F7"/>
    <mergeCell ref="L4:O5"/>
    <mergeCell ref="M7:N7"/>
  </mergeCells>
  <pageMargins left="0.75" right="0.75" top="1" bottom="1" header="0.5" footer="0.5"/>
  <pageSetup scale="6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W84"/>
  <sheetViews>
    <sheetView view="pageBreakPreview" zoomScale="85" zoomScaleNormal="85" zoomScaleSheetLayoutView="85" workbookViewId="0">
      <selection activeCell="Y26" sqref="Y26"/>
    </sheetView>
  </sheetViews>
  <sheetFormatPr defaultRowHeight="15.75" x14ac:dyDescent="0.25"/>
  <cols>
    <col min="1" max="1" width="4.7109375" style="2" customWidth="1"/>
    <col min="2" max="2" width="14.7109375" style="2" bestFit="1" customWidth="1"/>
    <col min="3" max="3" width="16.85546875" style="2" customWidth="1"/>
    <col min="4" max="5" width="15" style="2" bestFit="1" customWidth="1"/>
    <col min="6" max="6" width="18.140625" style="2" bestFit="1" customWidth="1"/>
    <col min="7" max="7" width="18" style="2" bestFit="1" customWidth="1"/>
    <col min="8" max="8" width="5.7109375" style="2" customWidth="1"/>
    <col min="9" max="9" width="15.140625" style="2" hidden="1" customWidth="1"/>
    <col min="10" max="10" width="4.7109375" style="2" hidden="1" customWidth="1"/>
    <col min="11" max="11" width="21.85546875" style="2" hidden="1" customWidth="1"/>
    <col min="12" max="12" width="15.140625" style="2" hidden="1" customWidth="1"/>
    <col min="13" max="13" width="14" style="2" hidden="1" customWidth="1"/>
    <col min="14" max="14" width="13.42578125" style="2" hidden="1" customWidth="1"/>
    <col min="15" max="15" width="15.7109375" style="2" hidden="1" customWidth="1"/>
    <col min="16" max="16" width="5.85546875" style="2" hidden="1" customWidth="1"/>
    <col min="17" max="17" width="13" style="2" hidden="1" customWidth="1"/>
    <col min="18" max="18" width="15.5703125" style="2" hidden="1" customWidth="1"/>
    <col min="19" max="19" width="22.7109375" style="2" hidden="1" customWidth="1"/>
    <col min="20" max="20" width="14.42578125" style="2" hidden="1" customWidth="1"/>
    <col min="21" max="21" width="12.7109375" style="2" hidden="1" customWidth="1"/>
    <col min="22" max="22" width="2.85546875" style="2" hidden="1" customWidth="1"/>
    <col min="23" max="23" width="17.85546875" style="2" hidden="1" customWidth="1"/>
    <col min="24" max="16384" width="9.140625" style="2"/>
  </cols>
  <sheetData>
    <row r="1" spans="1:23" x14ac:dyDescent="0.25">
      <c r="A1" s="1" t="s">
        <v>67</v>
      </c>
      <c r="I1" s="1"/>
      <c r="Q1" s="1"/>
    </row>
    <row r="2" spans="1:23" x14ac:dyDescent="0.25">
      <c r="A2" s="2" t="s">
        <v>29</v>
      </c>
    </row>
    <row r="3" spans="1:23" ht="16.5" thickBot="1" x14ac:dyDescent="0.3">
      <c r="A3" s="2" t="s">
        <v>83</v>
      </c>
    </row>
    <row r="4" spans="1:23" x14ac:dyDescent="0.25">
      <c r="D4" s="388" t="s">
        <v>31</v>
      </c>
      <c r="E4" s="389"/>
      <c r="F4" s="389"/>
      <c r="G4" s="390"/>
      <c r="L4" s="388" t="s">
        <v>43</v>
      </c>
      <c r="M4" s="389"/>
      <c r="N4" s="389"/>
      <c r="O4" s="390"/>
      <c r="T4" s="388" t="s">
        <v>0</v>
      </c>
      <c r="U4" s="389"/>
      <c r="V4" s="389"/>
      <c r="W4" s="390"/>
    </row>
    <row r="5" spans="1:23" ht="16.5" thickBot="1" x14ac:dyDescent="0.3">
      <c r="A5" s="40"/>
      <c r="B5" s="57"/>
      <c r="C5" s="3"/>
      <c r="D5" s="391"/>
      <c r="E5" s="392"/>
      <c r="F5" s="392"/>
      <c r="G5" s="393"/>
      <c r="I5" s="3"/>
      <c r="J5" s="3"/>
      <c r="K5" s="3"/>
      <c r="L5" s="391"/>
      <c r="M5" s="392"/>
      <c r="N5" s="392"/>
      <c r="O5" s="393"/>
      <c r="Q5" s="3"/>
      <c r="R5" s="3"/>
      <c r="S5" s="3"/>
      <c r="T5" s="391"/>
      <c r="U5" s="392"/>
      <c r="V5" s="392"/>
      <c r="W5" s="393"/>
    </row>
    <row r="6" spans="1:23" x14ac:dyDescent="0.25">
      <c r="A6" s="4"/>
      <c r="B6" s="4"/>
      <c r="C6" s="4"/>
      <c r="D6" s="4" t="s">
        <v>1</v>
      </c>
      <c r="E6" s="4"/>
      <c r="F6" s="4"/>
      <c r="G6" s="4" t="s">
        <v>2</v>
      </c>
      <c r="I6" s="4"/>
      <c r="J6" s="4"/>
      <c r="K6" s="4"/>
      <c r="L6" s="4" t="s">
        <v>1</v>
      </c>
      <c r="M6" s="4"/>
      <c r="N6" s="4"/>
      <c r="O6" s="4" t="s">
        <v>2</v>
      </c>
      <c r="Q6" s="4"/>
      <c r="R6" s="4"/>
      <c r="S6" s="4"/>
      <c r="T6" s="4" t="s">
        <v>1</v>
      </c>
      <c r="U6" s="4"/>
      <c r="V6" s="4"/>
      <c r="W6" s="4" t="s">
        <v>2</v>
      </c>
    </row>
    <row r="7" spans="1:23" ht="16.5" thickBot="1" x14ac:dyDescent="0.3">
      <c r="A7" s="5"/>
      <c r="B7" s="5"/>
      <c r="C7" s="5"/>
      <c r="D7" s="5" t="s">
        <v>4</v>
      </c>
      <c r="E7" s="392" t="s">
        <v>5</v>
      </c>
      <c r="F7" s="392"/>
      <c r="G7" s="5" t="s">
        <v>6</v>
      </c>
      <c r="I7" s="5"/>
      <c r="J7" s="5"/>
      <c r="K7" s="5"/>
      <c r="L7" s="5" t="s">
        <v>4</v>
      </c>
      <c r="M7" s="392" t="s">
        <v>5</v>
      </c>
      <c r="N7" s="392"/>
      <c r="O7" s="5" t="s">
        <v>6</v>
      </c>
      <c r="Q7" s="5"/>
      <c r="R7" s="5"/>
      <c r="S7" s="5"/>
      <c r="T7" s="5" t="s">
        <v>4</v>
      </c>
      <c r="U7" s="392" t="s">
        <v>5</v>
      </c>
      <c r="V7" s="392"/>
      <c r="W7" s="5" t="s">
        <v>6</v>
      </c>
    </row>
    <row r="10" spans="1:23" x14ac:dyDescent="0.25">
      <c r="A10" s="1" t="s">
        <v>35</v>
      </c>
      <c r="I10" s="1" t="s">
        <v>10</v>
      </c>
      <c r="Q10" s="1" t="s">
        <v>10</v>
      </c>
    </row>
    <row r="11" spans="1:23" ht="31.5" x14ac:dyDescent="0.25">
      <c r="D11" s="6" t="s">
        <v>9</v>
      </c>
      <c r="E11" s="6" t="s">
        <v>12</v>
      </c>
      <c r="L11" s="6" t="s">
        <v>9</v>
      </c>
      <c r="M11" s="6" t="s">
        <v>12</v>
      </c>
      <c r="T11" s="6" t="s">
        <v>9</v>
      </c>
      <c r="U11" s="6" t="s">
        <v>12</v>
      </c>
    </row>
    <row r="12" spans="1:23" x14ac:dyDescent="0.25">
      <c r="B12" s="2" t="s">
        <v>44</v>
      </c>
      <c r="D12" s="8">
        <f>C46+C66</f>
        <v>878829</v>
      </c>
      <c r="E12" s="31">
        <v>0</v>
      </c>
      <c r="G12" s="11">
        <f>D12*E12</f>
        <v>0</v>
      </c>
      <c r="J12" s="2" t="s">
        <v>30</v>
      </c>
      <c r="L12" s="8">
        <f>D12</f>
        <v>878829</v>
      </c>
      <c r="M12" s="31">
        <v>28.14</v>
      </c>
      <c r="O12" s="11">
        <f>L12*M12</f>
        <v>24730248.059999999</v>
      </c>
      <c r="R12" s="2" t="s">
        <v>9</v>
      </c>
      <c r="T12" s="8">
        <f>L12</f>
        <v>878829</v>
      </c>
      <c r="U12" s="31" t="e">
        <f>#REF!</f>
        <v>#REF!</v>
      </c>
      <c r="W12" s="11" t="e">
        <f>T12*U12</f>
        <v>#REF!</v>
      </c>
    </row>
    <row r="13" spans="1:23" x14ac:dyDescent="0.25">
      <c r="D13" s="66"/>
      <c r="G13" s="11"/>
      <c r="O13" s="11"/>
      <c r="W13" s="11"/>
    </row>
    <row r="14" spans="1:23" x14ac:dyDescent="0.25">
      <c r="A14" s="1" t="s">
        <v>7</v>
      </c>
      <c r="D14" s="8"/>
      <c r="G14" s="11"/>
      <c r="I14" s="1" t="s">
        <v>7</v>
      </c>
      <c r="L14" s="8"/>
      <c r="O14" s="11"/>
      <c r="Q14" s="1" t="s">
        <v>7</v>
      </c>
      <c r="T14" s="8"/>
      <c r="W14" s="11"/>
    </row>
    <row r="15" spans="1:23" x14ac:dyDescent="0.25">
      <c r="D15" s="13" t="s">
        <v>8</v>
      </c>
      <c r="E15" s="12" t="s">
        <v>11</v>
      </c>
      <c r="G15" s="11"/>
      <c r="L15" s="13" t="s">
        <v>8</v>
      </c>
      <c r="M15" s="12" t="s">
        <v>11</v>
      </c>
      <c r="O15" s="11"/>
      <c r="T15" s="13" t="s">
        <v>8</v>
      </c>
      <c r="U15" s="12" t="s">
        <v>11</v>
      </c>
      <c r="W15" s="11"/>
    </row>
    <row r="16" spans="1:23" x14ac:dyDescent="0.25">
      <c r="B16" s="2" t="s">
        <v>23</v>
      </c>
      <c r="D16" s="8">
        <f>D46+D66</f>
        <v>822412365</v>
      </c>
      <c r="E16" s="18">
        <v>0.11964</v>
      </c>
      <c r="G16" s="31">
        <f>D16*E16</f>
        <v>98393415.3486</v>
      </c>
      <c r="J16" s="2" t="s">
        <v>33</v>
      </c>
      <c r="L16" s="8">
        <f>D18</f>
        <v>4587729</v>
      </c>
      <c r="M16" s="53">
        <v>3.0599472934085808E-2</v>
      </c>
      <c r="O16" s="11">
        <f>L16*M16</f>
        <v>140382.08936442054</v>
      </c>
      <c r="R16" s="2" t="s">
        <v>33</v>
      </c>
      <c r="T16" s="8">
        <f>L18</f>
        <v>4587729</v>
      </c>
      <c r="U16" s="53">
        <v>0</v>
      </c>
      <c r="W16" s="11">
        <f>T16*U16</f>
        <v>0</v>
      </c>
    </row>
    <row r="17" spans="1:23" x14ac:dyDescent="0.25">
      <c r="D17" s="8"/>
      <c r="E17" s="18"/>
      <c r="G17" s="32"/>
      <c r="J17" s="2" t="s">
        <v>32</v>
      </c>
      <c r="L17" s="8">
        <f>L16</f>
        <v>4587729</v>
      </c>
      <c r="M17" s="76">
        <v>4.7909326518313644E-2</v>
      </c>
      <c r="O17" s="33">
        <f>L17*M17</f>
        <v>219795.00663853655</v>
      </c>
      <c r="R17" s="2" t="s">
        <v>32</v>
      </c>
      <c r="T17" s="8">
        <f>T16</f>
        <v>4587729</v>
      </c>
      <c r="U17" s="76">
        <v>0</v>
      </c>
      <c r="W17" s="33">
        <f>T17*U17</f>
        <v>0</v>
      </c>
    </row>
    <row r="18" spans="1:23" x14ac:dyDescent="0.25">
      <c r="B18" s="2" t="s">
        <v>17</v>
      </c>
      <c r="C18" s="16"/>
      <c r="D18" s="8">
        <v>4587729</v>
      </c>
      <c r="E18" s="18">
        <f>E16</f>
        <v>0.11964</v>
      </c>
      <c r="G18" s="31">
        <f>D18*E18</f>
        <v>548875.89755999995</v>
      </c>
      <c r="J18" s="7" t="s">
        <v>28</v>
      </c>
      <c r="K18" s="7"/>
      <c r="L18" s="17">
        <f>L16</f>
        <v>4587729</v>
      </c>
      <c r="M18" s="70">
        <v>1.994013128609894E-2</v>
      </c>
      <c r="N18" s="7"/>
      <c r="O18" s="34">
        <f>L18*M18</f>
        <v>91479.918565043408</v>
      </c>
      <c r="R18" s="7" t="s">
        <v>28</v>
      </c>
      <c r="S18" s="7"/>
      <c r="T18" s="17">
        <f>T16</f>
        <v>4587729</v>
      </c>
      <c r="U18" s="70">
        <v>0</v>
      </c>
      <c r="V18" s="7"/>
      <c r="W18" s="34">
        <f>T18*U18</f>
        <v>0</v>
      </c>
    </row>
    <row r="19" spans="1:23" x14ac:dyDescent="0.25">
      <c r="A19" s="1"/>
      <c r="G19" s="11"/>
      <c r="K19" s="16"/>
      <c r="L19" s="8"/>
      <c r="M19" s="53">
        <f>SUM(M16:M18)</f>
        <v>9.8448930738498391E-2</v>
      </c>
      <c r="O19" s="11">
        <f>SUM(O16:O18)</f>
        <v>451657.01456800051</v>
      </c>
      <c r="S19" s="16"/>
      <c r="T19" s="8"/>
      <c r="U19" s="53">
        <f>SUM(U16:U18)</f>
        <v>0</v>
      </c>
      <c r="W19" s="11">
        <f>SUM(W16:W18)</f>
        <v>0</v>
      </c>
    </row>
    <row r="20" spans="1:23" x14ac:dyDescent="0.25">
      <c r="A20" s="1"/>
      <c r="E20" s="61"/>
      <c r="G20" s="11"/>
      <c r="H20" s="15"/>
      <c r="P20" s="15"/>
    </row>
    <row r="21" spans="1:23" x14ac:dyDescent="0.25">
      <c r="A21" s="1"/>
      <c r="G21" s="11"/>
      <c r="H21" s="11"/>
      <c r="I21" s="1"/>
      <c r="L21" s="8"/>
      <c r="M21" s="69"/>
      <c r="O21" s="11"/>
      <c r="P21" s="11"/>
      <c r="Q21" s="1"/>
      <c r="T21" s="8"/>
      <c r="U21" s="69"/>
      <c r="W21" s="11"/>
    </row>
    <row r="22" spans="1:23" ht="16.5" thickBot="1" x14ac:dyDescent="0.3">
      <c r="A22" s="1" t="s">
        <v>81</v>
      </c>
      <c r="G22" s="24">
        <f>G12+G16+G18</f>
        <v>98942291.246160001</v>
      </c>
      <c r="H22" s="11"/>
      <c r="I22" s="1"/>
      <c r="L22" s="8"/>
      <c r="M22" s="18"/>
      <c r="O22" s="11"/>
      <c r="P22" s="11"/>
      <c r="Q22" s="1"/>
      <c r="T22" s="8"/>
      <c r="U22" s="18"/>
      <c r="W22" s="11"/>
    </row>
    <row r="23" spans="1:23" ht="17.25" thickTop="1" thickBot="1" x14ac:dyDescent="0.3">
      <c r="A23" s="1"/>
      <c r="B23" s="1"/>
      <c r="G23" s="11"/>
      <c r="H23" s="11"/>
      <c r="I23" s="1" t="s">
        <v>37</v>
      </c>
      <c r="O23" s="24">
        <f>O12+O19+O21</f>
        <v>25181905.074568</v>
      </c>
      <c r="P23" s="11"/>
      <c r="Q23" s="1" t="s">
        <v>37</v>
      </c>
      <c r="W23" s="24" t="e">
        <f>W12+W19+W21</f>
        <v>#REF!</v>
      </c>
    </row>
    <row r="24" spans="1:23" ht="16.5" thickTop="1" x14ac:dyDescent="0.25">
      <c r="A24" s="1" t="s">
        <v>18</v>
      </c>
      <c r="B24" s="10"/>
      <c r="G24" s="11">
        <f>E46+F46+E66+F66</f>
        <v>99247908.379999995</v>
      </c>
      <c r="I24" s="1"/>
      <c r="J24" s="1"/>
      <c r="O24" s="10"/>
      <c r="Q24" s="1"/>
      <c r="R24" s="1"/>
      <c r="W24" s="10"/>
    </row>
    <row r="25" spans="1:23" x14ac:dyDescent="0.25">
      <c r="A25" s="10"/>
      <c r="B25" s="11"/>
      <c r="G25" s="10"/>
      <c r="I25" s="1" t="s">
        <v>13</v>
      </c>
      <c r="J25" s="10"/>
      <c r="O25" s="22">
        <f>O23-G22</f>
        <v>-73760386.171591997</v>
      </c>
      <c r="Q25" s="1" t="s">
        <v>13</v>
      </c>
      <c r="R25" s="10"/>
      <c r="W25" s="22" t="e">
        <f>W23-G22</f>
        <v>#REF!</v>
      </c>
    </row>
    <row r="26" spans="1:23" x14ac:dyDescent="0.25">
      <c r="A26" s="1" t="s">
        <v>13</v>
      </c>
      <c r="B26" s="10"/>
      <c r="G26" s="22">
        <f>G22-G24</f>
        <v>-305617.13383999467</v>
      </c>
      <c r="H26" s="15"/>
      <c r="I26" s="10"/>
      <c r="J26" s="22"/>
      <c r="O26" s="11"/>
      <c r="P26" s="15"/>
      <c r="Q26" s="10"/>
      <c r="R26" s="22"/>
      <c r="W26" s="11"/>
    </row>
    <row r="27" spans="1:23" x14ac:dyDescent="0.25">
      <c r="A27" s="10"/>
      <c r="B27" s="22"/>
      <c r="G27" s="11"/>
      <c r="I27" s="1" t="s">
        <v>27</v>
      </c>
      <c r="J27" s="11"/>
      <c r="O27" s="23">
        <f>O25/G24</f>
        <v>-0.74319335667184572</v>
      </c>
      <c r="Q27" s="1" t="s">
        <v>27</v>
      </c>
      <c r="R27" s="11"/>
      <c r="W27" s="23" t="e">
        <f>W25/G22</f>
        <v>#REF!</v>
      </c>
    </row>
    <row r="28" spans="1:23" x14ac:dyDescent="0.25">
      <c r="A28" s="1" t="s">
        <v>27</v>
      </c>
      <c r="B28" s="11"/>
      <c r="G28" s="23">
        <f>G26/G24</f>
        <v>-3.0793307267479031E-3</v>
      </c>
    </row>
    <row r="29" spans="1:23" x14ac:dyDescent="0.25">
      <c r="I29" s="1"/>
      <c r="O29" s="11"/>
      <c r="W29" s="11"/>
    </row>
    <row r="30" spans="1:23" x14ac:dyDescent="0.25">
      <c r="E30" s="11"/>
    </row>
    <row r="31" spans="1:23" x14ac:dyDescent="0.25">
      <c r="C31" s="37" t="s">
        <v>70</v>
      </c>
      <c r="D31" s="37"/>
      <c r="E31" s="37"/>
      <c r="F31" s="37"/>
      <c r="G31" s="37"/>
      <c r="H31" s="37"/>
      <c r="I31" s="37"/>
      <c r="R31" s="37"/>
    </row>
    <row r="32" spans="1:23" x14ac:dyDescent="0.25">
      <c r="C32" s="37"/>
      <c r="D32" s="37"/>
      <c r="E32" s="37"/>
      <c r="F32" s="37"/>
      <c r="G32" s="37"/>
      <c r="H32" s="37"/>
      <c r="I32" s="37"/>
      <c r="R32" s="57"/>
      <c r="S32" s="37"/>
    </row>
    <row r="33" spans="1:19" x14ac:dyDescent="0.25">
      <c r="A33" s="11"/>
      <c r="C33" s="37" t="s">
        <v>38</v>
      </c>
      <c r="D33" s="37" t="s">
        <v>45</v>
      </c>
      <c r="E33" s="37" t="s">
        <v>68</v>
      </c>
      <c r="F33" s="37" t="s">
        <v>69</v>
      </c>
      <c r="H33" s="37"/>
      <c r="I33" s="37"/>
      <c r="R33" s="57"/>
      <c r="S33" s="37"/>
    </row>
    <row r="34" spans="1:19" x14ac:dyDescent="0.25">
      <c r="A34" s="11"/>
      <c r="B34" s="82">
        <v>40544</v>
      </c>
      <c r="C34" s="37">
        <v>40453</v>
      </c>
      <c r="D34" s="37">
        <v>47254873</v>
      </c>
      <c r="F34" s="62">
        <v>5708372.1200000001</v>
      </c>
      <c r="G34" s="62"/>
      <c r="H34" s="37"/>
      <c r="I34" s="71"/>
      <c r="R34" s="37"/>
      <c r="S34" s="37"/>
    </row>
    <row r="35" spans="1:19" x14ac:dyDescent="0.25">
      <c r="A35" s="11"/>
      <c r="B35" s="82">
        <v>40575</v>
      </c>
      <c r="C35" s="37">
        <v>40440</v>
      </c>
      <c r="D35" s="37">
        <v>44903940</v>
      </c>
      <c r="F35" s="62">
        <v>5426631.7800000003</v>
      </c>
      <c r="G35" s="62"/>
      <c r="H35" s="37"/>
      <c r="I35" s="71"/>
      <c r="R35" s="37"/>
      <c r="S35" s="37"/>
    </row>
    <row r="36" spans="1:19" x14ac:dyDescent="0.25">
      <c r="A36" s="10"/>
      <c r="B36" s="82">
        <v>40603</v>
      </c>
      <c r="C36" s="37">
        <v>40430</v>
      </c>
      <c r="D36" s="37">
        <v>37832486</v>
      </c>
      <c r="F36" s="62">
        <v>4587610.34</v>
      </c>
      <c r="G36" s="62"/>
      <c r="H36" s="37"/>
      <c r="I36" s="71"/>
      <c r="R36" s="37"/>
      <c r="S36" s="37"/>
    </row>
    <row r="37" spans="1:19" x14ac:dyDescent="0.25">
      <c r="A37" s="22"/>
      <c r="B37" s="82">
        <v>40634</v>
      </c>
      <c r="C37" s="37">
        <v>40432</v>
      </c>
      <c r="D37" s="37">
        <v>36808941</v>
      </c>
      <c r="F37" s="62">
        <v>4463624.74</v>
      </c>
      <c r="G37" s="62"/>
      <c r="H37" s="37"/>
      <c r="I37" s="71"/>
      <c r="R37" s="37"/>
      <c r="S37" s="37"/>
    </row>
    <row r="38" spans="1:19" x14ac:dyDescent="0.25">
      <c r="A38" s="11"/>
      <c r="B38" s="82">
        <v>40664</v>
      </c>
      <c r="C38" s="37">
        <v>40421</v>
      </c>
      <c r="D38" s="37">
        <v>31736684</v>
      </c>
      <c r="F38" s="62">
        <v>3860643.03</v>
      </c>
      <c r="G38" s="62"/>
      <c r="H38" s="37"/>
      <c r="I38" s="71"/>
      <c r="R38" s="37"/>
      <c r="S38" s="37"/>
    </row>
    <row r="39" spans="1:19" x14ac:dyDescent="0.25">
      <c r="A39" s="23"/>
      <c r="B39" s="82">
        <v>40695</v>
      </c>
      <c r="C39" s="37">
        <v>40422</v>
      </c>
      <c r="D39" s="37">
        <v>30238497</v>
      </c>
      <c r="F39" s="62">
        <v>3678583.0100000002</v>
      </c>
      <c r="G39" s="62"/>
      <c r="H39" s="37"/>
      <c r="I39" s="71"/>
      <c r="R39" s="37"/>
      <c r="S39" s="37"/>
    </row>
    <row r="40" spans="1:19" x14ac:dyDescent="0.25">
      <c r="B40" s="82">
        <v>40725</v>
      </c>
      <c r="C40" s="37">
        <v>40485</v>
      </c>
      <c r="D40" s="37">
        <v>30153828</v>
      </c>
      <c r="F40" s="62">
        <v>3667109.75</v>
      </c>
      <c r="G40" s="62"/>
      <c r="H40" s="37"/>
      <c r="I40" s="71"/>
      <c r="R40" s="37"/>
      <c r="S40" s="37"/>
    </row>
    <row r="41" spans="1:19" x14ac:dyDescent="0.25">
      <c r="B41" s="82">
        <v>40756</v>
      </c>
      <c r="C41" s="37">
        <v>40486</v>
      </c>
      <c r="D41" s="37">
        <v>27740784</v>
      </c>
      <c r="F41" s="62">
        <v>3383060.9699999997</v>
      </c>
      <c r="G41" s="62"/>
      <c r="H41" s="37"/>
      <c r="I41" s="71"/>
      <c r="R41" s="37"/>
      <c r="S41" s="37"/>
    </row>
    <row r="42" spans="1:19" x14ac:dyDescent="0.25">
      <c r="B42" s="82">
        <v>40422</v>
      </c>
      <c r="C42" s="37">
        <v>40415</v>
      </c>
      <c r="D42" s="37">
        <v>30072287</v>
      </c>
      <c r="F42" s="62">
        <v>3656481.8000000003</v>
      </c>
      <c r="G42" s="62"/>
      <c r="H42" s="37"/>
      <c r="I42" s="71"/>
      <c r="R42" s="37"/>
      <c r="S42" s="37"/>
    </row>
    <row r="43" spans="1:19" x14ac:dyDescent="0.25">
      <c r="B43" s="82">
        <v>40452</v>
      </c>
      <c r="C43" s="37">
        <v>40462</v>
      </c>
      <c r="D43" s="37">
        <v>27603624</v>
      </c>
      <c r="F43" s="62">
        <v>3366388.23</v>
      </c>
      <c r="G43" s="62"/>
      <c r="H43" s="37"/>
      <c r="I43" s="71"/>
      <c r="R43" s="37"/>
      <c r="S43" s="37"/>
    </row>
    <row r="44" spans="1:19" ht="16.5" customHeight="1" x14ac:dyDescent="0.25">
      <c r="B44" s="82">
        <v>40483</v>
      </c>
      <c r="C44" s="37">
        <v>40451</v>
      </c>
      <c r="D44" s="37">
        <v>32012599</v>
      </c>
      <c r="F44" s="62">
        <v>3891371.3200000003</v>
      </c>
      <c r="G44" s="62"/>
      <c r="H44" s="37"/>
      <c r="I44" s="71"/>
      <c r="R44" s="37"/>
      <c r="S44" s="37"/>
    </row>
    <row r="45" spans="1:19" x14ac:dyDescent="0.25">
      <c r="B45" s="82">
        <v>40513</v>
      </c>
      <c r="C45" s="43">
        <v>40449</v>
      </c>
      <c r="D45" s="43">
        <v>40242704</v>
      </c>
      <c r="E45" s="7"/>
      <c r="F45" s="83">
        <v>4872298.49</v>
      </c>
      <c r="G45" s="62"/>
      <c r="H45" s="37"/>
      <c r="I45" s="71"/>
      <c r="R45" s="37"/>
      <c r="S45" s="37"/>
    </row>
    <row r="46" spans="1:19" x14ac:dyDescent="0.25">
      <c r="C46" s="37">
        <f>SUM(C34:C45)</f>
        <v>485346</v>
      </c>
      <c r="D46" s="37">
        <f>SUM(D34:D45)</f>
        <v>416601247</v>
      </c>
      <c r="E46" s="68">
        <f>SUM(E34:E45)</f>
        <v>0</v>
      </c>
      <c r="F46" s="68">
        <f>SUM(F34:F45)</f>
        <v>50562175.579999998</v>
      </c>
      <c r="G46" s="62"/>
      <c r="H46" s="37"/>
      <c r="I46" s="71"/>
      <c r="R46" s="37"/>
      <c r="S46" s="37"/>
    </row>
    <row r="47" spans="1:19" x14ac:dyDescent="0.25">
      <c r="C47" s="37"/>
      <c r="D47" s="37"/>
      <c r="F47" s="37"/>
      <c r="G47" s="37"/>
      <c r="H47" s="37"/>
      <c r="I47" s="37"/>
      <c r="R47" s="37"/>
      <c r="S47" s="37"/>
    </row>
    <row r="48" spans="1:19" x14ac:dyDescent="0.25">
      <c r="C48" s="37"/>
      <c r="D48" s="37"/>
      <c r="F48" s="37"/>
      <c r="G48" s="37"/>
      <c r="H48" s="37"/>
      <c r="I48" s="37"/>
      <c r="R48" s="37"/>
      <c r="S48" s="37"/>
    </row>
    <row r="51" spans="2:19" x14ac:dyDescent="0.25">
      <c r="C51" s="37" t="s">
        <v>71</v>
      </c>
      <c r="D51" s="37"/>
      <c r="F51" s="37"/>
      <c r="G51" s="37"/>
      <c r="H51" s="37"/>
      <c r="I51" s="37"/>
      <c r="R51" s="37"/>
      <c r="S51" s="37"/>
    </row>
    <row r="52" spans="2:19" x14ac:dyDescent="0.25">
      <c r="C52" s="37"/>
      <c r="D52" s="37"/>
      <c r="E52" s="37"/>
      <c r="F52" s="37"/>
      <c r="G52" s="37"/>
      <c r="H52" s="37"/>
      <c r="I52" s="37"/>
      <c r="R52" s="57"/>
      <c r="S52" s="37"/>
    </row>
    <row r="53" spans="2:19" x14ac:dyDescent="0.25">
      <c r="C53" s="37" t="s">
        <v>38</v>
      </c>
      <c r="D53" s="37" t="s">
        <v>45</v>
      </c>
      <c r="E53" s="37" t="s">
        <v>68</v>
      </c>
      <c r="F53" s="37" t="s">
        <v>69</v>
      </c>
      <c r="H53" s="37"/>
      <c r="I53" s="37"/>
      <c r="R53" s="57"/>
      <c r="S53" s="37"/>
    </row>
    <row r="54" spans="2:19" x14ac:dyDescent="0.25">
      <c r="B54" s="82">
        <v>40544</v>
      </c>
      <c r="C54" s="37">
        <v>32711</v>
      </c>
      <c r="D54" s="71">
        <v>38739095</v>
      </c>
      <c r="E54" s="66"/>
      <c r="F54" s="37">
        <v>4642858.4400000004</v>
      </c>
      <c r="G54" s="37"/>
      <c r="H54" s="69"/>
      <c r="I54" s="62"/>
      <c r="R54" s="37"/>
      <c r="S54" s="37"/>
    </row>
    <row r="55" spans="2:19" x14ac:dyDescent="0.25">
      <c r="B55" s="82">
        <v>40575</v>
      </c>
      <c r="C55" s="37">
        <v>32658</v>
      </c>
      <c r="D55" s="71">
        <v>33796946</v>
      </c>
      <c r="E55" s="66"/>
      <c r="F55" s="37">
        <v>4051304.51</v>
      </c>
      <c r="G55" s="37"/>
      <c r="H55" s="69"/>
      <c r="I55" s="62"/>
      <c r="R55" s="37"/>
      <c r="S55" s="37"/>
    </row>
    <row r="56" spans="2:19" x14ac:dyDescent="0.25">
      <c r="B56" s="82">
        <v>40603</v>
      </c>
      <c r="C56" s="37">
        <v>32654</v>
      </c>
      <c r="D56" s="71">
        <v>29219051</v>
      </c>
      <c r="E56" s="66"/>
      <c r="F56" s="37">
        <v>3506038.41</v>
      </c>
      <c r="G56" s="37"/>
      <c r="H56" s="69"/>
      <c r="I56" s="62"/>
      <c r="R56" s="37"/>
      <c r="S56" s="37"/>
    </row>
    <row r="57" spans="2:19" x14ac:dyDescent="0.25">
      <c r="B57" s="82">
        <v>40634</v>
      </c>
      <c r="C57" s="37">
        <v>32666</v>
      </c>
      <c r="D57" s="71">
        <v>29963026</v>
      </c>
      <c r="E57" s="66"/>
      <c r="F57" s="37">
        <v>3595041.32</v>
      </c>
      <c r="G57" s="37"/>
      <c r="H57" s="69"/>
      <c r="I57" s="62"/>
      <c r="R57" s="37"/>
      <c r="S57" s="37"/>
    </row>
    <row r="58" spans="2:19" x14ac:dyDescent="0.25">
      <c r="B58" s="82">
        <v>40664</v>
      </c>
      <c r="C58" s="37">
        <v>32663</v>
      </c>
      <c r="D58" s="71">
        <v>27226378</v>
      </c>
      <c r="E58" s="66"/>
      <c r="F58" s="37">
        <v>3269294.02</v>
      </c>
      <c r="G58" s="37"/>
      <c r="H58" s="69"/>
      <c r="I58" s="62"/>
      <c r="R58" s="37"/>
      <c r="S58" s="37"/>
    </row>
    <row r="59" spans="2:19" x14ac:dyDescent="0.25">
      <c r="B59" s="82">
        <v>40695</v>
      </c>
      <c r="C59" s="37">
        <v>32674</v>
      </c>
      <c r="D59" s="71">
        <v>29585978</v>
      </c>
      <c r="E59" s="66"/>
      <c r="F59" s="37">
        <v>3553380.98</v>
      </c>
      <c r="G59" s="37"/>
      <c r="H59" s="69"/>
      <c r="I59" s="62"/>
      <c r="R59" s="37"/>
      <c r="S59" s="37"/>
    </row>
    <row r="60" spans="2:19" x14ac:dyDescent="0.25">
      <c r="B60" s="82">
        <v>40725</v>
      </c>
      <c r="C60" s="37">
        <v>32708</v>
      </c>
      <c r="D60" s="71">
        <v>40545480</v>
      </c>
      <c r="E60" s="66"/>
      <c r="F60" s="37">
        <v>4862924.8499999996</v>
      </c>
      <c r="G60" s="37"/>
      <c r="H60" s="69"/>
      <c r="I60" s="62"/>
      <c r="R60" s="37"/>
      <c r="S60" s="37"/>
    </row>
    <row r="61" spans="2:19" x14ac:dyDescent="0.25">
      <c r="B61" s="82">
        <v>40756</v>
      </c>
      <c r="C61" s="37">
        <v>32723</v>
      </c>
      <c r="D61" s="71">
        <v>42893395</v>
      </c>
      <c r="E61" s="66"/>
      <c r="F61" s="37">
        <v>5143921.6100000003</v>
      </c>
      <c r="G61" s="37"/>
      <c r="H61" s="69"/>
      <c r="I61" s="62"/>
      <c r="R61" s="37"/>
      <c r="S61" s="37"/>
    </row>
    <row r="62" spans="2:19" x14ac:dyDescent="0.25">
      <c r="B62" s="82">
        <v>40422</v>
      </c>
      <c r="C62" s="37">
        <v>32970</v>
      </c>
      <c r="D62" s="71">
        <v>41034418</v>
      </c>
      <c r="E62" s="66"/>
      <c r="F62" s="37">
        <v>4921012.88</v>
      </c>
      <c r="G62" s="37"/>
      <c r="H62" s="69"/>
      <c r="I62" s="62"/>
      <c r="R62" s="37"/>
      <c r="S62" s="37"/>
    </row>
    <row r="63" spans="2:19" x14ac:dyDescent="0.25">
      <c r="B63" s="82">
        <v>40452</v>
      </c>
      <c r="C63" s="37">
        <v>32979</v>
      </c>
      <c r="D63" s="71">
        <v>30703514</v>
      </c>
      <c r="E63" s="66"/>
      <c r="F63" s="37">
        <v>3686879.15</v>
      </c>
      <c r="G63" s="37"/>
      <c r="H63" s="69"/>
      <c r="I63" s="62"/>
      <c r="R63" s="37"/>
      <c r="S63" s="37"/>
    </row>
    <row r="64" spans="2:19" x14ac:dyDescent="0.25">
      <c r="B64" s="82">
        <v>40483</v>
      </c>
      <c r="C64" s="37">
        <v>33022</v>
      </c>
      <c r="D64" s="71">
        <v>28826499</v>
      </c>
      <c r="E64" s="66"/>
      <c r="F64" s="37">
        <v>3461400.44</v>
      </c>
      <c r="G64" s="37"/>
      <c r="H64" s="69"/>
      <c r="I64" s="62"/>
      <c r="R64" s="37"/>
      <c r="S64" s="37"/>
    </row>
    <row r="65" spans="2:19" x14ac:dyDescent="0.25">
      <c r="B65" s="82">
        <v>40513</v>
      </c>
      <c r="C65" s="43">
        <v>33055</v>
      </c>
      <c r="D65" s="74">
        <v>33277338</v>
      </c>
      <c r="E65" s="75"/>
      <c r="F65" s="43">
        <v>3991676.19</v>
      </c>
      <c r="G65" s="37"/>
      <c r="H65" s="69"/>
      <c r="I65" s="62"/>
      <c r="R65" s="37"/>
      <c r="S65" s="37"/>
    </row>
    <row r="66" spans="2:19" x14ac:dyDescent="0.25">
      <c r="C66" s="37">
        <f>SUM(C54:C65)</f>
        <v>393483</v>
      </c>
      <c r="D66" s="71">
        <f>SUM(D54:D65)</f>
        <v>405811118</v>
      </c>
      <c r="E66" s="68">
        <f>SUM(E54:E65)</f>
        <v>0</v>
      </c>
      <c r="F66" s="68">
        <f>SUM(F54:F65)</f>
        <v>48685732.799999997</v>
      </c>
      <c r="G66" s="68"/>
      <c r="H66" s="37"/>
      <c r="I66" s="37"/>
      <c r="R66" s="37"/>
      <c r="S66" s="37"/>
    </row>
    <row r="67" spans="2:19" x14ac:dyDescent="0.25">
      <c r="C67" s="37"/>
      <c r="D67" s="37"/>
      <c r="F67" s="37"/>
      <c r="G67" s="37"/>
      <c r="H67" s="37"/>
      <c r="I67" s="37"/>
      <c r="R67" s="37"/>
      <c r="S67" s="37"/>
    </row>
    <row r="68" spans="2:19" x14ac:dyDescent="0.25">
      <c r="C68" s="37"/>
      <c r="D68" s="71"/>
      <c r="F68" s="37"/>
      <c r="G68" s="37"/>
      <c r="H68" s="37"/>
      <c r="I68" s="37"/>
      <c r="R68" s="37"/>
      <c r="S68" s="37"/>
    </row>
    <row r="71" spans="2:19" x14ac:dyDescent="0.25">
      <c r="C71" s="37"/>
      <c r="D71" s="37"/>
    </row>
    <row r="72" spans="2:19" x14ac:dyDescent="0.25">
      <c r="C72" s="39"/>
      <c r="D72" s="55"/>
      <c r="E72" s="58"/>
    </row>
    <row r="73" spans="2:19" x14ac:dyDescent="0.25">
      <c r="C73" s="39"/>
      <c r="D73" s="55"/>
      <c r="E73" s="58"/>
    </row>
    <row r="74" spans="2:19" x14ac:dyDescent="0.25">
      <c r="C74" s="39"/>
      <c r="D74" s="55"/>
      <c r="E74" s="58"/>
    </row>
    <row r="75" spans="2:19" x14ac:dyDescent="0.25">
      <c r="C75" s="39"/>
      <c r="D75" s="55"/>
      <c r="E75" s="58"/>
    </row>
    <row r="76" spans="2:19" x14ac:dyDescent="0.25">
      <c r="C76" s="39"/>
      <c r="D76" s="55"/>
      <c r="E76" s="58"/>
    </row>
    <row r="77" spans="2:19" x14ac:dyDescent="0.25">
      <c r="C77" s="39"/>
      <c r="D77" s="55"/>
      <c r="E77" s="58"/>
    </row>
    <row r="78" spans="2:19" x14ac:dyDescent="0.25">
      <c r="C78" s="39"/>
      <c r="D78" s="55"/>
      <c r="E78" s="58"/>
    </row>
    <row r="79" spans="2:19" x14ac:dyDescent="0.25">
      <c r="C79" s="39"/>
      <c r="D79" s="55"/>
      <c r="E79" s="58"/>
    </row>
    <row r="80" spans="2:19" x14ac:dyDescent="0.25">
      <c r="C80" s="39"/>
      <c r="D80" s="55"/>
      <c r="E80" s="58"/>
    </row>
    <row r="81" spans="3:5" x14ac:dyDescent="0.25">
      <c r="C81" s="39"/>
      <c r="D81" s="55"/>
      <c r="E81" s="58"/>
    </row>
    <row r="82" spans="3:5" x14ac:dyDescent="0.25">
      <c r="C82" s="39"/>
      <c r="D82" s="55"/>
      <c r="E82" s="58"/>
    </row>
    <row r="83" spans="3:5" x14ac:dyDescent="0.25">
      <c r="C83" s="39"/>
      <c r="D83" s="55"/>
      <c r="E83" s="58"/>
    </row>
    <row r="84" spans="3:5" x14ac:dyDescent="0.25">
      <c r="D84" s="55"/>
    </row>
  </sheetData>
  <mergeCells count="6">
    <mergeCell ref="D4:G5"/>
    <mergeCell ref="E7:F7"/>
    <mergeCell ref="T4:W5"/>
    <mergeCell ref="U7:V7"/>
    <mergeCell ref="L4:O5"/>
    <mergeCell ref="M7:N7"/>
  </mergeCells>
  <phoneticPr fontId="0" type="noConversion"/>
  <pageMargins left="0.75" right="0.75" top="1" bottom="1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00000"/>
    <pageSetUpPr fitToPage="1"/>
  </sheetPr>
  <dimension ref="A1:W106"/>
  <sheetViews>
    <sheetView view="pageBreakPreview" topLeftCell="A4" zoomScale="85" zoomScaleNormal="85" zoomScaleSheetLayoutView="85" workbookViewId="0">
      <selection activeCell="Y26" sqref="Y26"/>
    </sheetView>
  </sheetViews>
  <sheetFormatPr defaultRowHeight="15.75" x14ac:dyDescent="0.25"/>
  <cols>
    <col min="1" max="1" width="4.7109375" style="2" customWidth="1"/>
    <col min="2" max="2" width="15" style="2" bestFit="1" customWidth="1"/>
    <col min="3" max="3" width="22.28515625" style="2" customWidth="1"/>
    <col min="4" max="4" width="14.5703125" style="2" bestFit="1" customWidth="1"/>
    <col min="5" max="5" width="17" style="2" customWidth="1"/>
    <col min="6" max="6" width="2.7109375" style="2" customWidth="1"/>
    <col min="7" max="7" width="18" style="2" bestFit="1" customWidth="1"/>
    <col min="8" max="8" width="10" style="2" customWidth="1"/>
    <col min="9" max="10" width="4.7109375" style="2" customWidth="1"/>
    <col min="11" max="11" width="19.85546875" style="2" customWidth="1"/>
    <col min="12" max="12" width="14.5703125" style="2" customWidth="1"/>
    <col min="13" max="13" width="20.85546875" style="2" hidden="1" customWidth="1"/>
    <col min="14" max="14" width="2.7109375" style="2" hidden="1" customWidth="1"/>
    <col min="15" max="15" width="15.5703125" style="2" hidden="1" customWidth="1"/>
    <col min="16" max="16" width="10.28515625" style="2" hidden="1" customWidth="1"/>
    <col min="17" max="17" width="5" style="2" hidden="1" customWidth="1"/>
    <col min="18" max="18" width="9.140625" style="2" hidden="1" customWidth="1"/>
    <col min="19" max="19" width="22.7109375" style="2" hidden="1" customWidth="1"/>
    <col min="20" max="20" width="14.42578125" style="2" hidden="1" customWidth="1"/>
    <col min="21" max="21" width="12.7109375" style="2" hidden="1" customWidth="1"/>
    <col min="22" max="22" width="2.85546875" style="2" hidden="1" customWidth="1"/>
    <col min="23" max="23" width="17.7109375" style="2" hidden="1" customWidth="1"/>
    <col min="24" max="16384" width="9.140625" style="2"/>
  </cols>
  <sheetData>
    <row r="1" spans="1:23" x14ac:dyDescent="0.25">
      <c r="A1" s="1" t="s">
        <v>67</v>
      </c>
      <c r="I1" s="1"/>
      <c r="Q1" s="1"/>
    </row>
    <row r="2" spans="1:23" x14ac:dyDescent="0.25">
      <c r="A2" s="2" t="s">
        <v>74</v>
      </c>
    </row>
    <row r="3" spans="1:23" ht="16.5" thickBot="1" x14ac:dyDescent="0.3">
      <c r="A3" s="2" t="s">
        <v>84</v>
      </c>
    </row>
    <row r="4" spans="1:23" x14ac:dyDescent="0.25">
      <c r="D4" s="388" t="s">
        <v>31</v>
      </c>
      <c r="E4" s="389"/>
      <c r="F4" s="389"/>
      <c r="G4" s="390"/>
      <c r="L4" s="388" t="s">
        <v>48</v>
      </c>
      <c r="M4" s="389"/>
      <c r="N4" s="389"/>
      <c r="O4" s="390"/>
      <c r="T4" s="388" t="s">
        <v>52</v>
      </c>
      <c r="U4" s="389"/>
      <c r="V4" s="389"/>
      <c r="W4" s="390"/>
    </row>
    <row r="5" spans="1:23" ht="16.5" thickBot="1" x14ac:dyDescent="0.3">
      <c r="A5" s="3"/>
      <c r="B5" s="3"/>
      <c r="C5" s="3"/>
      <c r="D5" s="391"/>
      <c r="E5" s="392"/>
      <c r="F5" s="392"/>
      <c r="G5" s="393"/>
      <c r="I5" s="3"/>
      <c r="J5" s="3"/>
      <c r="K5" s="3"/>
      <c r="L5" s="391"/>
      <c r="M5" s="392"/>
      <c r="N5" s="392"/>
      <c r="O5" s="393"/>
      <c r="Q5" s="3"/>
      <c r="R5" s="3"/>
      <c r="S5" s="3"/>
      <c r="T5" s="391"/>
      <c r="U5" s="392"/>
      <c r="V5" s="392"/>
      <c r="W5" s="393"/>
    </row>
    <row r="6" spans="1:23" x14ac:dyDescent="0.25">
      <c r="A6" s="4"/>
      <c r="B6" s="4"/>
      <c r="C6" s="4"/>
      <c r="D6" s="4" t="s">
        <v>1</v>
      </c>
      <c r="E6" s="4"/>
      <c r="F6" s="4"/>
      <c r="G6" s="4" t="s">
        <v>2</v>
      </c>
      <c r="I6" s="4"/>
      <c r="J6" s="4"/>
      <c r="K6" s="4"/>
      <c r="L6" s="4" t="s">
        <v>1</v>
      </c>
      <c r="M6" s="4"/>
      <c r="N6" s="4"/>
      <c r="O6" s="4" t="s">
        <v>2</v>
      </c>
      <c r="Q6" s="4"/>
      <c r="R6" s="4"/>
      <c r="S6" s="4"/>
      <c r="T6" s="4" t="s">
        <v>1</v>
      </c>
      <c r="U6" s="4"/>
      <c r="V6" s="4"/>
      <c r="W6" s="4" t="s">
        <v>2</v>
      </c>
    </row>
    <row r="7" spans="1:23" ht="16.5" thickBot="1" x14ac:dyDescent="0.3">
      <c r="A7" s="5"/>
      <c r="B7" s="5"/>
      <c r="C7" s="5"/>
      <c r="D7" s="5" t="s">
        <v>4</v>
      </c>
      <c r="E7" s="392" t="s">
        <v>5</v>
      </c>
      <c r="F7" s="392"/>
      <c r="G7" s="5" t="s">
        <v>6</v>
      </c>
      <c r="I7" s="5"/>
      <c r="J7" s="5"/>
      <c r="K7" s="5"/>
      <c r="L7" s="5" t="s">
        <v>4</v>
      </c>
      <c r="M7" s="392" t="s">
        <v>5</v>
      </c>
      <c r="N7" s="392"/>
      <c r="O7" s="5" t="s">
        <v>6</v>
      </c>
      <c r="Q7" s="5"/>
      <c r="R7" s="5"/>
      <c r="S7" s="5"/>
      <c r="T7" s="5" t="s">
        <v>4</v>
      </c>
      <c r="U7" s="392" t="s">
        <v>5</v>
      </c>
      <c r="V7" s="392"/>
      <c r="W7" s="5" t="s">
        <v>6</v>
      </c>
    </row>
    <row r="10" spans="1:23" x14ac:dyDescent="0.25">
      <c r="A10" s="1" t="s">
        <v>35</v>
      </c>
      <c r="I10" s="1" t="s">
        <v>35</v>
      </c>
      <c r="Q10" s="1" t="s">
        <v>10</v>
      </c>
    </row>
    <row r="11" spans="1:23" ht="31.5" x14ac:dyDescent="0.25">
      <c r="D11" s="6" t="s">
        <v>9</v>
      </c>
      <c r="E11" s="6" t="s">
        <v>12</v>
      </c>
      <c r="L11" s="6" t="s">
        <v>9</v>
      </c>
      <c r="M11" s="6" t="s">
        <v>12</v>
      </c>
      <c r="T11" s="6" t="s">
        <v>9</v>
      </c>
      <c r="U11" s="6" t="s">
        <v>12</v>
      </c>
    </row>
    <row r="12" spans="1:23" x14ac:dyDescent="0.25">
      <c r="B12" s="2" t="s">
        <v>41</v>
      </c>
      <c r="D12" s="8">
        <f>D52+D70+D88+D106</f>
        <v>211</v>
      </c>
      <c r="E12" s="9">
        <v>5</v>
      </c>
      <c r="G12" s="11">
        <f>D12*E12</f>
        <v>1055</v>
      </c>
      <c r="J12" s="2" t="s">
        <v>41</v>
      </c>
      <c r="L12" s="8">
        <f>D12</f>
        <v>211</v>
      </c>
      <c r="M12" s="9">
        <v>28.119042541556922</v>
      </c>
      <c r="O12" s="11">
        <f>L12*M12</f>
        <v>5933.1179762685106</v>
      </c>
      <c r="R12" s="2" t="s">
        <v>9</v>
      </c>
      <c r="T12" s="8">
        <f>L12</f>
        <v>211</v>
      </c>
      <c r="U12" s="9">
        <f>M12</f>
        <v>28.119042541556922</v>
      </c>
      <c r="W12" s="11">
        <f>T12*U12</f>
        <v>5933.1179762685106</v>
      </c>
    </row>
    <row r="13" spans="1:23" x14ac:dyDescent="0.25">
      <c r="D13" s="8"/>
      <c r="G13" s="11"/>
      <c r="L13" s="8"/>
      <c r="O13" s="11"/>
      <c r="W13" s="11"/>
    </row>
    <row r="14" spans="1:23" x14ac:dyDescent="0.25">
      <c r="A14" s="1" t="s">
        <v>7</v>
      </c>
      <c r="D14" s="8"/>
      <c r="G14" s="11"/>
      <c r="I14" s="1" t="s">
        <v>7</v>
      </c>
      <c r="L14" s="8"/>
      <c r="O14" s="11"/>
    </row>
    <row r="15" spans="1:23" x14ac:dyDescent="0.25">
      <c r="D15" s="13" t="s">
        <v>8</v>
      </c>
      <c r="E15" s="12" t="s">
        <v>11</v>
      </c>
      <c r="G15" s="11"/>
      <c r="L15" s="13" t="s">
        <v>8</v>
      </c>
      <c r="M15" s="12" t="s">
        <v>11</v>
      </c>
      <c r="O15" s="11"/>
      <c r="Q15" s="1" t="s">
        <v>7</v>
      </c>
      <c r="T15" s="8"/>
      <c r="W15" s="11"/>
    </row>
    <row r="16" spans="1:23" x14ac:dyDescent="0.25">
      <c r="G16" s="11"/>
      <c r="H16" s="15"/>
      <c r="O16" s="11"/>
      <c r="P16" s="15"/>
      <c r="T16" s="13" t="s">
        <v>8</v>
      </c>
      <c r="U16" s="12" t="s">
        <v>11</v>
      </c>
      <c r="W16" s="11"/>
    </row>
    <row r="17" spans="1:23" x14ac:dyDescent="0.25">
      <c r="C17" s="2" t="s">
        <v>75</v>
      </c>
      <c r="D17" s="8">
        <f>L52+L70</f>
        <v>152656</v>
      </c>
      <c r="E17" s="18">
        <v>0.12958</v>
      </c>
      <c r="G17" s="11">
        <f>D17*E17</f>
        <v>19781.164479999999</v>
      </c>
      <c r="H17" s="15"/>
      <c r="K17" s="2" t="s">
        <v>49</v>
      </c>
      <c r="L17" s="8">
        <f>D21</f>
        <v>287187</v>
      </c>
      <c r="M17" s="53">
        <v>3.0599472934085808E-2</v>
      </c>
      <c r="O17" s="11">
        <f>L17*M17</f>
        <v>8787.770833521301</v>
      </c>
      <c r="P17" s="15"/>
      <c r="R17" s="2" t="s">
        <v>50</v>
      </c>
      <c r="S17" s="16"/>
      <c r="T17" s="8">
        <f>D17</f>
        <v>152656</v>
      </c>
      <c r="U17" s="53">
        <v>0.19430837118280289</v>
      </c>
      <c r="W17" s="35">
        <f>T17*U17</f>
        <v>29662.338711281958</v>
      </c>
    </row>
    <row r="18" spans="1:23" x14ac:dyDescent="0.25">
      <c r="C18" s="2" t="s">
        <v>76</v>
      </c>
      <c r="D18" s="8">
        <f>K52+K70</f>
        <v>98960</v>
      </c>
      <c r="E18" s="18">
        <v>8.4940000000000002E-2</v>
      </c>
      <c r="G18" s="33">
        <f>D18*E18</f>
        <v>8405.6623999999993</v>
      </c>
      <c r="K18" s="2" t="s">
        <v>32</v>
      </c>
      <c r="L18" s="8">
        <f>L17</f>
        <v>287187</v>
      </c>
      <c r="M18" s="77">
        <v>4.3642882987992938E-2</v>
      </c>
      <c r="O18" s="33">
        <f>L18*M18</f>
        <v>12533.668636672728</v>
      </c>
      <c r="R18" s="7" t="s">
        <v>51</v>
      </c>
      <c r="S18" s="12"/>
      <c r="T18" s="17">
        <f>D18</f>
        <v>98960</v>
      </c>
      <c r="U18" s="70">
        <f>M17+M21</f>
        <v>5.0224803372726182E-2</v>
      </c>
      <c r="V18" s="34"/>
      <c r="W18" s="34">
        <f>T18*U18</f>
        <v>4970.2465417649828</v>
      </c>
    </row>
    <row r="19" spans="1:23" x14ac:dyDescent="0.25">
      <c r="C19" s="2" t="s">
        <v>77</v>
      </c>
      <c r="D19" s="8">
        <f>L88+L106</f>
        <v>24841</v>
      </c>
      <c r="E19" s="18">
        <v>0.12009</v>
      </c>
      <c r="G19" s="33">
        <f>D19*E19</f>
        <v>2983.15569</v>
      </c>
      <c r="L19" s="8"/>
      <c r="M19" s="77"/>
      <c r="O19" s="33"/>
      <c r="S19" s="16"/>
      <c r="T19" s="8"/>
      <c r="U19" s="76"/>
      <c r="V19" s="33"/>
      <c r="W19" s="33"/>
    </row>
    <row r="20" spans="1:23" x14ac:dyDescent="0.25">
      <c r="C20" s="7" t="s">
        <v>78</v>
      </c>
      <c r="D20" s="17">
        <f>K88+K106</f>
        <v>10730</v>
      </c>
      <c r="E20" s="28">
        <v>7.5139999999999998E-2</v>
      </c>
      <c r="F20" s="7"/>
      <c r="G20" s="34">
        <f>D20*E20</f>
        <v>806.25220000000002</v>
      </c>
      <c r="L20" s="8"/>
      <c r="M20" s="77"/>
      <c r="O20" s="33"/>
      <c r="S20" s="16"/>
      <c r="T20" s="8"/>
      <c r="U20" s="76"/>
      <c r="V20" s="33"/>
      <c r="W20" s="33"/>
    </row>
    <row r="21" spans="1:23" x14ac:dyDescent="0.25">
      <c r="B21" s="2" t="s">
        <v>21</v>
      </c>
      <c r="C21" s="16"/>
      <c r="D21" s="8">
        <f>SUM(D17:D20)</f>
        <v>287187</v>
      </c>
      <c r="E21" s="18"/>
      <c r="G21" s="11">
        <f>SUM(G17:G20)</f>
        <v>31976.234769999999</v>
      </c>
      <c r="H21" s="15"/>
      <c r="K21" s="7" t="s">
        <v>28</v>
      </c>
      <c r="L21" s="17">
        <f>L17</f>
        <v>287187</v>
      </c>
      <c r="M21" s="70">
        <v>1.9625330438640377E-2</v>
      </c>
      <c r="N21" s="7"/>
      <c r="O21" s="34">
        <f>L21*M21</f>
        <v>5636.1397726818141</v>
      </c>
      <c r="P21" s="15"/>
      <c r="S21" s="16"/>
      <c r="T21" s="8"/>
      <c r="U21" s="76"/>
      <c r="V21" s="33"/>
      <c r="W21" s="33">
        <f>SUM(W17:W18)</f>
        <v>34632.585253046942</v>
      </c>
    </row>
    <row r="22" spans="1:23" x14ac:dyDescent="0.25">
      <c r="D22" s="8"/>
      <c r="E22" s="18"/>
      <c r="G22" s="11"/>
      <c r="J22" s="2" t="s">
        <v>21</v>
      </c>
      <c r="K22" s="16"/>
      <c r="L22" s="8"/>
      <c r="M22" s="54">
        <f>SUM(M17:M21)</f>
        <v>9.3867686360719127E-2</v>
      </c>
      <c r="O22" s="11">
        <f>SUM(O17:O21)</f>
        <v>26957.579242875843</v>
      </c>
    </row>
    <row r="23" spans="1:23" x14ac:dyDescent="0.25">
      <c r="A23" s="1"/>
      <c r="D23" s="8"/>
      <c r="E23" s="9"/>
      <c r="G23" s="11"/>
      <c r="L23" s="8"/>
      <c r="M23" s="18"/>
      <c r="O23" s="11"/>
    </row>
    <row r="24" spans="1:23" x14ac:dyDescent="0.25">
      <c r="D24" s="8"/>
      <c r="E24" s="18"/>
      <c r="G24" s="11"/>
      <c r="I24" s="1" t="s">
        <v>17</v>
      </c>
      <c r="L24" s="8">
        <v>0</v>
      </c>
      <c r="M24" s="9">
        <v>20</v>
      </c>
      <c r="O24" s="11">
        <f>L24*M24</f>
        <v>0</v>
      </c>
      <c r="Q24" s="1" t="s">
        <v>17</v>
      </c>
      <c r="T24" s="8">
        <f>S70</f>
        <v>0</v>
      </c>
      <c r="U24" s="9">
        <v>20</v>
      </c>
      <c r="W24" s="11">
        <f>T24*U24</f>
        <v>0</v>
      </c>
    </row>
    <row r="25" spans="1:23" x14ac:dyDescent="0.25">
      <c r="D25" s="8"/>
      <c r="G25" s="11"/>
      <c r="L25" s="8"/>
      <c r="M25" s="18"/>
      <c r="O25" s="11"/>
      <c r="T25" s="8"/>
      <c r="W25" s="11"/>
    </row>
    <row r="26" spans="1:23" ht="16.5" thickBot="1" x14ac:dyDescent="0.3">
      <c r="A26" s="65" t="s">
        <v>81</v>
      </c>
      <c r="E26" s="18"/>
      <c r="G26" s="24">
        <f>G21+G12</f>
        <v>33031.234769999995</v>
      </c>
      <c r="L26" s="8"/>
      <c r="O26" s="11"/>
      <c r="T26" s="8"/>
      <c r="W26" s="11"/>
    </row>
    <row r="27" spans="1:23" ht="17.25" thickTop="1" thickBot="1" x14ac:dyDescent="0.3">
      <c r="A27" s="65"/>
      <c r="B27" s="1"/>
      <c r="G27" s="11"/>
      <c r="I27" s="1" t="s">
        <v>36</v>
      </c>
      <c r="O27" s="24">
        <f>O22+O12+O24</f>
        <v>32890.697219144356</v>
      </c>
      <c r="Q27" s="1" t="s">
        <v>36</v>
      </c>
      <c r="W27" s="24">
        <f>W12+W21+W24</f>
        <v>40565.703229315455</v>
      </c>
    </row>
    <row r="28" spans="1:23" ht="16.5" thickTop="1" x14ac:dyDescent="0.25">
      <c r="A28" s="65" t="s">
        <v>18</v>
      </c>
      <c r="B28" s="10"/>
      <c r="G28" s="11">
        <f>G52+E52+E70+G70+E88+G88+E106+G106</f>
        <v>33198.890000000007</v>
      </c>
      <c r="H28" s="21"/>
      <c r="I28" s="1"/>
      <c r="J28" s="1"/>
      <c r="O28" s="11"/>
      <c r="P28" s="21"/>
    </row>
    <row r="29" spans="1:23" x14ac:dyDescent="0.25">
      <c r="A29" s="87"/>
      <c r="B29" s="10"/>
      <c r="G29" s="10"/>
      <c r="H29" s="21"/>
      <c r="I29" s="1" t="s">
        <v>13</v>
      </c>
      <c r="J29" s="10"/>
      <c r="O29" s="22">
        <f>O27-G26</f>
        <v>-140.53755085563898</v>
      </c>
      <c r="P29" s="21"/>
      <c r="Q29" s="1" t="s">
        <v>13</v>
      </c>
      <c r="T29" s="8"/>
      <c r="U29" s="18"/>
      <c r="W29" s="11">
        <f>W27-G26</f>
        <v>7534.4684593154598</v>
      </c>
    </row>
    <row r="30" spans="1:23" x14ac:dyDescent="0.25">
      <c r="A30" s="65" t="s">
        <v>13</v>
      </c>
      <c r="B30" s="10"/>
      <c r="G30" s="22">
        <f>G26-G28</f>
        <v>-167.65523000001122</v>
      </c>
      <c r="I30" s="10"/>
      <c r="J30" s="10"/>
      <c r="O30" s="11"/>
      <c r="T30" s="8"/>
      <c r="W30" s="10"/>
    </row>
    <row r="31" spans="1:23" x14ac:dyDescent="0.25">
      <c r="A31" s="87"/>
      <c r="B31" s="10"/>
      <c r="G31" s="11"/>
      <c r="I31" s="1" t="s">
        <v>27</v>
      </c>
      <c r="J31" s="10"/>
      <c r="O31" s="23">
        <f>O29/G26</f>
        <v>-4.2546865666456893E-3</v>
      </c>
      <c r="Q31" s="1" t="s">
        <v>22</v>
      </c>
      <c r="T31" s="8"/>
      <c r="W31" s="23">
        <f>W29/G26</f>
        <v>0.22810132626826596</v>
      </c>
    </row>
    <row r="32" spans="1:23" x14ac:dyDescent="0.25">
      <c r="A32" s="65" t="s">
        <v>27</v>
      </c>
      <c r="B32" s="10"/>
      <c r="G32" s="23">
        <f>G30/G28</f>
        <v>-5.0500251665043976E-3</v>
      </c>
    </row>
    <row r="35" spans="1:16" x14ac:dyDescent="0.25">
      <c r="A35" s="11"/>
      <c r="B35" s="11"/>
      <c r="I35" s="11"/>
      <c r="J35" s="11"/>
    </row>
    <row r="36" spans="1:16" x14ac:dyDescent="0.25">
      <c r="A36" s="10"/>
      <c r="B36" s="10"/>
      <c r="I36" s="10"/>
      <c r="J36" s="10"/>
      <c r="O36" s="11"/>
    </row>
    <row r="37" spans="1:16" x14ac:dyDescent="0.25">
      <c r="A37" s="22"/>
      <c r="B37" s="40" t="s">
        <v>72</v>
      </c>
      <c r="G37" s="27"/>
      <c r="I37" s="22"/>
      <c r="J37" s="22"/>
    </row>
    <row r="38" spans="1:16" x14ac:dyDescent="0.25">
      <c r="A38" s="22"/>
      <c r="B38" s="40"/>
      <c r="G38" s="27"/>
      <c r="I38" s="22"/>
      <c r="J38" s="22"/>
    </row>
    <row r="39" spans="1:16" x14ac:dyDescent="0.25">
      <c r="A39" s="11"/>
      <c r="B39" s="37" t="s">
        <v>26</v>
      </c>
      <c r="C39" s="37" t="s">
        <v>8</v>
      </c>
      <c r="D39" s="37" t="s">
        <v>24</v>
      </c>
      <c r="E39" s="37" t="s">
        <v>46</v>
      </c>
      <c r="F39" s="37"/>
      <c r="G39" s="37" t="s">
        <v>47</v>
      </c>
      <c r="K39" s="37" t="s">
        <v>40</v>
      </c>
      <c r="L39" s="37" t="s">
        <v>39</v>
      </c>
      <c r="O39" s="11"/>
    </row>
    <row r="40" spans="1:16" x14ac:dyDescent="0.25">
      <c r="A40" s="23"/>
      <c r="B40" s="82">
        <v>40544</v>
      </c>
      <c r="C40" s="19">
        <v>28458</v>
      </c>
      <c r="D40" s="36">
        <v>11</v>
      </c>
      <c r="E40" s="9">
        <v>3182.82</v>
      </c>
      <c r="F40" s="9"/>
      <c r="G40" s="31">
        <v>55</v>
      </c>
      <c r="H40" s="20"/>
      <c r="I40" s="33"/>
      <c r="K40" s="33"/>
      <c r="M40" s="67"/>
      <c r="O40" s="67"/>
      <c r="P40" s="20"/>
    </row>
    <row r="41" spans="1:16" x14ac:dyDescent="0.25">
      <c r="B41" s="82">
        <v>40575</v>
      </c>
      <c r="C41" s="19">
        <v>23431</v>
      </c>
      <c r="D41" s="36">
        <v>10</v>
      </c>
      <c r="E41" s="9">
        <v>2616.89</v>
      </c>
      <c r="F41" s="9"/>
      <c r="G41" s="31">
        <v>55</v>
      </c>
      <c r="I41" s="33"/>
      <c r="K41" s="33"/>
      <c r="M41" s="67"/>
      <c r="N41" s="67"/>
      <c r="O41" s="67"/>
    </row>
    <row r="42" spans="1:16" x14ac:dyDescent="0.25">
      <c r="B42" s="82">
        <v>40603</v>
      </c>
      <c r="C42" s="19">
        <v>17779</v>
      </c>
      <c r="D42" s="36">
        <v>11</v>
      </c>
      <c r="E42" s="9">
        <v>1992.38</v>
      </c>
      <c r="F42" s="9"/>
      <c r="G42" s="31">
        <v>55</v>
      </c>
      <c r="I42" s="33"/>
      <c r="K42" s="33"/>
      <c r="M42" s="67"/>
      <c r="O42" s="67"/>
    </row>
    <row r="43" spans="1:16" x14ac:dyDescent="0.25">
      <c r="B43" s="82">
        <v>40634</v>
      </c>
      <c r="C43" s="19">
        <v>15819</v>
      </c>
      <c r="D43" s="36">
        <v>12</v>
      </c>
      <c r="E43" s="9">
        <v>1781.83</v>
      </c>
      <c r="F43" s="9"/>
      <c r="G43" s="31">
        <v>55</v>
      </c>
      <c r="I43" s="33"/>
      <c r="K43" s="33"/>
      <c r="M43" s="67"/>
      <c r="O43" s="67"/>
    </row>
    <row r="44" spans="1:16" x14ac:dyDescent="0.25">
      <c r="B44" s="82">
        <v>40664</v>
      </c>
      <c r="C44" s="19">
        <v>14984</v>
      </c>
      <c r="D44" s="63">
        <v>12</v>
      </c>
      <c r="E44" s="73">
        <v>1693.66</v>
      </c>
      <c r="F44" s="73"/>
      <c r="G44" s="84">
        <v>55</v>
      </c>
      <c r="I44" s="45"/>
      <c r="K44" s="45"/>
      <c r="M44" s="67"/>
      <c r="O44" s="67"/>
    </row>
    <row r="45" spans="1:16" x14ac:dyDescent="0.25">
      <c r="B45" s="82">
        <v>40695</v>
      </c>
      <c r="C45" s="19">
        <v>15169</v>
      </c>
      <c r="D45" s="63">
        <v>12</v>
      </c>
      <c r="E45" s="73">
        <v>1704.98</v>
      </c>
      <c r="F45" s="73"/>
      <c r="G45" s="84">
        <v>60</v>
      </c>
      <c r="I45" s="45"/>
      <c r="K45" s="45"/>
      <c r="M45" s="67"/>
      <c r="O45" s="67"/>
    </row>
    <row r="46" spans="1:16" x14ac:dyDescent="0.25">
      <c r="B46" s="82">
        <v>40725</v>
      </c>
      <c r="C46" s="19">
        <v>16866</v>
      </c>
      <c r="D46" s="64">
        <v>12</v>
      </c>
      <c r="E46" s="73">
        <v>1908.21</v>
      </c>
      <c r="F46" s="73"/>
      <c r="G46" s="73">
        <v>60</v>
      </c>
      <c r="I46" s="45"/>
      <c r="K46" s="45"/>
      <c r="M46" s="67"/>
      <c r="O46" s="67"/>
    </row>
    <row r="47" spans="1:16" ht="15" customHeight="1" x14ac:dyDescent="0.25">
      <c r="B47" s="82">
        <v>40756</v>
      </c>
      <c r="C47" s="19">
        <v>12521</v>
      </c>
      <c r="D47" s="64">
        <v>12</v>
      </c>
      <c r="E47" s="73">
        <v>1429.38</v>
      </c>
      <c r="F47" s="73"/>
      <c r="G47" s="73">
        <v>60</v>
      </c>
      <c r="I47" s="45"/>
      <c r="K47" s="45"/>
      <c r="M47" s="67"/>
      <c r="O47" s="67"/>
    </row>
    <row r="48" spans="1:16" x14ac:dyDescent="0.25">
      <c r="B48" s="82">
        <v>40422</v>
      </c>
      <c r="C48" s="19">
        <v>15269</v>
      </c>
      <c r="D48" s="64">
        <v>10</v>
      </c>
      <c r="E48" s="73">
        <v>1710.4</v>
      </c>
      <c r="F48" s="73"/>
      <c r="G48" s="73">
        <v>50</v>
      </c>
      <c r="I48" s="45"/>
      <c r="K48" s="45"/>
      <c r="M48" s="67"/>
      <c r="O48" s="67"/>
    </row>
    <row r="49" spans="2:15" x14ac:dyDescent="0.25">
      <c r="B49" s="82">
        <v>40452</v>
      </c>
      <c r="C49" s="19">
        <v>16067</v>
      </c>
      <c r="D49" s="38">
        <v>10</v>
      </c>
      <c r="E49" s="9">
        <v>1786.66</v>
      </c>
      <c r="F49" s="9"/>
      <c r="G49" s="9">
        <v>50</v>
      </c>
      <c r="I49" s="33"/>
      <c r="K49" s="33"/>
      <c r="M49" s="67"/>
      <c r="O49" s="67"/>
    </row>
    <row r="50" spans="2:15" x14ac:dyDescent="0.25">
      <c r="B50" s="82">
        <v>40483</v>
      </c>
      <c r="C50" s="19">
        <v>19134</v>
      </c>
      <c r="D50" s="38">
        <v>11</v>
      </c>
      <c r="E50" s="9">
        <v>2107.79</v>
      </c>
      <c r="F50" s="9"/>
      <c r="G50" s="9">
        <v>50</v>
      </c>
      <c r="I50" s="33"/>
      <c r="M50" s="67"/>
      <c r="O50" s="67"/>
    </row>
    <row r="51" spans="2:15" x14ac:dyDescent="0.25">
      <c r="B51" s="82">
        <v>40513</v>
      </c>
      <c r="C51" s="59">
        <v>25773</v>
      </c>
      <c r="D51" s="30">
        <v>11</v>
      </c>
      <c r="E51" s="85">
        <v>2834.79</v>
      </c>
      <c r="F51" s="85"/>
      <c r="G51" s="85">
        <v>55</v>
      </c>
      <c r="I51" s="33"/>
      <c r="K51" s="34"/>
      <c r="L51" s="7"/>
      <c r="M51" s="67"/>
      <c r="O51" s="67"/>
    </row>
    <row r="52" spans="2:15" x14ac:dyDescent="0.25">
      <c r="C52" s="19">
        <f>SUM(C40:C51)</f>
        <v>221270</v>
      </c>
      <c r="D52" s="19">
        <f>SUM(D40:D51)</f>
        <v>134</v>
      </c>
      <c r="E52" s="9">
        <f>SUM(E40:E51)</f>
        <v>24749.790000000005</v>
      </c>
      <c r="F52" s="9"/>
      <c r="G52" s="9">
        <f>SUM(G40:G51)</f>
        <v>660</v>
      </c>
      <c r="I52" s="19"/>
      <c r="K52" s="19">
        <v>89238</v>
      </c>
      <c r="L52" s="19">
        <v>132032</v>
      </c>
      <c r="M52" s="67"/>
      <c r="O52" s="20"/>
    </row>
    <row r="53" spans="2:15" x14ac:dyDescent="0.25">
      <c r="E53" s="20"/>
    </row>
    <row r="54" spans="2:15" x14ac:dyDescent="0.25">
      <c r="I54" s="19"/>
    </row>
    <row r="55" spans="2:15" x14ac:dyDescent="0.25">
      <c r="B55" s="40" t="s">
        <v>73</v>
      </c>
      <c r="G55" s="27"/>
      <c r="I55" s="22"/>
      <c r="J55" s="22"/>
      <c r="M55" s="32"/>
    </row>
    <row r="56" spans="2:15" x14ac:dyDescent="0.25">
      <c r="B56" s="40"/>
      <c r="G56" s="27"/>
      <c r="I56" s="22"/>
      <c r="J56" s="22"/>
      <c r="M56" s="32"/>
    </row>
    <row r="57" spans="2:15" x14ac:dyDescent="0.25">
      <c r="B57" s="37" t="s">
        <v>26</v>
      </c>
      <c r="C57" s="37" t="s">
        <v>8</v>
      </c>
      <c r="D57" s="37" t="s">
        <v>24</v>
      </c>
      <c r="E57" s="37" t="s">
        <v>46</v>
      </c>
      <c r="F57" s="37"/>
      <c r="G57" s="37" t="s">
        <v>47</v>
      </c>
      <c r="K57" s="37" t="s">
        <v>40</v>
      </c>
      <c r="L57" s="37" t="s">
        <v>39</v>
      </c>
      <c r="M57" s="32"/>
    </row>
    <row r="58" spans="2:15" x14ac:dyDescent="0.25">
      <c r="B58" s="82">
        <v>40544</v>
      </c>
      <c r="C58" s="19">
        <v>2479</v>
      </c>
      <c r="D58" s="36">
        <v>2</v>
      </c>
      <c r="E58" s="9">
        <v>287.79000000000002</v>
      </c>
      <c r="F58" s="9"/>
      <c r="G58" s="31">
        <v>10</v>
      </c>
      <c r="H58" s="20"/>
      <c r="I58" s="33"/>
      <c r="K58" s="33"/>
      <c r="M58" s="32"/>
    </row>
    <row r="59" spans="2:15" x14ac:dyDescent="0.25">
      <c r="B59" s="82">
        <v>40575</v>
      </c>
      <c r="C59" s="19">
        <v>2531</v>
      </c>
      <c r="D59" s="36">
        <v>2</v>
      </c>
      <c r="E59" s="9">
        <v>292.75</v>
      </c>
      <c r="F59" s="9"/>
      <c r="G59" s="31">
        <v>10</v>
      </c>
      <c r="I59" s="33"/>
      <c r="K59" s="33"/>
      <c r="M59" s="32"/>
    </row>
    <row r="60" spans="2:15" x14ac:dyDescent="0.25">
      <c r="B60" s="82">
        <v>40603</v>
      </c>
      <c r="C60" s="19">
        <v>2166</v>
      </c>
      <c r="D60" s="36">
        <v>2</v>
      </c>
      <c r="E60" s="9">
        <v>252.24</v>
      </c>
      <c r="F60" s="9"/>
      <c r="G60" s="31">
        <v>10</v>
      </c>
      <c r="I60" s="33"/>
      <c r="K60" s="33"/>
      <c r="M60" s="32"/>
    </row>
    <row r="61" spans="2:15" x14ac:dyDescent="0.25">
      <c r="B61" s="82">
        <v>40634</v>
      </c>
      <c r="C61" s="19">
        <v>2323</v>
      </c>
      <c r="D61" s="36">
        <v>2</v>
      </c>
      <c r="E61" s="9">
        <v>269.67</v>
      </c>
      <c r="F61" s="9"/>
      <c r="G61" s="31">
        <v>10</v>
      </c>
      <c r="I61" s="33"/>
      <c r="K61" s="33"/>
      <c r="M61" s="32"/>
    </row>
    <row r="62" spans="2:15" x14ac:dyDescent="0.25">
      <c r="B62" s="82">
        <v>40664</v>
      </c>
      <c r="C62" s="19">
        <v>2455</v>
      </c>
      <c r="D62" s="63">
        <v>2</v>
      </c>
      <c r="E62" s="73">
        <v>284.06</v>
      </c>
      <c r="F62" s="73"/>
      <c r="G62" s="84">
        <v>10</v>
      </c>
      <c r="I62" s="45"/>
      <c r="K62" s="45"/>
      <c r="M62" s="32"/>
    </row>
    <row r="63" spans="2:15" x14ac:dyDescent="0.25">
      <c r="B63" s="82">
        <v>40695</v>
      </c>
      <c r="C63" s="19">
        <v>2587</v>
      </c>
      <c r="D63" s="63">
        <v>2</v>
      </c>
      <c r="E63" s="73">
        <v>296.17</v>
      </c>
      <c r="F63" s="73"/>
      <c r="G63" s="84">
        <v>10</v>
      </c>
      <c r="I63" s="45"/>
      <c r="K63" s="45"/>
      <c r="M63" s="32"/>
    </row>
    <row r="64" spans="2:15" x14ac:dyDescent="0.25">
      <c r="B64" s="82">
        <v>40725</v>
      </c>
      <c r="C64" s="19">
        <v>2733</v>
      </c>
      <c r="D64" s="64">
        <v>2</v>
      </c>
      <c r="E64" s="73">
        <v>312.94</v>
      </c>
      <c r="F64" s="73"/>
      <c r="G64" s="73">
        <v>10</v>
      </c>
      <c r="I64" s="45"/>
      <c r="K64" s="45"/>
      <c r="M64" s="32"/>
    </row>
    <row r="65" spans="2:13" x14ac:dyDescent="0.25">
      <c r="B65" s="82">
        <v>40756</v>
      </c>
      <c r="C65" s="19">
        <v>2881</v>
      </c>
      <c r="D65" s="64">
        <v>2</v>
      </c>
      <c r="E65" s="73">
        <v>329.12</v>
      </c>
      <c r="F65" s="73"/>
      <c r="G65" s="73">
        <v>10</v>
      </c>
      <c r="I65" s="45"/>
      <c r="K65" s="45"/>
      <c r="M65" s="32"/>
    </row>
    <row r="66" spans="2:13" x14ac:dyDescent="0.25">
      <c r="B66" s="82">
        <v>40422</v>
      </c>
      <c r="C66" s="19">
        <v>3131</v>
      </c>
      <c r="D66" s="64">
        <v>2</v>
      </c>
      <c r="E66" s="73">
        <v>358.4</v>
      </c>
      <c r="F66" s="73"/>
      <c r="G66" s="73">
        <v>10</v>
      </c>
      <c r="I66" s="45"/>
      <c r="K66" s="45"/>
    </row>
    <row r="67" spans="2:13" x14ac:dyDescent="0.25">
      <c r="B67" s="82">
        <v>40452</v>
      </c>
      <c r="C67" s="19">
        <v>2597</v>
      </c>
      <c r="D67" s="38">
        <v>2</v>
      </c>
      <c r="E67" s="9">
        <v>298.31</v>
      </c>
      <c r="F67" s="9"/>
      <c r="G67" s="73">
        <v>10</v>
      </c>
      <c r="I67" s="33"/>
      <c r="K67" s="33"/>
    </row>
    <row r="68" spans="2:13" x14ac:dyDescent="0.25">
      <c r="B68" s="82">
        <v>40483</v>
      </c>
      <c r="C68" s="19">
        <v>2121</v>
      </c>
      <c r="D68" s="38">
        <v>2</v>
      </c>
      <c r="E68" s="9">
        <v>245.24</v>
      </c>
      <c r="F68" s="9"/>
      <c r="G68" s="73">
        <v>10</v>
      </c>
      <c r="I68" s="33"/>
    </row>
    <row r="69" spans="2:13" x14ac:dyDescent="0.25">
      <c r="B69" s="82">
        <v>40513</v>
      </c>
      <c r="C69" s="59">
        <v>2342</v>
      </c>
      <c r="D69" s="30">
        <v>2</v>
      </c>
      <c r="E69" s="85">
        <v>271.57</v>
      </c>
      <c r="F69" s="85"/>
      <c r="G69" s="86">
        <v>10</v>
      </c>
      <c r="I69" s="33"/>
      <c r="K69" s="34"/>
      <c r="L69" s="7"/>
    </row>
    <row r="70" spans="2:13" x14ac:dyDescent="0.25">
      <c r="C70" s="19">
        <f>SUM(C58:C69)</f>
        <v>30346</v>
      </c>
      <c r="D70" s="19">
        <f>SUM(D58:D69)</f>
        <v>24</v>
      </c>
      <c r="E70" s="9">
        <f>SUM(E58:E69)</f>
        <v>3498.2600000000007</v>
      </c>
      <c r="F70" s="9"/>
      <c r="G70" s="9">
        <f>SUM(G58:G69)</f>
        <v>120</v>
      </c>
      <c r="I70" s="19"/>
      <c r="K70" s="19">
        <v>9722</v>
      </c>
      <c r="L70" s="19">
        <v>20624</v>
      </c>
    </row>
    <row r="73" spans="2:13" x14ac:dyDescent="0.25">
      <c r="B73" s="40" t="s">
        <v>79</v>
      </c>
      <c r="G73" s="27"/>
      <c r="I73" s="22"/>
      <c r="J73" s="22"/>
    </row>
    <row r="74" spans="2:13" x14ac:dyDescent="0.25">
      <c r="B74" s="40"/>
      <c r="G74" s="27"/>
      <c r="I74" s="22"/>
      <c r="J74" s="22"/>
    </row>
    <row r="75" spans="2:13" x14ac:dyDescent="0.25">
      <c r="B75" s="37" t="s">
        <v>26</v>
      </c>
      <c r="C75" s="37" t="s">
        <v>8</v>
      </c>
      <c r="D75" s="37" t="s">
        <v>24</v>
      </c>
      <c r="E75" s="37" t="s">
        <v>46</v>
      </c>
      <c r="F75" s="37"/>
      <c r="G75" s="37" t="s">
        <v>47</v>
      </c>
      <c r="K75" s="37" t="s">
        <v>40</v>
      </c>
      <c r="L75" s="37" t="s">
        <v>39</v>
      </c>
    </row>
    <row r="76" spans="2:13" x14ac:dyDescent="0.25">
      <c r="B76" s="82">
        <v>40544</v>
      </c>
      <c r="C76" s="19">
        <v>1480</v>
      </c>
      <c r="D76" s="36">
        <v>2</v>
      </c>
      <c r="E76" s="9">
        <v>166.42</v>
      </c>
      <c r="F76" s="9"/>
      <c r="G76" s="31">
        <v>10</v>
      </c>
      <c r="H76" s="20"/>
      <c r="I76" s="33"/>
      <c r="K76" s="33"/>
    </row>
    <row r="77" spans="2:13" x14ac:dyDescent="0.25">
      <c r="B77" s="82">
        <v>40575</v>
      </c>
      <c r="C77" s="19">
        <v>1586</v>
      </c>
      <c r="D77" s="36">
        <v>2</v>
      </c>
      <c r="E77" s="9">
        <v>176.7</v>
      </c>
      <c r="F77" s="9"/>
      <c r="G77" s="31">
        <v>10</v>
      </c>
      <c r="I77" s="33"/>
      <c r="K77" s="33"/>
    </row>
    <row r="78" spans="2:13" x14ac:dyDescent="0.25">
      <c r="B78" s="82">
        <v>40603</v>
      </c>
      <c r="C78" s="19">
        <v>1155</v>
      </c>
      <c r="D78" s="36">
        <v>2</v>
      </c>
      <c r="E78" s="9">
        <v>130.33000000000001</v>
      </c>
      <c r="F78" s="9"/>
      <c r="G78" s="31">
        <v>10</v>
      </c>
      <c r="I78" s="33"/>
      <c r="K78" s="33"/>
    </row>
    <row r="79" spans="2:13" x14ac:dyDescent="0.25">
      <c r="B79" s="82">
        <v>40634</v>
      </c>
      <c r="C79" s="19">
        <v>1341</v>
      </c>
      <c r="D79" s="36">
        <v>2</v>
      </c>
      <c r="E79" s="9">
        <v>151.03</v>
      </c>
      <c r="F79" s="9"/>
      <c r="G79" s="31">
        <v>10</v>
      </c>
      <c r="I79" s="33"/>
      <c r="K79" s="33"/>
    </row>
    <row r="80" spans="2:13" x14ac:dyDescent="0.25">
      <c r="B80" s="82">
        <v>40664</v>
      </c>
      <c r="C80" s="19">
        <v>1014</v>
      </c>
      <c r="D80" s="63">
        <v>2</v>
      </c>
      <c r="E80" s="73">
        <v>114.24</v>
      </c>
      <c r="F80" s="73"/>
      <c r="G80" s="84">
        <v>10</v>
      </c>
      <c r="I80" s="45"/>
      <c r="K80" s="45"/>
    </row>
    <row r="81" spans="2:12" x14ac:dyDescent="0.25">
      <c r="B81" s="82">
        <v>40695</v>
      </c>
      <c r="C81" s="19">
        <v>1148</v>
      </c>
      <c r="D81" s="63">
        <v>2</v>
      </c>
      <c r="E81" s="73">
        <v>129.30000000000001</v>
      </c>
      <c r="F81" s="73"/>
      <c r="G81" s="84">
        <v>10</v>
      </c>
      <c r="I81" s="45"/>
      <c r="K81" s="45"/>
    </row>
    <row r="82" spans="2:12" x14ac:dyDescent="0.25">
      <c r="B82" s="82">
        <v>40725</v>
      </c>
      <c r="C82" s="19">
        <v>1170</v>
      </c>
      <c r="D82" s="64">
        <v>2</v>
      </c>
      <c r="E82" s="73">
        <v>130.76</v>
      </c>
      <c r="F82" s="73"/>
      <c r="G82" s="73">
        <v>10</v>
      </c>
      <c r="I82" s="45"/>
      <c r="K82" s="45"/>
    </row>
    <row r="83" spans="2:12" x14ac:dyDescent="0.25">
      <c r="B83" s="82">
        <v>40756</v>
      </c>
      <c r="C83" s="19">
        <v>1141</v>
      </c>
      <c r="D83" s="64">
        <v>2</v>
      </c>
      <c r="E83" s="73">
        <v>128.22</v>
      </c>
      <c r="F83" s="73"/>
      <c r="G83" s="73">
        <v>10</v>
      </c>
      <c r="I83" s="45"/>
      <c r="K83" s="45"/>
    </row>
    <row r="84" spans="2:12" x14ac:dyDescent="0.25">
      <c r="B84" s="82">
        <v>40422</v>
      </c>
      <c r="C84" s="19">
        <v>893</v>
      </c>
      <c r="D84" s="64">
        <v>1</v>
      </c>
      <c r="E84" s="73">
        <v>100.74</v>
      </c>
      <c r="F84" s="73"/>
      <c r="G84" s="73">
        <v>5</v>
      </c>
      <c r="I84" s="45"/>
      <c r="K84" s="45"/>
    </row>
    <row r="85" spans="2:12" x14ac:dyDescent="0.25">
      <c r="B85" s="82">
        <v>40452</v>
      </c>
      <c r="C85" s="19">
        <v>617</v>
      </c>
      <c r="D85" s="38">
        <v>1</v>
      </c>
      <c r="E85" s="9">
        <v>67.53</v>
      </c>
      <c r="F85" s="9"/>
      <c r="G85" s="9">
        <v>5</v>
      </c>
      <c r="I85" s="33"/>
      <c r="K85" s="33"/>
    </row>
    <row r="86" spans="2:12" x14ac:dyDescent="0.25">
      <c r="B86" s="82">
        <v>40483</v>
      </c>
      <c r="C86" s="19">
        <v>1031</v>
      </c>
      <c r="D86" s="38">
        <v>2</v>
      </c>
      <c r="E86" s="9">
        <v>113.57</v>
      </c>
      <c r="F86" s="9"/>
      <c r="G86" s="9">
        <v>10</v>
      </c>
      <c r="I86" s="33"/>
    </row>
    <row r="87" spans="2:12" x14ac:dyDescent="0.25">
      <c r="B87" s="82">
        <v>40513</v>
      </c>
      <c r="C87" s="59">
        <v>1294</v>
      </c>
      <c r="D87" s="30">
        <v>2</v>
      </c>
      <c r="E87" s="85">
        <v>139.63</v>
      </c>
      <c r="F87" s="85"/>
      <c r="G87" s="85">
        <v>10</v>
      </c>
      <c r="I87" s="33"/>
      <c r="K87" s="34"/>
      <c r="L87" s="7"/>
    </row>
    <row r="88" spans="2:12" x14ac:dyDescent="0.25">
      <c r="C88" s="19">
        <f>SUM(C76:C87)</f>
        <v>13870</v>
      </c>
      <c r="D88" s="19">
        <f>SUM(D76:D87)</f>
        <v>22</v>
      </c>
      <c r="E88" s="9">
        <f>SUM(E76:E87)</f>
        <v>1548.4699999999998</v>
      </c>
      <c r="F88" s="9"/>
      <c r="G88" s="9">
        <f>SUM(G76:G87)</f>
        <v>110</v>
      </c>
      <c r="I88" s="19"/>
      <c r="K88" s="19">
        <v>3681</v>
      </c>
      <c r="L88" s="19">
        <v>10189</v>
      </c>
    </row>
    <row r="89" spans="2:12" x14ac:dyDescent="0.25">
      <c r="E89" s="20"/>
    </row>
    <row r="90" spans="2:12" x14ac:dyDescent="0.25">
      <c r="I90" s="19"/>
    </row>
    <row r="91" spans="2:12" x14ac:dyDescent="0.25">
      <c r="B91" s="40" t="s">
        <v>80</v>
      </c>
      <c r="G91" s="27"/>
      <c r="I91" s="22"/>
      <c r="J91" s="22"/>
    </row>
    <row r="92" spans="2:12" x14ac:dyDescent="0.25">
      <c r="B92" s="40"/>
      <c r="G92" s="27"/>
      <c r="I92" s="22"/>
      <c r="J92" s="22"/>
    </row>
    <row r="93" spans="2:12" x14ac:dyDescent="0.25">
      <c r="B93" s="37" t="s">
        <v>26</v>
      </c>
      <c r="C93" s="37" t="s">
        <v>8</v>
      </c>
      <c r="D93" s="37" t="s">
        <v>24</v>
      </c>
      <c r="E93" s="37" t="s">
        <v>46</v>
      </c>
      <c r="F93" s="37"/>
      <c r="G93" s="37" t="s">
        <v>47</v>
      </c>
      <c r="K93" s="37" t="s">
        <v>40</v>
      </c>
      <c r="L93" s="37" t="s">
        <v>39</v>
      </c>
    </row>
    <row r="94" spans="2:12" x14ac:dyDescent="0.25">
      <c r="B94" s="82">
        <v>40544</v>
      </c>
      <c r="C94" s="19">
        <v>1621</v>
      </c>
      <c r="D94" s="36">
        <v>2</v>
      </c>
      <c r="E94" s="9">
        <v>178.26</v>
      </c>
      <c r="F94" s="9"/>
      <c r="G94" s="31">
        <v>10</v>
      </c>
      <c r="H94" s="20"/>
      <c r="I94" s="33"/>
      <c r="K94" s="33"/>
    </row>
    <row r="95" spans="2:12" x14ac:dyDescent="0.25">
      <c r="B95" s="82">
        <v>40575</v>
      </c>
      <c r="C95" s="19">
        <v>1343</v>
      </c>
      <c r="D95" s="36">
        <v>3</v>
      </c>
      <c r="E95" s="9">
        <v>144.69999999999999</v>
      </c>
      <c r="F95" s="9"/>
      <c r="G95" s="31">
        <v>10</v>
      </c>
      <c r="I95" s="33"/>
      <c r="K95" s="33"/>
    </row>
    <row r="96" spans="2:12" x14ac:dyDescent="0.25">
      <c r="B96" s="82">
        <v>40603</v>
      </c>
      <c r="C96" s="19">
        <v>2125</v>
      </c>
      <c r="D96" s="36">
        <v>3</v>
      </c>
      <c r="E96" s="9">
        <v>230.34</v>
      </c>
      <c r="F96" s="9"/>
      <c r="G96" s="31">
        <v>15</v>
      </c>
      <c r="I96" s="33"/>
      <c r="K96" s="33"/>
    </row>
    <row r="97" spans="2:12" x14ac:dyDescent="0.25">
      <c r="B97" s="82">
        <v>40634</v>
      </c>
      <c r="C97" s="19">
        <v>2277</v>
      </c>
      <c r="D97" s="36">
        <v>3</v>
      </c>
      <c r="E97" s="9">
        <v>246.07</v>
      </c>
      <c r="F97" s="9"/>
      <c r="G97" s="31">
        <v>15</v>
      </c>
      <c r="I97" s="33"/>
      <c r="K97" s="33"/>
    </row>
    <row r="98" spans="2:12" x14ac:dyDescent="0.25">
      <c r="B98" s="82">
        <v>40664</v>
      </c>
      <c r="C98" s="19">
        <v>2172</v>
      </c>
      <c r="D98" s="63">
        <v>3</v>
      </c>
      <c r="E98" s="73">
        <v>236.14</v>
      </c>
      <c r="F98" s="73"/>
      <c r="G98" s="84">
        <v>15</v>
      </c>
      <c r="I98" s="45"/>
      <c r="K98" s="45"/>
    </row>
    <row r="99" spans="2:12" x14ac:dyDescent="0.25">
      <c r="B99" s="82">
        <v>40695</v>
      </c>
      <c r="C99" s="19">
        <v>2336</v>
      </c>
      <c r="D99" s="63">
        <v>3</v>
      </c>
      <c r="E99" s="73">
        <v>254.53</v>
      </c>
      <c r="F99" s="73"/>
      <c r="G99" s="84">
        <v>15</v>
      </c>
      <c r="I99" s="45"/>
      <c r="K99" s="45"/>
    </row>
    <row r="100" spans="2:12" x14ac:dyDescent="0.25">
      <c r="B100" s="82">
        <v>40725</v>
      </c>
      <c r="C100" s="19">
        <v>2260</v>
      </c>
      <c r="D100" s="64">
        <v>3</v>
      </c>
      <c r="E100" s="73">
        <v>247.72</v>
      </c>
      <c r="F100" s="73"/>
      <c r="G100" s="73">
        <v>15</v>
      </c>
      <c r="I100" s="45"/>
      <c r="K100" s="45"/>
    </row>
    <row r="101" spans="2:12" x14ac:dyDescent="0.25">
      <c r="B101" s="82">
        <v>40756</v>
      </c>
      <c r="C101" s="19">
        <v>2366</v>
      </c>
      <c r="D101" s="64">
        <v>3</v>
      </c>
      <c r="E101" s="73">
        <v>260.93</v>
      </c>
      <c r="F101" s="73"/>
      <c r="G101" s="73">
        <v>15</v>
      </c>
      <c r="I101" s="45"/>
      <c r="K101" s="45"/>
    </row>
    <row r="102" spans="2:12" x14ac:dyDescent="0.25">
      <c r="B102" s="82">
        <v>40422</v>
      </c>
      <c r="C102" s="19">
        <v>1408</v>
      </c>
      <c r="D102" s="64">
        <v>2</v>
      </c>
      <c r="E102" s="73">
        <v>154.77000000000001</v>
      </c>
      <c r="F102" s="73"/>
      <c r="G102" s="73">
        <v>10</v>
      </c>
      <c r="I102" s="45"/>
      <c r="K102" s="45"/>
    </row>
    <row r="103" spans="2:12" x14ac:dyDescent="0.25">
      <c r="B103" s="82">
        <v>40452</v>
      </c>
      <c r="C103" s="19">
        <v>1124</v>
      </c>
      <c r="D103" s="38">
        <v>2</v>
      </c>
      <c r="E103" s="9">
        <v>121.64</v>
      </c>
      <c r="F103" s="9"/>
      <c r="G103" s="73">
        <v>10</v>
      </c>
      <c r="I103" s="33"/>
      <c r="K103" s="33"/>
    </row>
    <row r="104" spans="2:12" x14ac:dyDescent="0.25">
      <c r="B104" s="82">
        <v>40483</v>
      </c>
      <c r="C104" s="19">
        <v>1294</v>
      </c>
      <c r="D104" s="38">
        <v>2</v>
      </c>
      <c r="E104" s="9">
        <v>139.58000000000001</v>
      </c>
      <c r="F104" s="9"/>
      <c r="G104" s="73">
        <v>10</v>
      </c>
      <c r="I104" s="33"/>
    </row>
    <row r="105" spans="2:12" x14ac:dyDescent="0.25">
      <c r="B105" s="82">
        <v>40513</v>
      </c>
      <c r="C105" s="59">
        <v>1375</v>
      </c>
      <c r="D105" s="30">
        <v>2</v>
      </c>
      <c r="E105" s="85">
        <v>147.69</v>
      </c>
      <c r="F105" s="85"/>
      <c r="G105" s="86">
        <v>10</v>
      </c>
      <c r="I105" s="33"/>
      <c r="K105" s="34"/>
      <c r="L105" s="7"/>
    </row>
    <row r="106" spans="2:12" x14ac:dyDescent="0.25">
      <c r="C106" s="19">
        <f>SUM(C94:C105)</f>
        <v>21701</v>
      </c>
      <c r="D106" s="19">
        <f>SUM(D94:D105)</f>
        <v>31</v>
      </c>
      <c r="E106" s="9">
        <f>SUM(E94:E105)</f>
        <v>2362.37</v>
      </c>
      <c r="F106" s="9"/>
      <c r="G106" s="9">
        <f>SUM(G94:G105)</f>
        <v>150</v>
      </c>
      <c r="I106" s="19"/>
      <c r="K106" s="19">
        <v>7049</v>
      </c>
      <c r="L106" s="19">
        <v>14652</v>
      </c>
    </row>
  </sheetData>
  <mergeCells count="6">
    <mergeCell ref="D4:G5"/>
    <mergeCell ref="E7:F7"/>
    <mergeCell ref="T4:W5"/>
    <mergeCell ref="U7:V7"/>
    <mergeCell ref="L4:O5"/>
    <mergeCell ref="M7:N7"/>
  </mergeCells>
  <phoneticPr fontId="0" type="noConversion"/>
  <pageMargins left="0.75" right="0.75" top="1" bottom="1" header="0.5" footer="0.5"/>
  <pageSetup scale="8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136"/>
  <sheetViews>
    <sheetView view="pageBreakPreview" zoomScale="75" zoomScaleNormal="85" zoomScaleSheetLayoutView="75" workbookViewId="0">
      <selection sqref="A1:XFD1048576"/>
    </sheetView>
  </sheetViews>
  <sheetFormatPr defaultRowHeight="15.75" x14ac:dyDescent="0.25"/>
  <cols>
    <col min="1" max="1" width="4.7109375" style="2" customWidth="1"/>
    <col min="2" max="2" width="14.42578125" style="2" customWidth="1"/>
    <col min="3" max="3" width="6.28515625" style="2" customWidth="1"/>
    <col min="4" max="5" width="15" style="2" bestFit="1" customWidth="1"/>
    <col min="6" max="6" width="3.140625" style="2" customWidth="1"/>
    <col min="7" max="7" width="18" style="2" bestFit="1" customWidth="1"/>
    <col min="8" max="8" width="2.85546875" style="2" customWidth="1"/>
    <col min="9" max="9" width="4.7109375" style="2" customWidth="1"/>
    <col min="10" max="10" width="15.7109375" style="2" customWidth="1"/>
    <col min="11" max="11" width="10.28515625" style="2" customWidth="1"/>
    <col min="12" max="12" width="13.5703125" style="2" customWidth="1"/>
    <col min="13" max="13" width="12.42578125" style="2" customWidth="1"/>
    <col min="14" max="14" width="4.28515625" style="2" customWidth="1"/>
    <col min="15" max="15" width="17.42578125" style="2" customWidth="1"/>
    <col min="16" max="16384" width="9.140625" style="2"/>
  </cols>
  <sheetData>
    <row r="1" spans="1:17" x14ac:dyDescent="0.25">
      <c r="A1" s="1" t="s">
        <v>96</v>
      </c>
      <c r="J1" s="1"/>
    </row>
    <row r="2" spans="1:17" x14ac:dyDescent="0.25">
      <c r="A2" s="2" t="str">
        <f>'Present and Proposed Rates'!A13</f>
        <v>Small Comm</v>
      </c>
    </row>
    <row r="3" spans="1:17" ht="16.5" thickBot="1" x14ac:dyDescent="0.3">
      <c r="A3" s="2">
        <f>'Present and Proposed Rates'!B13</f>
        <v>2</v>
      </c>
    </row>
    <row r="4" spans="1:17" x14ac:dyDescent="0.25">
      <c r="D4" s="388" t="s">
        <v>31</v>
      </c>
      <c r="E4" s="389"/>
      <c r="F4" s="389"/>
      <c r="G4" s="390"/>
      <c r="H4" s="150"/>
      <c r="L4" s="388" t="s">
        <v>94</v>
      </c>
      <c r="M4" s="389"/>
      <c r="N4" s="389"/>
      <c r="O4" s="390"/>
    </row>
    <row r="5" spans="1:17" ht="16.5" thickBot="1" x14ac:dyDescent="0.3">
      <c r="A5" s="40"/>
      <c r="B5" s="57"/>
      <c r="C5" s="3"/>
      <c r="D5" s="391"/>
      <c r="E5" s="392"/>
      <c r="F5" s="392"/>
      <c r="G5" s="393"/>
      <c r="H5" s="150"/>
      <c r="I5" s="40"/>
      <c r="J5" s="57"/>
      <c r="K5" s="3"/>
      <c r="L5" s="391"/>
      <c r="M5" s="392"/>
      <c r="N5" s="392"/>
      <c r="O5" s="393"/>
    </row>
    <row r="6" spans="1:17" x14ac:dyDescent="0.25">
      <c r="A6" s="4"/>
      <c r="B6" s="4"/>
      <c r="C6" s="4"/>
      <c r="D6" s="4" t="s">
        <v>1</v>
      </c>
      <c r="E6" s="4"/>
      <c r="F6" s="4"/>
      <c r="G6" s="4" t="s">
        <v>2</v>
      </c>
      <c r="H6" s="151"/>
      <c r="I6" s="4"/>
      <c r="J6" s="4"/>
      <c r="K6" s="4"/>
      <c r="L6" s="4" t="s">
        <v>1</v>
      </c>
      <c r="M6" s="4"/>
      <c r="N6" s="4"/>
      <c r="O6" s="4" t="s">
        <v>2</v>
      </c>
    </row>
    <row r="7" spans="1:17" ht="16.5" thickBot="1" x14ac:dyDescent="0.3">
      <c r="A7" s="5"/>
      <c r="B7" s="5"/>
      <c r="C7" s="5"/>
      <c r="D7" s="5" t="s">
        <v>4</v>
      </c>
      <c r="E7" s="392" t="s">
        <v>5</v>
      </c>
      <c r="F7" s="392"/>
      <c r="G7" s="5" t="s">
        <v>6</v>
      </c>
      <c r="H7" s="152"/>
      <c r="I7" s="5"/>
      <c r="J7" s="5"/>
      <c r="K7" s="5"/>
      <c r="L7" s="5" t="s">
        <v>4</v>
      </c>
      <c r="M7" s="392" t="s">
        <v>5</v>
      </c>
      <c r="N7" s="392"/>
      <c r="O7" s="5" t="s">
        <v>6</v>
      </c>
      <c r="P7" s="5" t="s">
        <v>234</v>
      </c>
    </row>
    <row r="8" spans="1:17" x14ac:dyDescent="0.25">
      <c r="H8" s="153"/>
    </row>
    <row r="9" spans="1:17" x14ac:dyDescent="0.25">
      <c r="H9" s="153"/>
    </row>
    <row r="10" spans="1:17" x14ac:dyDescent="0.25">
      <c r="A10" s="96" t="s">
        <v>10</v>
      </c>
      <c r="H10" s="153"/>
      <c r="I10" s="96" t="s">
        <v>10</v>
      </c>
    </row>
    <row r="11" spans="1:17" x14ac:dyDescent="0.25">
      <c r="D11" s="139" t="s">
        <v>113</v>
      </c>
      <c r="E11" s="139" t="s">
        <v>100</v>
      </c>
      <c r="H11" s="153"/>
      <c r="L11" s="139" t="s">
        <v>113</v>
      </c>
      <c r="M11" s="139" t="s">
        <v>100</v>
      </c>
    </row>
    <row r="12" spans="1:17" x14ac:dyDescent="0.25">
      <c r="B12" s="2" t="s">
        <v>101</v>
      </c>
      <c r="D12" s="8">
        <f>BillDet!C21</f>
        <v>21823</v>
      </c>
      <c r="E12" s="136">
        <f>'Present and Proposed Rates'!E13</f>
        <v>0.81599999999999995</v>
      </c>
      <c r="G12" s="11">
        <f>D12*E12*365/12</f>
        <v>541646.86</v>
      </c>
      <c r="H12" s="154"/>
      <c r="J12" s="2" t="s">
        <v>101</v>
      </c>
      <c r="L12" s="8">
        <f>D12</f>
        <v>21823</v>
      </c>
      <c r="M12" s="136">
        <f>'Present and Proposed Rates'!F13</f>
        <v>0.89</v>
      </c>
      <c r="O12" s="11">
        <f>L12*M12*365/12</f>
        <v>590766.7958333334</v>
      </c>
      <c r="P12" s="88">
        <f>O12/G12-1</f>
        <v>9.0686274509804043E-2</v>
      </c>
      <c r="Q12" s="58"/>
    </row>
    <row r="13" spans="1:17" x14ac:dyDescent="0.25">
      <c r="D13" s="8"/>
      <c r="E13" s="9"/>
      <c r="G13" s="11"/>
      <c r="H13" s="154"/>
      <c r="L13" s="8"/>
      <c r="M13" s="9"/>
      <c r="O13" s="11"/>
    </row>
    <row r="14" spans="1:17" x14ac:dyDescent="0.25">
      <c r="D14" s="8"/>
      <c r="G14" s="11"/>
      <c r="H14" s="154"/>
      <c r="L14" s="8"/>
      <c r="O14" s="11"/>
    </row>
    <row r="15" spans="1:17" x14ac:dyDescent="0.25">
      <c r="A15" s="1" t="s">
        <v>7</v>
      </c>
      <c r="D15" s="8"/>
      <c r="G15" s="11"/>
      <c r="H15" s="154"/>
      <c r="I15" s="1" t="s">
        <v>7</v>
      </c>
      <c r="L15" s="8"/>
      <c r="O15" s="11"/>
    </row>
    <row r="16" spans="1:17" x14ac:dyDescent="0.25">
      <c r="D16" s="121" t="s">
        <v>8</v>
      </c>
      <c r="E16" s="122" t="s">
        <v>11</v>
      </c>
      <c r="G16" s="11"/>
      <c r="H16" s="154"/>
      <c r="L16" s="121" t="s">
        <v>8</v>
      </c>
      <c r="M16" s="122" t="s">
        <v>11</v>
      </c>
      <c r="O16" s="11"/>
    </row>
    <row r="17" spans="1:17" x14ac:dyDescent="0.25">
      <c r="B17" s="2" t="s">
        <v>101</v>
      </c>
      <c r="D17" s="8">
        <f>BillDet!C36+BillDet!N36</f>
        <v>25940828</v>
      </c>
      <c r="E17" s="135">
        <f>'Present and Proposed Rates'!E14</f>
        <v>0.104294</v>
      </c>
      <c r="G17" s="11">
        <f>D17*E17</f>
        <v>2705472.7154319999</v>
      </c>
      <c r="H17" s="154"/>
      <c r="J17" s="2" t="s">
        <v>101</v>
      </c>
      <c r="L17" s="8">
        <f>D17</f>
        <v>25940828</v>
      </c>
      <c r="M17" s="135">
        <f>'Present and Proposed Rates'!F14</f>
        <v>0.10240046229822218</v>
      </c>
      <c r="O17" s="11">
        <f>L17*M17</f>
        <v>2656352.7795986664</v>
      </c>
      <c r="P17" s="88">
        <f>O17/G17-1</f>
        <v>-1.8155768325865407E-2</v>
      </c>
      <c r="Q17" s="58"/>
    </row>
    <row r="18" spans="1:17" x14ac:dyDescent="0.25">
      <c r="C18" s="16" t="s">
        <v>230</v>
      </c>
      <c r="D18" s="325">
        <f>D17/D12</f>
        <v>1188.6921138248638</v>
      </c>
      <c r="E18" s="18"/>
      <c r="G18" s="11"/>
      <c r="H18" s="154"/>
      <c r="L18" s="8"/>
      <c r="M18" s="18"/>
      <c r="O18" s="11"/>
    </row>
    <row r="19" spans="1:17" x14ac:dyDescent="0.25">
      <c r="A19" s="1" t="s">
        <v>102</v>
      </c>
      <c r="D19" s="8"/>
      <c r="E19" s="18"/>
      <c r="G19" s="11"/>
      <c r="H19" s="154"/>
      <c r="I19" s="1" t="s">
        <v>102</v>
      </c>
      <c r="L19" s="8"/>
      <c r="M19" s="18"/>
      <c r="O19" s="11"/>
    </row>
    <row r="20" spans="1:17" x14ac:dyDescent="0.25">
      <c r="B20" s="2" t="s">
        <v>117</v>
      </c>
      <c r="D20" s="8"/>
      <c r="E20" s="18"/>
      <c r="G20" s="11">
        <v>328842.99</v>
      </c>
      <c r="H20" s="154"/>
      <c r="J20" s="2" t="str">
        <f>B20</f>
        <v>Fuel Adjustment Clause</v>
      </c>
      <c r="L20" s="8"/>
      <c r="M20" s="18"/>
      <c r="O20" s="11">
        <f>G20</f>
        <v>328842.99</v>
      </c>
      <c r="P20" s="88">
        <f>O20/G20-1</f>
        <v>0</v>
      </c>
      <c r="Q20" s="58"/>
    </row>
    <row r="21" spans="1:17" x14ac:dyDescent="0.25">
      <c r="B21" s="2" t="s">
        <v>114</v>
      </c>
      <c r="D21" s="8"/>
      <c r="E21" s="18"/>
      <c r="G21" s="11">
        <v>199840.49</v>
      </c>
      <c r="H21" s="154"/>
      <c r="J21" s="2" t="str">
        <f t="shared" ref="J21:J23" si="0">B21</f>
        <v>Environmental Surcharge</v>
      </c>
      <c r="L21" s="8"/>
      <c r="M21" s="18"/>
      <c r="O21" s="11">
        <f t="shared" ref="O21:O23" si="1">G21</f>
        <v>199840.49</v>
      </c>
      <c r="P21" s="88">
        <f>O21/G21-1</f>
        <v>0</v>
      </c>
      <c r="Q21" s="58"/>
    </row>
    <row r="22" spans="1:17" x14ac:dyDescent="0.25">
      <c r="B22" s="2" t="s">
        <v>115</v>
      </c>
      <c r="D22" s="8"/>
      <c r="E22" s="18"/>
      <c r="G22" s="11">
        <v>-106632.66</v>
      </c>
      <c r="H22" s="154"/>
      <c r="J22" s="2" t="str">
        <f t="shared" si="0"/>
        <v>Member Rate Stability</v>
      </c>
      <c r="L22" s="8"/>
      <c r="M22" s="18"/>
      <c r="O22" s="11">
        <f t="shared" si="1"/>
        <v>-106632.66</v>
      </c>
      <c r="P22" s="88">
        <f>O22/G22-1</f>
        <v>0</v>
      </c>
      <c r="Q22" s="58"/>
    </row>
    <row r="23" spans="1:17" x14ac:dyDescent="0.25">
      <c r="B23" s="2" t="s">
        <v>116</v>
      </c>
      <c r="D23" s="8"/>
      <c r="E23" s="18"/>
      <c r="G23" s="33">
        <v>196619.27</v>
      </c>
      <c r="H23" s="155"/>
      <c r="J23" s="2" t="str">
        <f t="shared" si="0"/>
        <v>Non-FAC PPA</v>
      </c>
      <c r="L23" s="8"/>
      <c r="M23" s="18"/>
      <c r="O23" s="11">
        <f t="shared" si="1"/>
        <v>196619.27</v>
      </c>
      <c r="P23" s="88">
        <f>O23/G23-1</f>
        <v>0</v>
      </c>
      <c r="Q23" s="58"/>
    </row>
    <row r="24" spans="1:17" x14ac:dyDescent="0.25">
      <c r="A24" s="1"/>
      <c r="C24" s="16"/>
      <c r="D24" s="8"/>
      <c r="E24" s="18"/>
      <c r="G24" s="11"/>
      <c r="H24" s="154"/>
      <c r="P24" s="88"/>
    </row>
    <row r="25" spans="1:17" ht="16.5" thickBot="1" x14ac:dyDescent="0.3">
      <c r="A25" s="1" t="s">
        <v>81</v>
      </c>
      <c r="G25" s="24">
        <f>SUM(G12:G24)</f>
        <v>3865789.6654320001</v>
      </c>
      <c r="H25" s="154"/>
      <c r="I25" s="1" t="s">
        <v>81</v>
      </c>
      <c r="O25" s="24">
        <f>SUM(O12:O24)</f>
        <v>3865789.6654320001</v>
      </c>
      <c r="P25" s="88">
        <f>O25/G25-1</f>
        <v>0</v>
      </c>
      <c r="Q25" s="58"/>
    </row>
    <row r="26" spans="1:17" ht="16.5" thickTop="1" x14ac:dyDescent="0.25">
      <c r="A26" s="1"/>
      <c r="B26" s="1"/>
      <c r="G26" s="11"/>
      <c r="H26" s="154"/>
      <c r="I26" s="1"/>
      <c r="J26" s="1"/>
      <c r="O26" s="11"/>
    </row>
    <row r="27" spans="1:17" x14ac:dyDescent="0.25">
      <c r="A27" s="1" t="s">
        <v>18</v>
      </c>
      <c r="B27" s="10"/>
      <c r="G27" s="11">
        <f>BillDet!C66+BillDet!N66</f>
        <v>3850728.04</v>
      </c>
      <c r="H27" s="154"/>
      <c r="I27" s="1" t="s">
        <v>86</v>
      </c>
      <c r="J27" s="10"/>
      <c r="O27" s="29">
        <f>O25-G25</f>
        <v>0</v>
      </c>
    </row>
    <row r="28" spans="1:17" x14ac:dyDescent="0.25">
      <c r="A28" s="10"/>
      <c r="B28" s="10"/>
      <c r="G28" s="10"/>
      <c r="H28" s="156"/>
      <c r="J28" s="10"/>
      <c r="O28" s="10"/>
    </row>
    <row r="29" spans="1:17" x14ac:dyDescent="0.25">
      <c r="A29" s="1" t="s">
        <v>13</v>
      </c>
      <c r="B29" s="10"/>
      <c r="G29" s="22">
        <f>G25-G27</f>
        <v>15061.62543200003</v>
      </c>
      <c r="H29" s="157"/>
      <c r="I29" s="1" t="s">
        <v>87</v>
      </c>
      <c r="J29" s="10"/>
      <c r="O29" s="88">
        <f>O27/G25</f>
        <v>0</v>
      </c>
    </row>
    <row r="30" spans="1:17" x14ac:dyDescent="0.25">
      <c r="A30" s="10"/>
      <c r="B30" s="10"/>
      <c r="G30" s="11"/>
      <c r="H30" s="154"/>
      <c r="J30" s="10"/>
      <c r="O30" s="11"/>
    </row>
    <row r="31" spans="1:17" x14ac:dyDescent="0.25">
      <c r="A31" s="1" t="s">
        <v>27</v>
      </c>
      <c r="B31" s="10"/>
      <c r="G31" s="23">
        <f>G29/G27</f>
        <v>3.9113708565095212E-3</v>
      </c>
      <c r="H31" s="158"/>
      <c r="I31" s="1" t="s">
        <v>88</v>
      </c>
      <c r="J31" s="10"/>
      <c r="O31" s="386">
        <f>O27/L12</f>
        <v>0</v>
      </c>
    </row>
    <row r="32" spans="1:17" x14ac:dyDescent="0.25">
      <c r="A32" s="1"/>
      <c r="B32" s="10"/>
      <c r="G32" s="23"/>
      <c r="H32" s="158"/>
      <c r="I32" s="1"/>
      <c r="J32" s="10"/>
      <c r="O32" s="23"/>
    </row>
    <row r="33" spans="1:15" x14ac:dyDescent="0.25">
      <c r="A33" s="1"/>
      <c r="B33" s="10"/>
      <c r="D33" s="14">
        <f>D17/D12</f>
        <v>1188.6921138248638</v>
      </c>
      <c r="G33" s="23"/>
      <c r="H33" s="23"/>
      <c r="I33" s="1"/>
      <c r="J33" s="10"/>
      <c r="O33" s="23"/>
    </row>
    <row r="34" spans="1:15" x14ac:dyDescent="0.25">
      <c r="A34" s="1"/>
      <c r="B34" s="10"/>
      <c r="G34" s="23"/>
      <c r="H34" s="23"/>
      <c r="I34" s="1"/>
      <c r="J34" s="10"/>
      <c r="O34" s="23"/>
    </row>
    <row r="35" spans="1:15" x14ac:dyDescent="0.25">
      <c r="A35" s="1"/>
      <c r="B35" s="10"/>
      <c r="G35" s="140">
        <f>G12+G17</f>
        <v>3247119.5754319998</v>
      </c>
      <c r="H35" s="23"/>
      <c r="I35" s="1"/>
      <c r="J35" s="10"/>
      <c r="O35" s="23"/>
    </row>
    <row r="36" spans="1:15" x14ac:dyDescent="0.25">
      <c r="A36" s="1"/>
      <c r="B36" s="10"/>
      <c r="G36" s="23"/>
      <c r="H36" s="23"/>
      <c r="I36" s="1"/>
      <c r="J36" s="10"/>
      <c r="O36" s="23"/>
    </row>
    <row r="37" spans="1:15" x14ac:dyDescent="0.25">
      <c r="A37" s="1"/>
      <c r="B37" s="10"/>
      <c r="G37" s="23"/>
      <c r="H37" s="23"/>
      <c r="I37" s="1"/>
      <c r="J37" s="10"/>
      <c r="O37" s="23"/>
    </row>
    <row r="38" spans="1:15" ht="18.75" customHeight="1" x14ac:dyDescent="0.25">
      <c r="A38" s="1"/>
      <c r="B38" s="11"/>
      <c r="G38" s="23"/>
      <c r="H38" s="23"/>
    </row>
    <row r="39" spans="1:15" x14ac:dyDescent="0.25">
      <c r="E39" s="11"/>
    </row>
    <row r="40" spans="1:15" x14ac:dyDescent="0.25">
      <c r="I40" s="37"/>
      <c r="J40" s="37"/>
    </row>
    <row r="41" spans="1:15" x14ac:dyDescent="0.25">
      <c r="I41" s="37"/>
      <c r="J41" s="37"/>
    </row>
    <row r="42" spans="1:15" x14ac:dyDescent="0.25">
      <c r="I42" s="37"/>
      <c r="J42" s="37"/>
    </row>
    <row r="43" spans="1:15" x14ac:dyDescent="0.25">
      <c r="I43" s="37"/>
      <c r="J43" s="71"/>
    </row>
    <row r="44" spans="1:15" x14ac:dyDescent="0.25">
      <c r="I44" s="37"/>
      <c r="J44" s="71"/>
    </row>
    <row r="45" spans="1:15" x14ac:dyDescent="0.25">
      <c r="I45" s="37"/>
      <c r="J45" s="71"/>
    </row>
    <row r="46" spans="1:15" x14ac:dyDescent="0.25">
      <c r="I46" s="37"/>
      <c r="J46" s="71"/>
    </row>
    <row r="47" spans="1:15" x14ac:dyDescent="0.25">
      <c r="I47" s="37"/>
      <c r="J47" s="71"/>
    </row>
    <row r="48" spans="1:15" x14ac:dyDescent="0.25">
      <c r="I48" s="37"/>
      <c r="J48" s="71"/>
    </row>
    <row r="49" spans="9:16" x14ac:dyDescent="0.25">
      <c r="I49" s="37"/>
      <c r="J49" s="71"/>
      <c r="P49" s="2" t="e">
        <f>IF(#REF!=#REF!,"ok","err")</f>
        <v>#REF!</v>
      </c>
    </row>
    <row r="50" spans="9:16" x14ac:dyDescent="0.25">
      <c r="I50" s="37"/>
      <c r="J50" s="71"/>
    </row>
    <row r="51" spans="9:16" x14ac:dyDescent="0.25">
      <c r="I51" s="37"/>
      <c r="J51" s="71"/>
    </row>
    <row r="52" spans="9:16" x14ac:dyDescent="0.25">
      <c r="I52" s="37"/>
      <c r="J52" s="71"/>
    </row>
    <row r="53" spans="9:16" ht="16.5" customHeight="1" x14ac:dyDescent="0.25">
      <c r="I53" s="37"/>
      <c r="J53" s="71"/>
    </row>
    <row r="54" spans="9:16" x14ac:dyDescent="0.25">
      <c r="I54" s="37"/>
      <c r="J54" s="71"/>
    </row>
    <row r="55" spans="9:16" x14ac:dyDescent="0.25">
      <c r="I55" s="37"/>
      <c r="J55" s="71"/>
      <c r="P55" s="2" t="e">
        <f>IF(#REF!=#REF!,"ok","err")</f>
        <v>#REF!</v>
      </c>
    </row>
    <row r="58" spans="9:16" x14ac:dyDescent="0.25">
      <c r="I58" s="37"/>
      <c r="J58" s="37"/>
    </row>
    <row r="59" spans="9:16" x14ac:dyDescent="0.25">
      <c r="I59" s="37"/>
      <c r="J59" s="37"/>
    </row>
    <row r="60" spans="9:16" x14ac:dyDescent="0.25">
      <c r="I60" s="37"/>
      <c r="J60" s="37"/>
    </row>
    <row r="61" spans="9:16" x14ac:dyDescent="0.25">
      <c r="I61" s="69"/>
      <c r="J61" s="62"/>
    </row>
    <row r="62" spans="9:16" x14ac:dyDescent="0.25">
      <c r="I62" s="69"/>
      <c r="J62" s="62"/>
    </row>
    <row r="63" spans="9:16" x14ac:dyDescent="0.25">
      <c r="I63" s="69"/>
      <c r="J63" s="62"/>
    </row>
    <row r="64" spans="9:16" x14ac:dyDescent="0.25">
      <c r="I64" s="69"/>
      <c r="J64" s="62"/>
    </row>
    <row r="65" spans="9:10" x14ac:dyDescent="0.25">
      <c r="I65" s="69"/>
      <c r="J65" s="62"/>
    </row>
    <row r="66" spans="9:10" x14ac:dyDescent="0.25">
      <c r="I66" s="69"/>
      <c r="J66" s="62"/>
    </row>
    <row r="67" spans="9:10" x14ac:dyDescent="0.25">
      <c r="I67" s="69"/>
      <c r="J67" s="62"/>
    </row>
    <row r="68" spans="9:10" x14ac:dyDescent="0.25">
      <c r="I68" s="69"/>
      <c r="J68" s="62"/>
    </row>
    <row r="69" spans="9:10" x14ac:dyDescent="0.25">
      <c r="I69" s="69"/>
      <c r="J69" s="62"/>
    </row>
    <row r="70" spans="9:10" x14ac:dyDescent="0.25">
      <c r="I70" s="69"/>
      <c r="J70" s="62"/>
    </row>
    <row r="71" spans="9:10" x14ac:dyDescent="0.25">
      <c r="I71" s="69"/>
      <c r="J71" s="62"/>
    </row>
    <row r="72" spans="9:10" x14ac:dyDescent="0.25">
      <c r="I72" s="69"/>
      <c r="J72" s="62"/>
    </row>
    <row r="73" spans="9:10" x14ac:dyDescent="0.25">
      <c r="I73" s="37"/>
      <c r="J73" s="37"/>
    </row>
    <row r="74" spans="9:10" x14ac:dyDescent="0.25">
      <c r="I74" s="37"/>
      <c r="J74" s="37"/>
    </row>
    <row r="75" spans="9:10" x14ac:dyDescent="0.25">
      <c r="I75" s="37"/>
      <c r="J75" s="37"/>
    </row>
    <row r="76" spans="9:10" x14ac:dyDescent="0.25">
      <c r="I76" s="37"/>
      <c r="J76" s="37"/>
    </row>
    <row r="77" spans="9:10" x14ac:dyDescent="0.25">
      <c r="I77" s="37"/>
      <c r="J77" s="37"/>
    </row>
    <row r="78" spans="9:10" x14ac:dyDescent="0.25">
      <c r="I78" s="37"/>
      <c r="J78" s="37"/>
    </row>
    <row r="79" spans="9:10" x14ac:dyDescent="0.25">
      <c r="I79" s="37"/>
      <c r="J79" s="37"/>
    </row>
    <row r="80" spans="9:10" x14ac:dyDescent="0.25">
      <c r="I80" s="37"/>
      <c r="J80" s="37"/>
    </row>
    <row r="81" spans="9:10" x14ac:dyDescent="0.25">
      <c r="I81" s="37"/>
      <c r="J81" s="37"/>
    </row>
    <row r="82" spans="9:10" x14ac:dyDescent="0.25">
      <c r="I82" s="37"/>
      <c r="J82" s="37"/>
    </row>
    <row r="83" spans="9:10" x14ac:dyDescent="0.25">
      <c r="I83" s="37"/>
      <c r="J83" s="37"/>
    </row>
    <row r="84" spans="9:10" x14ac:dyDescent="0.25">
      <c r="I84" s="37"/>
      <c r="J84" s="37"/>
    </row>
    <row r="85" spans="9:10" x14ac:dyDescent="0.25">
      <c r="I85" s="37"/>
      <c r="J85" s="37"/>
    </row>
    <row r="86" spans="9:10" ht="15" customHeight="1" x14ac:dyDescent="0.25">
      <c r="I86" s="37"/>
      <c r="J86" s="37"/>
    </row>
    <row r="87" spans="9:10" x14ac:dyDescent="0.25">
      <c r="I87" s="37"/>
      <c r="J87" s="37"/>
    </row>
    <row r="88" spans="9:10" x14ac:dyDescent="0.25">
      <c r="I88" s="37"/>
      <c r="J88" s="37"/>
    </row>
    <row r="89" spans="9:10" x14ac:dyDescent="0.25">
      <c r="I89" s="37"/>
      <c r="J89" s="37"/>
    </row>
    <row r="90" spans="9:10" x14ac:dyDescent="0.25">
      <c r="I90" s="37"/>
      <c r="J90" s="37"/>
    </row>
    <row r="91" spans="9:10" x14ac:dyDescent="0.25">
      <c r="I91" s="37"/>
      <c r="J91" s="37"/>
    </row>
    <row r="92" spans="9:10" x14ac:dyDescent="0.25">
      <c r="I92" s="37"/>
      <c r="J92" s="37"/>
    </row>
    <row r="93" spans="9:10" x14ac:dyDescent="0.25">
      <c r="I93" s="37"/>
      <c r="J93" s="37"/>
    </row>
    <row r="94" spans="9:10" x14ac:dyDescent="0.25">
      <c r="I94" s="37"/>
      <c r="J94" s="37"/>
    </row>
    <row r="95" spans="9:10" x14ac:dyDescent="0.25">
      <c r="I95" s="37"/>
      <c r="J95" s="37"/>
    </row>
    <row r="96" spans="9:10" x14ac:dyDescent="0.25">
      <c r="I96" s="37"/>
      <c r="J96" s="37"/>
    </row>
    <row r="97" spans="9:10" x14ac:dyDescent="0.25">
      <c r="I97" s="37"/>
      <c r="J97" s="37"/>
    </row>
    <row r="98" spans="9:10" x14ac:dyDescent="0.25">
      <c r="I98" s="37"/>
      <c r="J98" s="37"/>
    </row>
    <row r="99" spans="9:10" x14ac:dyDescent="0.25">
      <c r="I99" s="37"/>
      <c r="J99" s="37"/>
    </row>
    <row r="100" spans="9:10" x14ac:dyDescent="0.25">
      <c r="I100" s="37"/>
      <c r="J100" s="37"/>
    </row>
    <row r="101" spans="9:10" x14ac:dyDescent="0.25">
      <c r="I101" s="37"/>
      <c r="J101" s="37"/>
    </row>
    <row r="102" spans="9:10" x14ac:dyDescent="0.25">
      <c r="I102" s="37"/>
      <c r="J102" s="37"/>
    </row>
    <row r="103" spans="9:10" x14ac:dyDescent="0.25">
      <c r="I103" s="37"/>
      <c r="J103" s="37"/>
    </row>
    <row r="104" spans="9:10" x14ac:dyDescent="0.25">
      <c r="I104" s="37"/>
      <c r="J104" s="37"/>
    </row>
    <row r="105" spans="9:10" x14ac:dyDescent="0.25">
      <c r="I105" s="37"/>
      <c r="J105" s="37"/>
    </row>
    <row r="106" spans="9:10" x14ac:dyDescent="0.25">
      <c r="I106" s="37"/>
      <c r="J106" s="37"/>
    </row>
    <row r="107" spans="9:10" x14ac:dyDescent="0.25">
      <c r="I107" s="37"/>
      <c r="J107" s="37"/>
    </row>
    <row r="108" spans="9:10" x14ac:dyDescent="0.25">
      <c r="I108" s="37"/>
      <c r="J108" s="37"/>
    </row>
    <row r="109" spans="9:10" x14ac:dyDescent="0.25">
      <c r="I109" s="37"/>
      <c r="J109" s="37"/>
    </row>
    <row r="110" spans="9:10" x14ac:dyDescent="0.25">
      <c r="I110" s="37"/>
      <c r="J110" s="37"/>
    </row>
    <row r="111" spans="9:10" x14ac:dyDescent="0.25">
      <c r="I111" s="37"/>
      <c r="J111" s="37"/>
    </row>
    <row r="112" spans="9:10" x14ac:dyDescent="0.25">
      <c r="I112" s="37"/>
      <c r="J112" s="37"/>
    </row>
    <row r="113" spans="9:10" x14ac:dyDescent="0.25">
      <c r="I113" s="37"/>
      <c r="J113" s="37"/>
    </row>
    <row r="114" spans="9:10" x14ac:dyDescent="0.25">
      <c r="I114" s="37"/>
      <c r="J114" s="37"/>
    </row>
    <row r="115" spans="9:10" x14ac:dyDescent="0.25">
      <c r="I115" s="37"/>
      <c r="J115" s="37"/>
    </row>
    <row r="116" spans="9:10" x14ac:dyDescent="0.25">
      <c r="I116" s="37"/>
      <c r="J116" s="37"/>
    </row>
    <row r="117" spans="9:10" x14ac:dyDescent="0.25">
      <c r="I117" s="37"/>
      <c r="J117" s="37"/>
    </row>
    <row r="118" spans="9:10" x14ac:dyDescent="0.25">
      <c r="I118" s="37"/>
      <c r="J118" s="37"/>
    </row>
    <row r="133" spans="3:5" x14ac:dyDescent="0.25">
      <c r="C133" s="37"/>
      <c r="D133" s="37"/>
    </row>
    <row r="134" spans="3:5" x14ac:dyDescent="0.25">
      <c r="C134" s="39"/>
      <c r="D134" s="55"/>
      <c r="E134" s="58"/>
    </row>
    <row r="135" spans="3:5" x14ac:dyDescent="0.25">
      <c r="C135" s="39"/>
      <c r="D135" s="55"/>
      <c r="E135" s="58"/>
    </row>
    <row r="136" spans="3:5" x14ac:dyDescent="0.25">
      <c r="C136" s="39"/>
      <c r="D136" s="55"/>
      <c r="E136" s="58"/>
    </row>
  </sheetData>
  <mergeCells count="4">
    <mergeCell ref="D4:G5"/>
    <mergeCell ref="L4:O5"/>
    <mergeCell ref="E7:F7"/>
    <mergeCell ref="M7:N7"/>
  </mergeCells>
  <pageMargins left="0.75" right="0.75" top="1" bottom="1" header="0.5" footer="0.5"/>
  <pageSetup scale="7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142"/>
  <sheetViews>
    <sheetView view="pageBreakPreview" zoomScale="75" zoomScaleNormal="85" zoomScaleSheetLayoutView="75" workbookViewId="0">
      <selection sqref="A1:XFD1048576"/>
    </sheetView>
  </sheetViews>
  <sheetFormatPr defaultRowHeight="15.75" x14ac:dyDescent="0.25"/>
  <cols>
    <col min="1" max="1" width="4.7109375" style="2" customWidth="1"/>
    <col min="2" max="2" width="20.140625" style="2" customWidth="1"/>
    <col min="3" max="3" width="5.28515625" style="2" customWidth="1"/>
    <col min="4" max="5" width="15" style="2" bestFit="1" customWidth="1"/>
    <col min="6" max="6" width="3.140625" style="2" customWidth="1"/>
    <col min="7" max="7" width="18" style="2" bestFit="1" customWidth="1"/>
    <col min="8" max="8" width="2.85546875" style="2" customWidth="1"/>
    <col min="9" max="9" width="9.85546875" style="2" customWidth="1"/>
    <col min="10" max="10" width="16.28515625" style="2" customWidth="1"/>
    <col min="11" max="11" width="10.28515625" style="2" customWidth="1"/>
    <col min="12" max="12" width="16.5703125" style="2" customWidth="1"/>
    <col min="13" max="13" width="15.140625" style="2" customWidth="1"/>
    <col min="14" max="14" width="4.28515625" style="2" customWidth="1"/>
    <col min="15" max="15" width="20.140625" style="2" customWidth="1"/>
    <col min="16" max="16384" width="9.140625" style="2"/>
  </cols>
  <sheetData>
    <row r="1" spans="1:19" x14ac:dyDescent="0.25">
      <c r="A1" s="1" t="s">
        <v>96</v>
      </c>
      <c r="J1" s="1"/>
    </row>
    <row r="2" spans="1:19" x14ac:dyDescent="0.25">
      <c r="A2" s="2" t="str">
        <f>'Present and Proposed Rates'!A16</f>
        <v>3 Phase</v>
      </c>
    </row>
    <row r="3" spans="1:19" ht="16.5" thickBot="1" x14ac:dyDescent="0.3">
      <c r="A3" s="2">
        <f>'Present and Proposed Rates'!B16</f>
        <v>3</v>
      </c>
    </row>
    <row r="4" spans="1:19" x14ac:dyDescent="0.25">
      <c r="D4" s="388" t="s">
        <v>31</v>
      </c>
      <c r="E4" s="389"/>
      <c r="F4" s="389"/>
      <c r="G4" s="390"/>
      <c r="H4" s="150"/>
      <c r="L4" s="388" t="s">
        <v>94</v>
      </c>
      <c r="M4" s="389"/>
      <c r="N4" s="389"/>
      <c r="O4" s="390"/>
    </row>
    <row r="5" spans="1:19" ht="16.5" thickBot="1" x14ac:dyDescent="0.3">
      <c r="A5" s="40"/>
      <c r="B5" s="57"/>
      <c r="C5" s="3"/>
      <c r="D5" s="391"/>
      <c r="E5" s="392"/>
      <c r="F5" s="392"/>
      <c r="G5" s="393"/>
      <c r="H5" s="150"/>
      <c r="I5" s="40"/>
      <c r="J5" s="57"/>
      <c r="K5" s="3"/>
      <c r="L5" s="391"/>
      <c r="M5" s="392"/>
      <c r="N5" s="392"/>
      <c r="O5" s="393"/>
    </row>
    <row r="6" spans="1:19" x14ac:dyDescent="0.25">
      <c r="A6" s="4"/>
      <c r="B6" s="4"/>
      <c r="C6" s="4"/>
      <c r="D6" s="4" t="s">
        <v>1</v>
      </c>
      <c r="E6" s="4"/>
      <c r="F6" s="4"/>
      <c r="G6" s="4" t="s">
        <v>2</v>
      </c>
      <c r="H6" s="151"/>
      <c r="I6" s="4"/>
      <c r="J6" s="4"/>
      <c r="K6" s="4"/>
      <c r="L6" s="4" t="s">
        <v>1</v>
      </c>
      <c r="M6" s="4"/>
      <c r="N6" s="4"/>
      <c r="O6" s="4" t="s">
        <v>2</v>
      </c>
    </row>
    <row r="7" spans="1:19" ht="16.5" thickBot="1" x14ac:dyDescent="0.3">
      <c r="A7" s="5"/>
      <c r="B7" s="5"/>
      <c r="C7" s="5"/>
      <c r="D7" s="5" t="s">
        <v>4</v>
      </c>
      <c r="E7" s="392" t="s">
        <v>5</v>
      </c>
      <c r="F7" s="392"/>
      <c r="G7" s="5" t="s">
        <v>6</v>
      </c>
      <c r="H7" s="152"/>
      <c r="I7" s="5"/>
      <c r="J7" s="5"/>
      <c r="K7" s="5"/>
      <c r="L7" s="5" t="s">
        <v>4</v>
      </c>
      <c r="M7" s="392" t="s">
        <v>5</v>
      </c>
      <c r="N7" s="392"/>
      <c r="O7" s="5" t="s">
        <v>6</v>
      </c>
      <c r="P7" s="5" t="s">
        <v>234</v>
      </c>
    </row>
    <row r="8" spans="1:19" x14ac:dyDescent="0.25">
      <c r="H8" s="153"/>
    </row>
    <row r="9" spans="1:19" x14ac:dyDescent="0.25">
      <c r="H9" s="153"/>
    </row>
    <row r="10" spans="1:19" x14ac:dyDescent="0.25">
      <c r="A10" s="96" t="s">
        <v>10</v>
      </c>
      <c r="H10" s="153"/>
      <c r="I10" s="96" t="s">
        <v>10</v>
      </c>
    </row>
    <row r="11" spans="1:19" x14ac:dyDescent="0.25">
      <c r="D11" s="139" t="s">
        <v>113</v>
      </c>
      <c r="E11" s="139" t="s">
        <v>100</v>
      </c>
      <c r="H11" s="153"/>
      <c r="L11" s="139" t="s">
        <v>113</v>
      </c>
      <c r="M11" s="139" t="s">
        <v>100</v>
      </c>
    </row>
    <row r="12" spans="1:19" x14ac:dyDescent="0.25">
      <c r="B12" s="2" t="s">
        <v>118</v>
      </c>
      <c r="D12" s="8">
        <v>0</v>
      </c>
      <c r="E12" s="136">
        <f>'Present and Proposed Rates'!E16</f>
        <v>1.786</v>
      </c>
      <c r="G12" s="11">
        <f>D12*E12*365/12</f>
        <v>0</v>
      </c>
      <c r="H12" s="154"/>
      <c r="J12" s="2" t="s">
        <v>118</v>
      </c>
      <c r="L12" s="8">
        <f>D12</f>
        <v>0</v>
      </c>
      <c r="M12" s="136">
        <f>'Present and Proposed Rates'!F16</f>
        <v>1.786</v>
      </c>
      <c r="O12" s="11">
        <f>L12*M12*365/12</f>
        <v>0</v>
      </c>
      <c r="P12" s="88"/>
      <c r="Q12" s="58"/>
    </row>
    <row r="13" spans="1:19" x14ac:dyDescent="0.25">
      <c r="B13" s="2" t="s">
        <v>119</v>
      </c>
      <c r="D13" s="8">
        <f>BillDet!E21</f>
        <v>4728</v>
      </c>
      <c r="E13" s="136">
        <f>'Present and Proposed Rates'!E17</f>
        <v>3.1179999999999999</v>
      </c>
      <c r="G13" s="11">
        <f>D13*E13*365/12</f>
        <v>448399.58</v>
      </c>
      <c r="H13" s="154"/>
      <c r="J13" s="2" t="s">
        <v>119</v>
      </c>
      <c r="L13" s="8">
        <f>D13</f>
        <v>4728</v>
      </c>
      <c r="M13" s="136">
        <f>'Present and Proposed Rates'!F17</f>
        <v>3.1179999999999999</v>
      </c>
      <c r="O13" s="11">
        <f>L13*M13*365/12</f>
        <v>448399.58</v>
      </c>
      <c r="P13" s="88">
        <f t="shared" ref="P13:P31" si="0">O13/G13-1</f>
        <v>0</v>
      </c>
      <c r="Q13" s="58"/>
      <c r="S13" s="20"/>
    </row>
    <row r="14" spans="1:19" x14ac:dyDescent="0.25">
      <c r="B14" s="2" t="s">
        <v>120</v>
      </c>
      <c r="D14" s="8">
        <f>BillDet!F21</f>
        <v>96</v>
      </c>
      <c r="E14" s="136">
        <f>'Present and Proposed Rates'!E18</f>
        <v>4.45</v>
      </c>
      <c r="G14" s="11">
        <f>D14*E14*365/12</f>
        <v>12994.000000000002</v>
      </c>
      <c r="H14" s="154"/>
      <c r="J14" s="2" t="s">
        <v>120</v>
      </c>
      <c r="L14" s="8">
        <f>D14</f>
        <v>96</v>
      </c>
      <c r="M14" s="136">
        <f>'Present and Proposed Rates'!F18</f>
        <v>4.45</v>
      </c>
      <c r="O14" s="11">
        <f>L14*M14*365/12</f>
        <v>12994.000000000002</v>
      </c>
      <c r="P14" s="88">
        <f t="shared" si="0"/>
        <v>0</v>
      </c>
      <c r="Q14" s="58"/>
      <c r="S14" s="20"/>
    </row>
    <row r="15" spans="1:19" x14ac:dyDescent="0.25">
      <c r="B15" s="141" t="s">
        <v>85</v>
      </c>
      <c r="D15" s="143">
        <f>SUM(D12:D14)</f>
        <v>4824</v>
      </c>
      <c r="E15" s="9"/>
      <c r="G15" s="142">
        <f>SUM(G12:G14)</f>
        <v>461393.58</v>
      </c>
      <c r="H15" s="154"/>
      <c r="J15" s="141" t="s">
        <v>85</v>
      </c>
      <c r="L15" s="143">
        <f>D15</f>
        <v>4824</v>
      </c>
      <c r="M15" s="9"/>
      <c r="O15" s="142">
        <f>SUM(O12:O14)</f>
        <v>461393.58</v>
      </c>
      <c r="P15" s="88">
        <f t="shared" si="0"/>
        <v>0</v>
      </c>
      <c r="Q15" s="58"/>
    </row>
    <row r="16" spans="1:19" x14ac:dyDescent="0.25">
      <c r="D16" s="8"/>
      <c r="G16" s="11"/>
      <c r="H16" s="154"/>
      <c r="L16" s="8"/>
      <c r="O16" s="11"/>
      <c r="P16" s="88"/>
    </row>
    <row r="17" spans="1:17" x14ac:dyDescent="0.25">
      <c r="A17" s="1" t="s">
        <v>7</v>
      </c>
      <c r="D17" s="8"/>
      <c r="G17" s="11"/>
      <c r="H17" s="154"/>
      <c r="I17" s="1" t="s">
        <v>7</v>
      </c>
      <c r="L17" s="8"/>
      <c r="O17" s="11"/>
      <c r="P17" s="88"/>
    </row>
    <row r="18" spans="1:17" x14ac:dyDescent="0.25">
      <c r="D18" s="121" t="s">
        <v>8</v>
      </c>
      <c r="E18" s="122" t="s">
        <v>11</v>
      </c>
      <c r="G18" s="11"/>
      <c r="H18" s="154"/>
      <c r="L18" s="121" t="s">
        <v>8</v>
      </c>
      <c r="M18" s="122" t="s">
        <v>11</v>
      </c>
      <c r="O18" s="11"/>
      <c r="P18" s="88"/>
    </row>
    <row r="19" spans="1:17" x14ac:dyDescent="0.25">
      <c r="B19" s="2" t="s">
        <v>101</v>
      </c>
      <c r="D19" s="8">
        <f>BillDet!E36+BillDet!F36+BillDet!O36+BillDet!Q36</f>
        <v>65478568</v>
      </c>
      <c r="E19" s="135">
        <f>'Present and Proposed Rates'!E19</f>
        <v>6.5794000000000005E-2</v>
      </c>
      <c r="G19" s="11">
        <f>D19*E19</f>
        <v>4308096.9029920008</v>
      </c>
      <c r="H19" s="154"/>
      <c r="J19" s="2" t="s">
        <v>101</v>
      </c>
      <c r="L19" s="8">
        <f>D19</f>
        <v>65478568</v>
      </c>
      <c r="M19" s="135">
        <f>'Present and Proposed Rates'!F19</f>
        <v>6.5794000000000005E-2</v>
      </c>
      <c r="O19" s="11">
        <f>L19*M19</f>
        <v>4308096.9029920008</v>
      </c>
      <c r="P19" s="88">
        <f t="shared" si="0"/>
        <v>0</v>
      </c>
      <c r="Q19" s="58"/>
    </row>
    <row r="20" spans="1:17" x14ac:dyDescent="0.25">
      <c r="C20" s="16" t="s">
        <v>230</v>
      </c>
      <c r="D20" s="325">
        <f>D19/D15</f>
        <v>13573.500829187396</v>
      </c>
      <c r="E20" s="18"/>
      <c r="G20" s="11"/>
      <c r="H20" s="154"/>
      <c r="L20" s="8"/>
      <c r="M20" s="18"/>
      <c r="O20" s="11"/>
      <c r="P20" s="88"/>
    </row>
    <row r="21" spans="1:17" x14ac:dyDescent="0.25">
      <c r="A21" s="1" t="s">
        <v>121</v>
      </c>
      <c r="D21" s="8"/>
      <c r="G21" s="11"/>
      <c r="H21" s="154"/>
      <c r="I21" s="1" t="s">
        <v>121</v>
      </c>
      <c r="L21" s="8"/>
      <c r="O21" s="11"/>
      <c r="P21" s="88"/>
    </row>
    <row r="22" spans="1:17" x14ac:dyDescent="0.25">
      <c r="D22" s="121" t="s">
        <v>122</v>
      </c>
      <c r="E22" s="122" t="s">
        <v>123</v>
      </c>
      <c r="G22" s="11"/>
      <c r="H22" s="154"/>
      <c r="L22" s="121" t="s">
        <v>122</v>
      </c>
      <c r="M22" s="122" t="s">
        <v>123</v>
      </c>
      <c r="O22" s="11"/>
      <c r="P22" s="88"/>
    </row>
    <row r="23" spans="1:17" x14ac:dyDescent="0.25">
      <c r="B23" s="2" t="s">
        <v>101</v>
      </c>
      <c r="D23" s="8">
        <f>BillDet!E51+BillDet!F51</f>
        <v>244529.37700000001</v>
      </c>
      <c r="E23" s="69">
        <f>'Present and Proposed Rates'!E24</f>
        <v>11</v>
      </c>
      <c r="G23" s="11">
        <f>D23*E23</f>
        <v>2689823.1469999999</v>
      </c>
      <c r="H23" s="154"/>
      <c r="J23" s="2" t="s">
        <v>101</v>
      </c>
      <c r="L23" s="8">
        <f>D23</f>
        <v>244529.37700000001</v>
      </c>
      <c r="M23" s="69">
        <f>'Present and Proposed Rates'!F24</f>
        <v>11</v>
      </c>
      <c r="O23" s="11">
        <f>L23*M23</f>
        <v>2689823.1469999999</v>
      </c>
      <c r="P23" s="88">
        <f t="shared" si="0"/>
        <v>0</v>
      </c>
      <c r="Q23" s="58"/>
    </row>
    <row r="24" spans="1:17" x14ac:dyDescent="0.25">
      <c r="D24" s="8"/>
      <c r="E24" s="135"/>
      <c r="G24" s="11"/>
      <c r="H24" s="154"/>
      <c r="L24" s="8"/>
      <c r="M24" s="135"/>
      <c r="O24" s="11"/>
      <c r="P24" s="88"/>
    </row>
    <row r="25" spans="1:17" x14ac:dyDescent="0.25">
      <c r="A25" s="1" t="s">
        <v>102</v>
      </c>
      <c r="D25" s="8"/>
      <c r="E25" s="18"/>
      <c r="G25" s="11"/>
      <c r="H25" s="154"/>
      <c r="I25" s="1" t="s">
        <v>102</v>
      </c>
      <c r="L25" s="8"/>
      <c r="M25" s="18"/>
      <c r="O25" s="11"/>
      <c r="P25" s="88"/>
    </row>
    <row r="26" spans="1:17" x14ac:dyDescent="0.25">
      <c r="B26" s="2" t="s">
        <v>117</v>
      </c>
      <c r="D26" s="8"/>
      <c r="E26" s="18"/>
      <c r="G26" s="11">
        <v>807350.38</v>
      </c>
      <c r="H26" s="154"/>
      <c r="J26" s="2" t="str">
        <f>B26</f>
        <v>Fuel Adjustment Clause</v>
      </c>
      <c r="L26" s="8"/>
      <c r="M26" s="18"/>
      <c r="O26" s="11">
        <f>G26</f>
        <v>807350.38</v>
      </c>
      <c r="P26" s="88">
        <f t="shared" si="0"/>
        <v>0</v>
      </c>
      <c r="Q26" s="58"/>
    </row>
    <row r="27" spans="1:17" x14ac:dyDescent="0.25">
      <c r="B27" s="2" t="s">
        <v>114</v>
      </c>
      <c r="D27" s="8"/>
      <c r="E27" s="18"/>
      <c r="G27" s="11">
        <v>483927.42</v>
      </c>
      <c r="H27" s="154"/>
      <c r="J27" s="2" t="str">
        <f t="shared" ref="J27:J29" si="1">B27</f>
        <v>Environmental Surcharge</v>
      </c>
      <c r="L27" s="8"/>
      <c r="M27" s="18"/>
      <c r="O27" s="11">
        <f t="shared" ref="O27:O29" si="2">G27</f>
        <v>483927.42</v>
      </c>
      <c r="P27" s="88">
        <f t="shared" si="0"/>
        <v>0</v>
      </c>
      <c r="Q27" s="58"/>
    </row>
    <row r="28" spans="1:17" x14ac:dyDescent="0.25">
      <c r="B28" s="2" t="s">
        <v>115</v>
      </c>
      <c r="D28" s="8"/>
      <c r="E28" s="18"/>
      <c r="G28" s="11">
        <v>-259027.85</v>
      </c>
      <c r="H28" s="154"/>
      <c r="J28" s="2" t="str">
        <f t="shared" si="1"/>
        <v>Member Rate Stability</v>
      </c>
      <c r="L28" s="8"/>
      <c r="M28" s="18"/>
      <c r="O28" s="11">
        <f t="shared" si="2"/>
        <v>-259027.85</v>
      </c>
      <c r="P28" s="88">
        <f t="shared" si="0"/>
        <v>0</v>
      </c>
      <c r="Q28" s="58"/>
    </row>
    <row r="29" spans="1:17" x14ac:dyDescent="0.25">
      <c r="B29" s="2" t="s">
        <v>116</v>
      </c>
      <c r="D29" s="8"/>
      <c r="E29" s="18"/>
      <c r="G29" s="33">
        <v>477042.03</v>
      </c>
      <c r="H29" s="155"/>
      <c r="J29" s="2" t="str">
        <f t="shared" si="1"/>
        <v>Non-FAC PPA</v>
      </c>
      <c r="L29" s="8"/>
      <c r="M29" s="18"/>
      <c r="O29" s="11">
        <f t="shared" si="2"/>
        <v>477042.03</v>
      </c>
      <c r="P29" s="88">
        <f t="shared" si="0"/>
        <v>0</v>
      </c>
      <c r="Q29" s="58"/>
    </row>
    <row r="30" spans="1:17" x14ac:dyDescent="0.25">
      <c r="A30" s="1"/>
      <c r="C30" s="16"/>
      <c r="D30" s="8"/>
      <c r="E30" s="18"/>
      <c r="G30" s="11"/>
      <c r="H30" s="154"/>
      <c r="P30" s="88"/>
    </row>
    <row r="31" spans="1:17" ht="16.5" thickBot="1" x14ac:dyDescent="0.3">
      <c r="A31" s="1" t="s">
        <v>81</v>
      </c>
      <c r="G31" s="24">
        <f>SUM(G15:G30)</f>
        <v>8968605.6099920012</v>
      </c>
      <c r="H31" s="154"/>
      <c r="I31" s="1" t="s">
        <v>81</v>
      </c>
      <c r="O31" s="24">
        <f>SUM(O15:O30)</f>
        <v>8968605.6099920012</v>
      </c>
      <c r="P31" s="88">
        <f t="shared" si="0"/>
        <v>0</v>
      </c>
      <c r="Q31" s="58"/>
    </row>
    <row r="32" spans="1:17" ht="16.5" thickTop="1" x14ac:dyDescent="0.25">
      <c r="A32" s="1"/>
      <c r="B32" s="1"/>
      <c r="G32" s="11"/>
      <c r="H32" s="154"/>
      <c r="I32" s="1"/>
      <c r="J32" s="1"/>
      <c r="O32" s="11"/>
    </row>
    <row r="33" spans="1:15" x14ac:dyDescent="0.25">
      <c r="A33" s="1" t="s">
        <v>18</v>
      </c>
      <c r="B33" s="10"/>
      <c r="G33" s="11">
        <f>BillDet!E66+BillDet!F66+BillDet!O66+BillDet!Q66</f>
        <v>8865790.540000001</v>
      </c>
      <c r="H33" s="154"/>
      <c r="I33" s="1" t="s">
        <v>86</v>
      </c>
      <c r="J33" s="10"/>
      <c r="O33" s="29">
        <f>O31-G31</f>
        <v>0</v>
      </c>
    </row>
    <row r="34" spans="1:15" x14ac:dyDescent="0.25">
      <c r="A34" s="10"/>
      <c r="B34" s="10"/>
      <c r="G34" s="10"/>
      <c r="H34" s="156"/>
      <c r="J34" s="10"/>
      <c r="O34" s="10"/>
    </row>
    <row r="35" spans="1:15" x14ac:dyDescent="0.25">
      <c r="A35" s="1" t="s">
        <v>13</v>
      </c>
      <c r="B35" s="10"/>
      <c r="G35" s="22">
        <f>G31-G33</f>
        <v>102815.06999200024</v>
      </c>
      <c r="H35" s="157"/>
      <c r="I35" s="1" t="s">
        <v>87</v>
      </c>
      <c r="J35" s="10"/>
      <c r="O35" s="88">
        <f>O33/G31</f>
        <v>0</v>
      </c>
    </row>
    <row r="36" spans="1:15" x14ac:dyDescent="0.25">
      <c r="A36" s="10"/>
      <c r="B36" s="10"/>
      <c r="G36" s="11"/>
      <c r="H36" s="154"/>
      <c r="J36" s="10"/>
      <c r="O36" s="11"/>
    </row>
    <row r="37" spans="1:15" x14ac:dyDescent="0.25">
      <c r="A37" s="1" t="s">
        <v>27</v>
      </c>
      <c r="B37" s="10"/>
      <c r="G37" s="23">
        <f>G35/G33</f>
        <v>1.1596830483206998E-2</v>
      </c>
      <c r="H37" s="158"/>
      <c r="I37" s="1" t="s">
        <v>88</v>
      </c>
      <c r="J37" s="10"/>
      <c r="O37" s="35">
        <f>O33/L15</f>
        <v>0</v>
      </c>
    </row>
    <row r="38" spans="1:15" x14ac:dyDescent="0.25">
      <c r="A38" s="1"/>
      <c r="B38" s="10"/>
      <c r="D38" s="14">
        <f>D19/D15</f>
        <v>13573.500829187396</v>
      </c>
      <c r="G38" s="23"/>
      <c r="H38" s="23"/>
      <c r="I38" s="1"/>
      <c r="J38" s="10"/>
      <c r="O38" s="23"/>
    </row>
    <row r="39" spans="1:15" x14ac:dyDescent="0.25">
      <c r="A39" s="1"/>
      <c r="B39" s="10"/>
      <c r="G39" s="35">
        <v>8072999.459999999</v>
      </c>
      <c r="H39" s="23"/>
      <c r="I39" s="1"/>
      <c r="J39" s="10"/>
      <c r="O39" s="23"/>
    </row>
    <row r="40" spans="1:15" x14ac:dyDescent="0.25">
      <c r="A40" s="1"/>
      <c r="B40" s="10"/>
      <c r="G40" s="140">
        <f>G23+G19</f>
        <v>6997920.0499920007</v>
      </c>
      <c r="H40" s="23"/>
      <c r="I40" s="1"/>
      <c r="J40" s="10"/>
      <c r="O40" s="23"/>
    </row>
    <row r="41" spans="1:15" x14ac:dyDescent="0.25">
      <c r="A41" s="1"/>
      <c r="B41" s="10"/>
      <c r="G41" s="140">
        <f>G39-G40</f>
        <v>1075079.4100079983</v>
      </c>
      <c r="H41" s="23"/>
      <c r="I41" s="1"/>
      <c r="J41" s="10"/>
      <c r="O41" s="23"/>
    </row>
    <row r="42" spans="1:15" x14ac:dyDescent="0.25">
      <c r="A42" s="1"/>
      <c r="B42" s="10"/>
      <c r="G42" s="23"/>
      <c r="H42" s="23"/>
      <c r="I42" s="1"/>
      <c r="J42" s="10"/>
      <c r="O42" s="23"/>
    </row>
    <row r="43" spans="1:15" x14ac:dyDescent="0.25">
      <c r="A43" s="1"/>
      <c r="B43" s="10"/>
      <c r="G43" s="23"/>
      <c r="H43" s="23"/>
      <c r="I43" s="1"/>
      <c r="J43" s="10"/>
      <c r="O43" s="23"/>
    </row>
    <row r="44" spans="1:15" ht="18.75" customHeight="1" x14ac:dyDescent="0.25">
      <c r="A44" s="1"/>
      <c r="B44" s="11"/>
      <c r="G44" s="140">
        <f>G15+G19+G23</f>
        <v>7459313.6299920008</v>
      </c>
      <c r="H44" s="23"/>
    </row>
    <row r="45" spans="1:15" x14ac:dyDescent="0.25">
      <c r="E45" s="11"/>
    </row>
    <row r="46" spans="1:15" x14ac:dyDescent="0.25">
      <c r="I46" s="37"/>
      <c r="J46" s="37"/>
    </row>
    <row r="47" spans="1:15" x14ac:dyDescent="0.25">
      <c r="I47" s="37"/>
      <c r="J47" s="37"/>
    </row>
    <row r="48" spans="1:15" x14ac:dyDescent="0.25">
      <c r="I48" s="37"/>
      <c r="J48" s="37"/>
    </row>
    <row r="49" spans="9:16" x14ac:dyDescent="0.25">
      <c r="I49" s="37"/>
      <c r="J49" s="71"/>
    </row>
    <row r="50" spans="9:16" x14ac:dyDescent="0.25">
      <c r="I50" s="37"/>
      <c r="J50" s="71"/>
    </row>
    <row r="51" spans="9:16" x14ac:dyDescent="0.25">
      <c r="I51" s="37"/>
      <c r="J51" s="71"/>
    </row>
    <row r="52" spans="9:16" x14ac:dyDescent="0.25">
      <c r="I52" s="37"/>
      <c r="J52" s="71"/>
    </row>
    <row r="53" spans="9:16" x14ac:dyDescent="0.25">
      <c r="I53" s="37"/>
      <c r="J53" s="71"/>
    </row>
    <row r="54" spans="9:16" x14ac:dyDescent="0.25">
      <c r="I54" s="37"/>
      <c r="J54" s="71"/>
    </row>
    <row r="55" spans="9:16" x14ac:dyDescent="0.25">
      <c r="I55" s="37"/>
      <c r="J55" s="71"/>
      <c r="P55" s="2" t="e">
        <f>IF(#REF!=#REF!,"ok","err")</f>
        <v>#REF!</v>
      </c>
    </row>
    <row r="56" spans="9:16" x14ac:dyDescent="0.25">
      <c r="I56" s="37"/>
      <c r="J56" s="71"/>
    </row>
    <row r="57" spans="9:16" x14ac:dyDescent="0.25">
      <c r="I57" s="37"/>
      <c r="J57" s="71"/>
    </row>
    <row r="58" spans="9:16" x14ac:dyDescent="0.25">
      <c r="I58" s="37"/>
      <c r="J58" s="71"/>
    </row>
    <row r="59" spans="9:16" ht="16.5" customHeight="1" x14ac:dyDescent="0.25">
      <c r="I59" s="37"/>
      <c r="J59" s="71"/>
    </row>
    <row r="60" spans="9:16" x14ac:dyDescent="0.25">
      <c r="I60" s="37"/>
      <c r="J60" s="71"/>
    </row>
    <row r="61" spans="9:16" x14ac:dyDescent="0.25">
      <c r="I61" s="37"/>
      <c r="J61" s="71"/>
      <c r="P61" s="2" t="e">
        <f>IF(#REF!=#REF!,"ok","err")</f>
        <v>#REF!</v>
      </c>
    </row>
    <row r="64" spans="9:16" x14ac:dyDescent="0.25">
      <c r="I64" s="37"/>
      <c r="J64" s="37"/>
    </row>
    <row r="65" spans="9:10" x14ac:dyDescent="0.25">
      <c r="I65" s="37"/>
      <c r="J65" s="37"/>
    </row>
    <row r="66" spans="9:10" x14ac:dyDescent="0.25">
      <c r="I66" s="37"/>
      <c r="J66" s="37"/>
    </row>
    <row r="67" spans="9:10" x14ac:dyDescent="0.25">
      <c r="I67" s="69"/>
      <c r="J67" s="62"/>
    </row>
    <row r="68" spans="9:10" x14ac:dyDescent="0.25">
      <c r="I68" s="69"/>
      <c r="J68" s="62"/>
    </row>
    <row r="69" spans="9:10" x14ac:dyDescent="0.25">
      <c r="I69" s="69"/>
      <c r="J69" s="62"/>
    </row>
    <row r="70" spans="9:10" x14ac:dyDescent="0.25">
      <c r="I70" s="69"/>
      <c r="J70" s="62"/>
    </row>
    <row r="71" spans="9:10" x14ac:dyDescent="0.25">
      <c r="I71" s="69"/>
      <c r="J71" s="62"/>
    </row>
    <row r="72" spans="9:10" x14ac:dyDescent="0.25">
      <c r="I72" s="69"/>
      <c r="J72" s="62"/>
    </row>
    <row r="73" spans="9:10" x14ac:dyDescent="0.25">
      <c r="I73" s="69"/>
      <c r="J73" s="62"/>
    </row>
    <row r="74" spans="9:10" x14ac:dyDescent="0.25">
      <c r="I74" s="69"/>
      <c r="J74" s="62"/>
    </row>
    <row r="75" spans="9:10" x14ac:dyDescent="0.25">
      <c r="I75" s="69"/>
      <c r="J75" s="62"/>
    </row>
    <row r="76" spans="9:10" x14ac:dyDescent="0.25">
      <c r="I76" s="69"/>
      <c r="J76" s="62"/>
    </row>
    <row r="77" spans="9:10" x14ac:dyDescent="0.25">
      <c r="I77" s="69"/>
      <c r="J77" s="62"/>
    </row>
    <row r="78" spans="9:10" x14ac:dyDescent="0.25">
      <c r="I78" s="69"/>
      <c r="J78" s="62"/>
    </row>
    <row r="79" spans="9:10" x14ac:dyDescent="0.25">
      <c r="I79" s="37"/>
      <c r="J79" s="37"/>
    </row>
    <row r="80" spans="9:10" x14ac:dyDescent="0.25">
      <c r="I80" s="37"/>
      <c r="J80" s="37"/>
    </row>
    <row r="81" spans="9:10" x14ac:dyDescent="0.25">
      <c r="I81" s="37"/>
      <c r="J81" s="37"/>
    </row>
    <row r="82" spans="9:10" x14ac:dyDescent="0.25">
      <c r="I82" s="37"/>
      <c r="J82" s="37"/>
    </row>
    <row r="83" spans="9:10" x14ac:dyDescent="0.25">
      <c r="I83" s="37"/>
      <c r="J83" s="37"/>
    </row>
    <row r="84" spans="9:10" x14ac:dyDescent="0.25">
      <c r="I84" s="37"/>
      <c r="J84" s="37"/>
    </row>
    <row r="85" spans="9:10" x14ac:dyDescent="0.25">
      <c r="I85" s="37"/>
      <c r="J85" s="37"/>
    </row>
    <row r="86" spans="9:10" x14ac:dyDescent="0.25">
      <c r="I86" s="37"/>
      <c r="J86" s="37"/>
    </row>
    <row r="87" spans="9:10" x14ac:dyDescent="0.25">
      <c r="I87" s="37"/>
      <c r="J87" s="37"/>
    </row>
    <row r="88" spans="9:10" x14ac:dyDescent="0.25">
      <c r="I88" s="37"/>
      <c r="J88" s="37"/>
    </row>
    <row r="89" spans="9:10" x14ac:dyDescent="0.25">
      <c r="I89" s="37"/>
      <c r="J89" s="37"/>
    </row>
    <row r="90" spans="9:10" x14ac:dyDescent="0.25">
      <c r="I90" s="37"/>
      <c r="J90" s="37"/>
    </row>
    <row r="91" spans="9:10" x14ac:dyDescent="0.25">
      <c r="I91" s="37"/>
      <c r="J91" s="37"/>
    </row>
    <row r="92" spans="9:10" ht="15" customHeight="1" x14ac:dyDescent="0.25">
      <c r="I92" s="37"/>
      <c r="J92" s="37"/>
    </row>
    <row r="93" spans="9:10" x14ac:dyDescent="0.25">
      <c r="I93" s="37"/>
      <c r="J93" s="37"/>
    </row>
    <row r="94" spans="9:10" x14ac:dyDescent="0.25">
      <c r="I94" s="37"/>
      <c r="J94" s="37"/>
    </row>
    <row r="95" spans="9:10" x14ac:dyDescent="0.25">
      <c r="I95" s="37"/>
      <c r="J95" s="37"/>
    </row>
    <row r="96" spans="9:10" x14ac:dyDescent="0.25">
      <c r="I96" s="37"/>
      <c r="J96" s="37"/>
    </row>
    <row r="97" spans="9:10" x14ac:dyDescent="0.25">
      <c r="I97" s="37"/>
      <c r="J97" s="37"/>
    </row>
    <row r="98" spans="9:10" x14ac:dyDescent="0.25">
      <c r="I98" s="37"/>
      <c r="J98" s="37"/>
    </row>
    <row r="99" spans="9:10" x14ac:dyDescent="0.25">
      <c r="I99" s="37"/>
      <c r="J99" s="37"/>
    </row>
    <row r="100" spans="9:10" x14ac:dyDescent="0.25">
      <c r="I100" s="37"/>
      <c r="J100" s="37"/>
    </row>
    <row r="101" spans="9:10" x14ac:dyDescent="0.25">
      <c r="I101" s="37"/>
      <c r="J101" s="37"/>
    </row>
    <row r="102" spans="9:10" x14ac:dyDescent="0.25">
      <c r="I102" s="37"/>
      <c r="J102" s="37"/>
    </row>
    <row r="103" spans="9:10" x14ac:dyDescent="0.25">
      <c r="I103" s="37"/>
      <c r="J103" s="37"/>
    </row>
    <row r="104" spans="9:10" x14ac:dyDescent="0.25">
      <c r="I104" s="37"/>
      <c r="J104" s="37"/>
    </row>
    <row r="105" spans="9:10" x14ac:dyDescent="0.25">
      <c r="I105" s="37"/>
      <c r="J105" s="37"/>
    </row>
    <row r="106" spans="9:10" x14ac:dyDescent="0.25">
      <c r="I106" s="37"/>
      <c r="J106" s="37"/>
    </row>
    <row r="107" spans="9:10" x14ac:dyDescent="0.25">
      <c r="I107" s="37"/>
      <c r="J107" s="37"/>
    </row>
    <row r="108" spans="9:10" x14ac:dyDescent="0.25">
      <c r="I108" s="37"/>
      <c r="J108" s="37"/>
    </row>
    <row r="109" spans="9:10" x14ac:dyDescent="0.25">
      <c r="I109" s="37"/>
      <c r="J109" s="37"/>
    </row>
    <row r="110" spans="9:10" x14ac:dyDescent="0.25">
      <c r="I110" s="37"/>
      <c r="J110" s="37"/>
    </row>
    <row r="111" spans="9:10" x14ac:dyDescent="0.25">
      <c r="I111" s="37"/>
      <c r="J111" s="37"/>
    </row>
    <row r="112" spans="9:10" x14ac:dyDescent="0.25">
      <c r="I112" s="37"/>
      <c r="J112" s="37"/>
    </row>
    <row r="113" spans="9:10" x14ac:dyDescent="0.25">
      <c r="I113" s="37"/>
      <c r="J113" s="37"/>
    </row>
    <row r="114" spans="9:10" x14ac:dyDescent="0.25">
      <c r="I114" s="37"/>
      <c r="J114" s="37"/>
    </row>
    <row r="115" spans="9:10" x14ac:dyDescent="0.25">
      <c r="I115" s="37"/>
      <c r="J115" s="37"/>
    </row>
    <row r="116" spans="9:10" x14ac:dyDescent="0.25">
      <c r="I116" s="37"/>
      <c r="J116" s="37"/>
    </row>
    <row r="117" spans="9:10" x14ac:dyDescent="0.25">
      <c r="I117" s="37"/>
      <c r="J117" s="37"/>
    </row>
    <row r="118" spans="9:10" x14ac:dyDescent="0.25">
      <c r="I118" s="37"/>
      <c r="J118" s="37"/>
    </row>
    <row r="119" spans="9:10" x14ac:dyDescent="0.25">
      <c r="I119" s="37"/>
      <c r="J119" s="37"/>
    </row>
    <row r="120" spans="9:10" x14ac:dyDescent="0.25">
      <c r="I120" s="37"/>
      <c r="J120" s="37"/>
    </row>
    <row r="121" spans="9:10" x14ac:dyDescent="0.25">
      <c r="I121" s="37"/>
      <c r="J121" s="37"/>
    </row>
    <row r="122" spans="9:10" x14ac:dyDescent="0.25">
      <c r="I122" s="37"/>
      <c r="J122" s="37"/>
    </row>
    <row r="123" spans="9:10" x14ac:dyDescent="0.25">
      <c r="I123" s="37"/>
      <c r="J123" s="37"/>
    </row>
    <row r="124" spans="9:10" x14ac:dyDescent="0.25">
      <c r="I124" s="37"/>
      <c r="J124" s="37"/>
    </row>
    <row r="139" spans="3:5" x14ac:dyDescent="0.25">
      <c r="C139" s="37"/>
      <c r="D139" s="37"/>
    </row>
    <row r="140" spans="3:5" x14ac:dyDescent="0.25">
      <c r="C140" s="39"/>
      <c r="D140" s="55"/>
      <c r="E140" s="58"/>
    </row>
    <row r="141" spans="3:5" x14ac:dyDescent="0.25">
      <c r="C141" s="39"/>
      <c r="D141" s="55"/>
      <c r="E141" s="58"/>
    </row>
    <row r="142" spans="3:5" x14ac:dyDescent="0.25">
      <c r="C142" s="39"/>
      <c r="D142" s="55"/>
      <c r="E142" s="58"/>
    </row>
  </sheetData>
  <mergeCells count="4">
    <mergeCell ref="D4:G5"/>
    <mergeCell ref="L4:O5"/>
    <mergeCell ref="E7:F7"/>
    <mergeCell ref="M7:N7"/>
  </mergeCells>
  <pageMargins left="0.75" right="0.75" top="1" bottom="1" header="0.5" footer="0.5"/>
  <pageSetup scale="6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139"/>
  <sheetViews>
    <sheetView view="pageBreakPreview" zoomScale="75" zoomScaleNormal="85" zoomScaleSheetLayoutView="75" workbookViewId="0">
      <selection sqref="A1:XFD1048576"/>
    </sheetView>
  </sheetViews>
  <sheetFormatPr defaultRowHeight="15.75" x14ac:dyDescent="0.25"/>
  <cols>
    <col min="1" max="1" width="4.7109375" style="2" customWidth="1"/>
    <col min="2" max="2" width="19.5703125" style="2" customWidth="1"/>
    <col min="3" max="3" width="5.28515625" style="2" customWidth="1"/>
    <col min="4" max="5" width="15" style="2" bestFit="1" customWidth="1"/>
    <col min="6" max="6" width="3.140625" style="2" customWidth="1"/>
    <col min="7" max="7" width="18" style="2" bestFit="1" customWidth="1"/>
    <col min="8" max="8" width="2.85546875" style="2" customWidth="1"/>
    <col min="9" max="9" width="4.7109375" style="2" customWidth="1"/>
    <col min="10" max="10" width="14.5703125" style="2" customWidth="1"/>
    <col min="11" max="11" width="10.28515625" style="2" customWidth="1"/>
    <col min="12" max="12" width="15.28515625" style="2" customWidth="1"/>
    <col min="13" max="13" width="12.85546875" style="2" customWidth="1"/>
    <col min="14" max="14" width="4.28515625" style="2" customWidth="1"/>
    <col min="15" max="15" width="16.85546875" style="2" customWidth="1"/>
    <col min="16" max="16384" width="9.140625" style="2"/>
  </cols>
  <sheetData>
    <row r="1" spans="1:17" x14ac:dyDescent="0.25">
      <c r="A1" s="1" t="s">
        <v>96</v>
      </c>
      <c r="J1" s="1"/>
    </row>
    <row r="2" spans="1:17" x14ac:dyDescent="0.25">
      <c r="A2" s="2" t="str">
        <f>'Present and Proposed Rates'!A22</f>
        <v>3 Ph 0-999 KVA TOD</v>
      </c>
    </row>
    <row r="3" spans="1:17" ht="16.5" thickBot="1" x14ac:dyDescent="0.3">
      <c r="A3" s="2" t="str">
        <f>'Present and Proposed Rates'!B22</f>
        <v>3A</v>
      </c>
    </row>
    <row r="4" spans="1:17" x14ac:dyDescent="0.25">
      <c r="D4" s="388" t="s">
        <v>31</v>
      </c>
      <c r="E4" s="389"/>
      <c r="F4" s="389"/>
      <c r="G4" s="390"/>
      <c r="H4" s="150"/>
      <c r="L4" s="388" t="s">
        <v>94</v>
      </c>
      <c r="M4" s="389"/>
      <c r="N4" s="389"/>
      <c r="O4" s="390"/>
    </row>
    <row r="5" spans="1:17" ht="16.5" thickBot="1" x14ac:dyDescent="0.3">
      <c r="A5" s="40"/>
      <c r="B5" s="57"/>
      <c r="C5" s="3"/>
      <c r="D5" s="391"/>
      <c r="E5" s="392"/>
      <c r="F5" s="392"/>
      <c r="G5" s="393"/>
      <c r="H5" s="150"/>
      <c r="I5" s="40"/>
      <c r="J5" s="57"/>
      <c r="K5" s="3"/>
      <c r="L5" s="391"/>
      <c r="M5" s="392"/>
      <c r="N5" s="392"/>
      <c r="O5" s="393"/>
    </row>
    <row r="6" spans="1:17" x14ac:dyDescent="0.25">
      <c r="A6" s="4"/>
      <c r="B6" s="4"/>
      <c r="C6" s="4"/>
      <c r="D6" s="4" t="s">
        <v>1</v>
      </c>
      <c r="E6" s="4"/>
      <c r="F6" s="4"/>
      <c r="G6" s="4" t="s">
        <v>2</v>
      </c>
      <c r="H6" s="151"/>
      <c r="I6" s="4"/>
      <c r="J6" s="4"/>
      <c r="K6" s="4"/>
      <c r="L6" s="4" t="s">
        <v>1</v>
      </c>
      <c r="M6" s="4"/>
      <c r="N6" s="4"/>
      <c r="O6" s="4" t="s">
        <v>2</v>
      </c>
    </row>
    <row r="7" spans="1:17" ht="16.5" thickBot="1" x14ac:dyDescent="0.3">
      <c r="A7" s="5"/>
      <c r="B7" s="5"/>
      <c r="C7" s="5"/>
      <c r="D7" s="5" t="s">
        <v>4</v>
      </c>
      <c r="E7" s="392" t="s">
        <v>5</v>
      </c>
      <c r="F7" s="392"/>
      <c r="G7" s="5" t="s">
        <v>6</v>
      </c>
      <c r="H7" s="152"/>
      <c r="I7" s="5"/>
      <c r="J7" s="5"/>
      <c r="K7" s="5"/>
      <c r="L7" s="5" t="s">
        <v>4</v>
      </c>
      <c r="M7" s="392" t="s">
        <v>5</v>
      </c>
      <c r="N7" s="392"/>
      <c r="O7" s="5" t="s">
        <v>6</v>
      </c>
      <c r="P7" s="5" t="s">
        <v>234</v>
      </c>
    </row>
    <row r="8" spans="1:17" x14ac:dyDescent="0.25">
      <c r="H8" s="153"/>
    </row>
    <row r="9" spans="1:17" x14ac:dyDescent="0.25">
      <c r="H9" s="153"/>
    </row>
    <row r="10" spans="1:17" x14ac:dyDescent="0.25">
      <c r="A10" s="96" t="s">
        <v>10</v>
      </c>
      <c r="H10" s="153"/>
      <c r="I10" s="96" t="s">
        <v>10</v>
      </c>
    </row>
    <row r="11" spans="1:17" x14ac:dyDescent="0.25">
      <c r="D11" s="139" t="s">
        <v>113</v>
      </c>
      <c r="E11" s="139" t="s">
        <v>100</v>
      </c>
      <c r="H11" s="153"/>
      <c r="L11" s="139" t="s">
        <v>113</v>
      </c>
      <c r="M11" s="139" t="s">
        <v>100</v>
      </c>
    </row>
    <row r="12" spans="1:17" x14ac:dyDescent="0.25">
      <c r="B12" s="2" t="s">
        <v>101</v>
      </c>
      <c r="D12" s="8">
        <f>BillDet!D21</f>
        <v>48</v>
      </c>
      <c r="E12" s="136">
        <f>'Present and Proposed Rates'!E22</f>
        <v>2.641</v>
      </c>
      <c r="G12" s="11">
        <f>D12*E12*365</f>
        <v>46270.32</v>
      </c>
      <c r="H12" s="154"/>
      <c r="J12" s="2" t="s">
        <v>101</v>
      </c>
      <c r="L12" s="8">
        <f>D12</f>
        <v>48</v>
      </c>
      <c r="M12" s="136">
        <f>'Present and Proposed Rates'!F22</f>
        <v>2.641</v>
      </c>
      <c r="O12" s="11">
        <f>L12*M12*365</f>
        <v>46270.32</v>
      </c>
      <c r="P12" s="88">
        <f>O12/G12-1</f>
        <v>0</v>
      </c>
      <c r="Q12" s="58">
        <f>O12/G12</f>
        <v>1</v>
      </c>
    </row>
    <row r="13" spans="1:17" x14ac:dyDescent="0.25">
      <c r="D13" s="8"/>
      <c r="G13" s="11"/>
      <c r="H13" s="154"/>
      <c r="L13" s="8"/>
      <c r="O13" s="11"/>
    </row>
    <row r="14" spans="1:17" x14ac:dyDescent="0.25">
      <c r="A14" s="1" t="s">
        <v>7</v>
      </c>
      <c r="D14" s="8"/>
      <c r="G14" s="11"/>
      <c r="H14" s="154"/>
      <c r="I14" s="1" t="s">
        <v>7</v>
      </c>
      <c r="L14" s="8"/>
      <c r="O14" s="11"/>
    </row>
    <row r="15" spans="1:17" x14ac:dyDescent="0.25">
      <c r="D15" s="121" t="s">
        <v>8</v>
      </c>
      <c r="E15" s="122" t="s">
        <v>11</v>
      </c>
      <c r="G15" s="11"/>
      <c r="H15" s="154"/>
      <c r="L15" s="121" t="s">
        <v>8</v>
      </c>
      <c r="M15" s="122" t="s">
        <v>11</v>
      </c>
      <c r="O15" s="11"/>
    </row>
    <row r="16" spans="1:17" x14ac:dyDescent="0.25">
      <c r="B16" s="2" t="s">
        <v>101</v>
      </c>
      <c r="D16" s="8">
        <f>BillDet!D36+BillDet!P36</f>
        <v>881159</v>
      </c>
      <c r="E16" s="135">
        <f>'Present and Proposed Rates'!E23</f>
        <v>6.5794000000000005E-2</v>
      </c>
      <c r="G16" s="11">
        <f>D16*E16</f>
        <v>57974.975246000002</v>
      </c>
      <c r="H16" s="154"/>
      <c r="J16" s="2" t="s">
        <v>101</v>
      </c>
      <c r="L16" s="8">
        <f>D16</f>
        <v>881159</v>
      </c>
      <c r="M16" s="135">
        <f>'Present and Proposed Rates'!F23</f>
        <v>6.5794000000000005E-2</v>
      </c>
      <c r="O16" s="11">
        <f>L16*M16</f>
        <v>57974.975246000002</v>
      </c>
      <c r="P16" s="88">
        <f>O16/G16-1</f>
        <v>0</v>
      </c>
      <c r="Q16" s="58">
        <f>O16/G16</f>
        <v>1</v>
      </c>
    </row>
    <row r="17" spans="1:17" x14ac:dyDescent="0.25">
      <c r="C17" s="16" t="s">
        <v>230</v>
      </c>
      <c r="D17" s="325">
        <f>D16/D12</f>
        <v>18357.479166666668</v>
      </c>
      <c r="E17" s="18"/>
      <c r="G17" s="11"/>
      <c r="H17" s="154"/>
      <c r="L17" s="8"/>
      <c r="M17" s="18"/>
      <c r="O17" s="11"/>
    </row>
    <row r="18" spans="1:17" x14ac:dyDescent="0.25">
      <c r="A18" s="1" t="s">
        <v>121</v>
      </c>
      <c r="D18" s="8"/>
      <c r="G18" s="11"/>
      <c r="H18" s="154"/>
      <c r="I18" s="1" t="s">
        <v>121</v>
      </c>
      <c r="L18" s="8"/>
      <c r="O18" s="11"/>
    </row>
    <row r="19" spans="1:17" x14ac:dyDescent="0.25">
      <c r="D19" s="121" t="s">
        <v>122</v>
      </c>
      <c r="E19" s="122" t="s">
        <v>123</v>
      </c>
      <c r="G19" s="11"/>
      <c r="H19" s="154"/>
      <c r="L19" s="121" t="s">
        <v>122</v>
      </c>
      <c r="M19" s="122" t="s">
        <v>123</v>
      </c>
      <c r="O19" s="11"/>
    </row>
    <row r="20" spans="1:17" x14ac:dyDescent="0.25">
      <c r="B20" s="2" t="s">
        <v>101</v>
      </c>
      <c r="D20" s="8">
        <f>BillDet!D51</f>
        <v>3333.04</v>
      </c>
      <c r="E20" s="69">
        <f>'Present and Proposed Rates'!E24</f>
        <v>11</v>
      </c>
      <c r="G20" s="11">
        <f>D20*E20</f>
        <v>36663.440000000002</v>
      </c>
      <c r="H20" s="154"/>
      <c r="J20" s="2" t="s">
        <v>101</v>
      </c>
      <c r="L20" s="8">
        <f>D20</f>
        <v>3333.04</v>
      </c>
      <c r="M20" s="69">
        <f>'Present and Proposed Rates'!F24</f>
        <v>11</v>
      </c>
      <c r="O20" s="11">
        <f>L20*M20</f>
        <v>36663.440000000002</v>
      </c>
      <c r="P20" s="88">
        <f>O20/G20-1</f>
        <v>0</v>
      </c>
      <c r="Q20" s="58">
        <f>O20/G20</f>
        <v>1</v>
      </c>
    </row>
    <row r="21" spans="1:17" x14ac:dyDescent="0.25">
      <c r="D21" s="8"/>
      <c r="E21" s="135"/>
      <c r="G21" s="11"/>
      <c r="H21" s="154"/>
      <c r="L21" s="8"/>
      <c r="M21" s="135"/>
      <c r="O21" s="11"/>
    </row>
    <row r="22" spans="1:17" x14ac:dyDescent="0.25">
      <c r="A22" s="1" t="s">
        <v>102</v>
      </c>
      <c r="D22" s="8"/>
      <c r="E22" s="18"/>
      <c r="G22" s="11"/>
      <c r="H22" s="154"/>
      <c r="I22" s="1" t="s">
        <v>102</v>
      </c>
      <c r="L22" s="8"/>
      <c r="M22" s="18"/>
      <c r="O22" s="11"/>
    </row>
    <row r="23" spans="1:17" x14ac:dyDescent="0.25">
      <c r="B23" s="2" t="s">
        <v>117</v>
      </c>
      <c r="D23" s="8"/>
      <c r="E23" s="18"/>
      <c r="G23" s="11">
        <v>12994.320000000002</v>
      </c>
      <c r="H23" s="154"/>
      <c r="J23" s="2" t="str">
        <f>B23</f>
        <v>Fuel Adjustment Clause</v>
      </c>
      <c r="L23" s="8"/>
      <c r="M23" s="18"/>
      <c r="O23" s="11">
        <f>G23</f>
        <v>12994.320000000002</v>
      </c>
      <c r="P23" s="88">
        <f>O23/G23-1</f>
        <v>0</v>
      </c>
      <c r="Q23" s="58">
        <f t="shared" ref="Q23:Q26" si="0">O23/G23</f>
        <v>1</v>
      </c>
    </row>
    <row r="24" spans="1:17" x14ac:dyDescent="0.25">
      <c r="B24" s="2" t="s">
        <v>114</v>
      </c>
      <c r="D24" s="8"/>
      <c r="E24" s="18"/>
      <c r="G24" s="11">
        <v>7617.38</v>
      </c>
      <c r="H24" s="154"/>
      <c r="J24" s="2" t="str">
        <f t="shared" ref="J24:J26" si="1">B24</f>
        <v>Environmental Surcharge</v>
      </c>
      <c r="L24" s="8"/>
      <c r="M24" s="18"/>
      <c r="O24" s="11">
        <f t="shared" ref="O24:O26" si="2">G24</f>
        <v>7617.38</v>
      </c>
      <c r="P24" s="88">
        <f>O24/G24-1</f>
        <v>0</v>
      </c>
      <c r="Q24" s="58">
        <f t="shared" si="0"/>
        <v>1</v>
      </c>
    </row>
    <row r="25" spans="1:17" x14ac:dyDescent="0.25">
      <c r="B25" s="2" t="s">
        <v>115</v>
      </c>
      <c r="D25" s="8"/>
      <c r="E25" s="18"/>
      <c r="G25" s="11">
        <v>-4073.49</v>
      </c>
      <c r="H25" s="154"/>
      <c r="J25" s="2" t="str">
        <f t="shared" si="1"/>
        <v>Member Rate Stability</v>
      </c>
      <c r="L25" s="8"/>
      <c r="M25" s="18"/>
      <c r="O25" s="11">
        <f t="shared" si="2"/>
        <v>-4073.49</v>
      </c>
      <c r="P25" s="88">
        <f>O25/G25-1</f>
        <v>0</v>
      </c>
      <c r="Q25" s="58">
        <f t="shared" si="0"/>
        <v>1</v>
      </c>
    </row>
    <row r="26" spans="1:17" x14ac:dyDescent="0.25">
      <c r="B26" s="2" t="s">
        <v>116</v>
      </c>
      <c r="D26" s="8"/>
      <c r="E26" s="18"/>
      <c r="G26" s="33">
        <v>7518.38</v>
      </c>
      <c r="H26" s="155"/>
      <c r="J26" s="2" t="str">
        <f t="shared" si="1"/>
        <v>Non-FAC PPA</v>
      </c>
      <c r="L26" s="8"/>
      <c r="M26" s="18"/>
      <c r="O26" s="11">
        <f t="shared" si="2"/>
        <v>7518.38</v>
      </c>
      <c r="P26" s="88">
        <f>O26/G26-1</f>
        <v>0</v>
      </c>
      <c r="Q26" s="58">
        <f t="shared" si="0"/>
        <v>1</v>
      </c>
    </row>
    <row r="27" spans="1:17" x14ac:dyDescent="0.25">
      <c r="A27" s="1"/>
      <c r="C27" s="16"/>
      <c r="D27" s="8"/>
      <c r="E27" s="18"/>
      <c r="G27" s="11"/>
      <c r="H27" s="154"/>
      <c r="P27" s="88"/>
    </row>
    <row r="28" spans="1:17" ht="16.5" thickBot="1" x14ac:dyDescent="0.3">
      <c r="A28" s="1" t="s">
        <v>81</v>
      </c>
      <c r="G28" s="24">
        <f>SUM(G13:G27)</f>
        <v>118695.00524600002</v>
      </c>
      <c r="H28" s="154"/>
      <c r="I28" s="1" t="s">
        <v>81</v>
      </c>
      <c r="O28" s="24">
        <f>SUM(O13:O27)</f>
        <v>118695.00524600002</v>
      </c>
      <c r="P28" s="88">
        <f>O28/G28-1</f>
        <v>0</v>
      </c>
      <c r="Q28" s="58">
        <f>O28/G28</f>
        <v>1</v>
      </c>
    </row>
    <row r="29" spans="1:17" ht="16.5" thickTop="1" x14ac:dyDescent="0.25">
      <c r="A29" s="1"/>
      <c r="B29" s="1"/>
      <c r="G29" s="11"/>
      <c r="H29" s="154"/>
      <c r="I29" s="1"/>
      <c r="J29" s="1"/>
      <c r="O29" s="11"/>
    </row>
    <row r="30" spans="1:17" x14ac:dyDescent="0.25">
      <c r="A30" s="1" t="s">
        <v>18</v>
      </c>
      <c r="B30" s="10"/>
      <c r="G30" s="11">
        <f>BillDet!D66+BillDet!P66</f>
        <v>117069.19</v>
      </c>
      <c r="H30" s="154"/>
      <c r="I30" s="1" t="s">
        <v>86</v>
      </c>
      <c r="J30" s="10"/>
      <c r="O30" s="29">
        <f>O28-G28</f>
        <v>0</v>
      </c>
    </row>
    <row r="31" spans="1:17" x14ac:dyDescent="0.25">
      <c r="A31" s="10"/>
      <c r="B31" s="10"/>
      <c r="G31" s="10"/>
      <c r="H31" s="156"/>
      <c r="J31" s="10"/>
      <c r="O31" s="10"/>
    </row>
    <row r="32" spans="1:17" x14ac:dyDescent="0.25">
      <c r="A32" s="1" t="s">
        <v>13</v>
      </c>
      <c r="B32" s="10"/>
      <c r="G32" s="22">
        <f>G28-G30</f>
        <v>1625.8152460000128</v>
      </c>
      <c r="H32" s="157"/>
      <c r="I32" s="1" t="s">
        <v>87</v>
      </c>
      <c r="J32" s="10"/>
      <c r="O32" s="88">
        <f>O30/G28</f>
        <v>0</v>
      </c>
    </row>
    <row r="33" spans="1:15" x14ac:dyDescent="0.25">
      <c r="A33" s="10"/>
      <c r="B33" s="10"/>
      <c r="G33" s="11"/>
      <c r="H33" s="154"/>
      <c r="J33" s="10"/>
      <c r="O33" s="11"/>
    </row>
    <row r="34" spans="1:15" x14ac:dyDescent="0.25">
      <c r="A34" s="1" t="s">
        <v>27</v>
      </c>
      <c r="B34" s="10"/>
      <c r="G34" s="23">
        <f>G32/G30</f>
        <v>1.3887644101748827E-2</v>
      </c>
      <c r="H34" s="158"/>
      <c r="I34" s="1" t="s">
        <v>88</v>
      </c>
      <c r="J34" s="10"/>
      <c r="O34" s="35">
        <f>O30/L12</f>
        <v>0</v>
      </c>
    </row>
    <row r="35" spans="1:15" x14ac:dyDescent="0.25">
      <c r="A35" s="1"/>
      <c r="B35" s="10"/>
      <c r="G35" s="23"/>
      <c r="H35" s="23"/>
      <c r="I35" s="1"/>
      <c r="J35" s="10"/>
      <c r="O35" s="23"/>
    </row>
    <row r="36" spans="1:15" x14ac:dyDescent="0.25">
      <c r="A36" s="1"/>
      <c r="B36" s="10"/>
      <c r="D36" s="14">
        <f>D16/D12</f>
        <v>18357.479166666668</v>
      </c>
      <c r="G36" s="23"/>
      <c r="H36" s="23"/>
      <c r="I36" s="1"/>
      <c r="J36" s="10"/>
      <c r="O36" s="23"/>
    </row>
    <row r="37" spans="1:15" x14ac:dyDescent="0.25">
      <c r="A37" s="1"/>
      <c r="B37" s="10"/>
      <c r="G37" s="140"/>
      <c r="H37" s="23"/>
      <c r="I37" s="1"/>
      <c r="J37" s="10"/>
      <c r="O37" s="23"/>
    </row>
    <row r="38" spans="1:15" x14ac:dyDescent="0.25">
      <c r="A38" s="1"/>
      <c r="B38" s="10"/>
      <c r="G38" s="23"/>
      <c r="H38" s="23"/>
      <c r="I38" s="1"/>
      <c r="J38" s="10"/>
      <c r="O38" s="23"/>
    </row>
    <row r="39" spans="1:15" x14ac:dyDescent="0.25">
      <c r="A39" s="1"/>
      <c r="B39" s="10"/>
      <c r="G39" s="140">
        <f>G12+G16+G20</f>
        <v>140908.735246</v>
      </c>
      <c r="H39" s="23"/>
      <c r="I39" s="1"/>
      <c r="J39" s="10"/>
      <c r="O39" s="23"/>
    </row>
    <row r="40" spans="1:15" x14ac:dyDescent="0.25">
      <c r="A40" s="1"/>
      <c r="B40" s="10"/>
      <c r="G40" s="23"/>
      <c r="H40" s="23"/>
      <c r="I40" s="1"/>
      <c r="J40" s="10"/>
      <c r="O40" s="23"/>
    </row>
    <row r="41" spans="1:15" ht="18.75" customHeight="1" x14ac:dyDescent="0.25">
      <c r="A41" s="1"/>
      <c r="B41" s="11"/>
      <c r="G41" s="23"/>
      <c r="H41" s="23"/>
    </row>
    <row r="42" spans="1:15" x14ac:dyDescent="0.25">
      <c r="E42" s="11"/>
    </row>
    <row r="43" spans="1:15" x14ac:dyDescent="0.25">
      <c r="I43" s="37"/>
      <c r="J43" s="37"/>
    </row>
    <row r="44" spans="1:15" x14ac:dyDescent="0.25">
      <c r="I44" s="37"/>
      <c r="J44" s="37"/>
    </row>
    <row r="45" spans="1:15" x14ac:dyDescent="0.25">
      <c r="I45" s="37"/>
      <c r="J45" s="37"/>
    </row>
    <row r="46" spans="1:15" x14ac:dyDescent="0.25">
      <c r="I46" s="37"/>
      <c r="J46" s="71"/>
    </row>
    <row r="47" spans="1:15" x14ac:dyDescent="0.25">
      <c r="I47" s="37"/>
      <c r="J47" s="71"/>
    </row>
    <row r="48" spans="1:15" x14ac:dyDescent="0.25">
      <c r="I48" s="37"/>
      <c r="J48" s="71"/>
    </row>
    <row r="49" spans="9:16" x14ac:dyDescent="0.25">
      <c r="I49" s="37"/>
      <c r="J49" s="71"/>
    </row>
    <row r="50" spans="9:16" x14ac:dyDescent="0.25">
      <c r="I50" s="37"/>
      <c r="J50" s="71"/>
    </row>
    <row r="51" spans="9:16" x14ac:dyDescent="0.25">
      <c r="I51" s="37"/>
      <c r="J51" s="71"/>
    </row>
    <row r="52" spans="9:16" x14ac:dyDescent="0.25">
      <c r="I52" s="37"/>
      <c r="J52" s="71"/>
      <c r="P52" s="2" t="e">
        <f>IF(#REF!=#REF!,"ok","err")</f>
        <v>#REF!</v>
      </c>
    </row>
    <row r="53" spans="9:16" x14ac:dyDescent="0.25">
      <c r="I53" s="37"/>
      <c r="J53" s="71"/>
    </row>
    <row r="54" spans="9:16" x14ac:dyDescent="0.25">
      <c r="I54" s="37"/>
      <c r="J54" s="71"/>
    </row>
    <row r="55" spans="9:16" x14ac:dyDescent="0.25">
      <c r="I55" s="37"/>
      <c r="J55" s="71"/>
    </row>
    <row r="56" spans="9:16" ht="16.5" customHeight="1" x14ac:dyDescent="0.25">
      <c r="I56" s="37"/>
      <c r="J56" s="71"/>
    </row>
    <row r="57" spans="9:16" x14ac:dyDescent="0.25">
      <c r="I57" s="37"/>
      <c r="J57" s="71"/>
    </row>
    <row r="58" spans="9:16" x14ac:dyDescent="0.25">
      <c r="I58" s="37"/>
      <c r="J58" s="71"/>
      <c r="P58" s="2" t="e">
        <f>IF(#REF!=#REF!,"ok","err")</f>
        <v>#REF!</v>
      </c>
    </row>
    <row r="61" spans="9:16" x14ac:dyDescent="0.25">
      <c r="I61" s="37"/>
      <c r="J61" s="37"/>
    </row>
    <row r="62" spans="9:16" x14ac:dyDescent="0.25">
      <c r="I62" s="37"/>
      <c r="J62" s="37"/>
    </row>
    <row r="63" spans="9:16" x14ac:dyDescent="0.25">
      <c r="I63" s="37"/>
      <c r="J63" s="37"/>
    </row>
    <row r="64" spans="9:16" x14ac:dyDescent="0.25">
      <c r="I64" s="69"/>
      <c r="J64" s="62"/>
    </row>
    <row r="65" spans="9:10" x14ac:dyDescent="0.25">
      <c r="I65" s="69"/>
      <c r="J65" s="62"/>
    </row>
    <row r="66" spans="9:10" x14ac:dyDescent="0.25">
      <c r="I66" s="69"/>
      <c r="J66" s="62"/>
    </row>
    <row r="67" spans="9:10" x14ac:dyDescent="0.25">
      <c r="I67" s="69"/>
      <c r="J67" s="62"/>
    </row>
    <row r="68" spans="9:10" x14ac:dyDescent="0.25">
      <c r="I68" s="69"/>
      <c r="J68" s="62"/>
    </row>
    <row r="69" spans="9:10" x14ac:dyDescent="0.25">
      <c r="I69" s="69"/>
      <c r="J69" s="62"/>
    </row>
    <row r="70" spans="9:10" x14ac:dyDescent="0.25">
      <c r="I70" s="69"/>
      <c r="J70" s="62"/>
    </row>
    <row r="71" spans="9:10" x14ac:dyDescent="0.25">
      <c r="I71" s="69"/>
      <c r="J71" s="62"/>
    </row>
    <row r="72" spans="9:10" x14ac:dyDescent="0.25">
      <c r="I72" s="69"/>
      <c r="J72" s="62"/>
    </row>
    <row r="73" spans="9:10" x14ac:dyDescent="0.25">
      <c r="I73" s="69"/>
      <c r="J73" s="62"/>
    </row>
    <row r="74" spans="9:10" x14ac:dyDescent="0.25">
      <c r="I74" s="69"/>
      <c r="J74" s="62"/>
    </row>
    <row r="75" spans="9:10" x14ac:dyDescent="0.25">
      <c r="I75" s="69"/>
      <c r="J75" s="62"/>
    </row>
    <row r="76" spans="9:10" x14ac:dyDescent="0.25">
      <c r="I76" s="37"/>
      <c r="J76" s="37"/>
    </row>
    <row r="77" spans="9:10" x14ac:dyDescent="0.25">
      <c r="I77" s="37"/>
      <c r="J77" s="37"/>
    </row>
    <row r="78" spans="9:10" x14ac:dyDescent="0.25">
      <c r="I78" s="37"/>
      <c r="J78" s="37"/>
    </row>
    <row r="79" spans="9:10" x14ac:dyDescent="0.25">
      <c r="I79" s="37"/>
      <c r="J79" s="37"/>
    </row>
    <row r="80" spans="9:10" x14ac:dyDescent="0.25">
      <c r="I80" s="37"/>
      <c r="J80" s="37"/>
    </row>
    <row r="81" spans="9:10" x14ac:dyDescent="0.25">
      <c r="I81" s="37"/>
      <c r="J81" s="37"/>
    </row>
    <row r="82" spans="9:10" x14ac:dyDescent="0.25">
      <c r="I82" s="37"/>
      <c r="J82" s="37"/>
    </row>
    <row r="83" spans="9:10" x14ac:dyDescent="0.25">
      <c r="I83" s="37"/>
      <c r="J83" s="37"/>
    </row>
    <row r="84" spans="9:10" x14ac:dyDescent="0.25">
      <c r="I84" s="37"/>
      <c r="J84" s="37"/>
    </row>
    <row r="85" spans="9:10" x14ac:dyDescent="0.25">
      <c r="I85" s="37"/>
      <c r="J85" s="37"/>
    </row>
    <row r="86" spans="9:10" x14ac:dyDescent="0.25">
      <c r="I86" s="37"/>
      <c r="J86" s="37"/>
    </row>
    <row r="87" spans="9:10" x14ac:dyDescent="0.25">
      <c r="I87" s="37"/>
      <c r="J87" s="37"/>
    </row>
    <row r="88" spans="9:10" x14ac:dyDescent="0.25">
      <c r="I88" s="37"/>
      <c r="J88" s="37"/>
    </row>
    <row r="89" spans="9:10" ht="15" customHeight="1" x14ac:dyDescent="0.25">
      <c r="I89" s="37"/>
      <c r="J89" s="37"/>
    </row>
    <row r="90" spans="9:10" x14ac:dyDescent="0.25">
      <c r="I90" s="37"/>
      <c r="J90" s="37"/>
    </row>
    <row r="91" spans="9:10" x14ac:dyDescent="0.25">
      <c r="I91" s="37"/>
      <c r="J91" s="37"/>
    </row>
    <row r="92" spans="9:10" x14ac:dyDescent="0.25">
      <c r="I92" s="37"/>
      <c r="J92" s="37"/>
    </row>
    <row r="93" spans="9:10" x14ac:dyDescent="0.25">
      <c r="I93" s="37"/>
      <c r="J93" s="37"/>
    </row>
    <row r="94" spans="9:10" x14ac:dyDescent="0.25">
      <c r="I94" s="37"/>
      <c r="J94" s="37"/>
    </row>
    <row r="95" spans="9:10" x14ac:dyDescent="0.25">
      <c r="I95" s="37"/>
      <c r="J95" s="37"/>
    </row>
    <row r="96" spans="9:10" x14ac:dyDescent="0.25">
      <c r="I96" s="37"/>
      <c r="J96" s="37"/>
    </row>
    <row r="97" spans="9:10" x14ac:dyDescent="0.25">
      <c r="I97" s="37"/>
      <c r="J97" s="37"/>
    </row>
    <row r="98" spans="9:10" x14ac:dyDescent="0.25">
      <c r="I98" s="37"/>
      <c r="J98" s="37"/>
    </row>
    <row r="99" spans="9:10" x14ac:dyDescent="0.25">
      <c r="I99" s="37"/>
      <c r="J99" s="37"/>
    </row>
    <row r="100" spans="9:10" x14ac:dyDescent="0.25">
      <c r="I100" s="37"/>
      <c r="J100" s="37"/>
    </row>
    <row r="101" spans="9:10" x14ac:dyDescent="0.25">
      <c r="I101" s="37"/>
      <c r="J101" s="37"/>
    </row>
    <row r="102" spans="9:10" x14ac:dyDescent="0.25">
      <c r="I102" s="37"/>
      <c r="J102" s="37"/>
    </row>
    <row r="103" spans="9:10" x14ac:dyDescent="0.25">
      <c r="I103" s="37"/>
      <c r="J103" s="37"/>
    </row>
    <row r="104" spans="9:10" x14ac:dyDescent="0.25">
      <c r="I104" s="37"/>
      <c r="J104" s="37"/>
    </row>
    <row r="105" spans="9:10" x14ac:dyDescent="0.25">
      <c r="I105" s="37"/>
      <c r="J105" s="37"/>
    </row>
    <row r="106" spans="9:10" x14ac:dyDescent="0.25">
      <c r="I106" s="37"/>
      <c r="J106" s="37"/>
    </row>
    <row r="107" spans="9:10" x14ac:dyDescent="0.25">
      <c r="I107" s="37"/>
      <c r="J107" s="37"/>
    </row>
    <row r="108" spans="9:10" x14ac:dyDescent="0.25">
      <c r="I108" s="37"/>
      <c r="J108" s="37"/>
    </row>
    <row r="109" spans="9:10" x14ac:dyDescent="0.25">
      <c r="I109" s="37"/>
      <c r="J109" s="37"/>
    </row>
    <row r="110" spans="9:10" x14ac:dyDescent="0.25">
      <c r="I110" s="37"/>
      <c r="J110" s="37"/>
    </row>
    <row r="111" spans="9:10" x14ac:dyDescent="0.25">
      <c r="I111" s="37"/>
      <c r="J111" s="37"/>
    </row>
    <row r="112" spans="9:10" x14ac:dyDescent="0.25">
      <c r="I112" s="37"/>
      <c r="J112" s="37"/>
    </row>
    <row r="113" spans="9:10" x14ac:dyDescent="0.25">
      <c r="I113" s="37"/>
      <c r="J113" s="37"/>
    </row>
    <row r="114" spans="9:10" x14ac:dyDescent="0.25">
      <c r="I114" s="37"/>
      <c r="J114" s="37"/>
    </row>
    <row r="115" spans="9:10" x14ac:dyDescent="0.25">
      <c r="I115" s="37"/>
      <c r="J115" s="37"/>
    </row>
    <row r="116" spans="9:10" x14ac:dyDescent="0.25">
      <c r="I116" s="37"/>
      <c r="J116" s="37"/>
    </row>
    <row r="117" spans="9:10" x14ac:dyDescent="0.25">
      <c r="I117" s="37"/>
      <c r="J117" s="37"/>
    </row>
    <row r="118" spans="9:10" x14ac:dyDescent="0.25">
      <c r="I118" s="37"/>
      <c r="J118" s="37"/>
    </row>
    <row r="119" spans="9:10" x14ac:dyDescent="0.25">
      <c r="I119" s="37"/>
      <c r="J119" s="37"/>
    </row>
    <row r="120" spans="9:10" x14ac:dyDescent="0.25">
      <c r="I120" s="37"/>
      <c r="J120" s="37"/>
    </row>
    <row r="121" spans="9:10" x14ac:dyDescent="0.25">
      <c r="I121" s="37"/>
      <c r="J121" s="37"/>
    </row>
    <row r="136" spans="3:5" x14ac:dyDescent="0.25">
      <c r="C136" s="37"/>
      <c r="D136" s="37"/>
    </row>
    <row r="137" spans="3:5" x14ac:dyDescent="0.25">
      <c r="C137" s="39"/>
      <c r="D137" s="55"/>
      <c r="E137" s="58"/>
    </row>
    <row r="138" spans="3:5" x14ac:dyDescent="0.25">
      <c r="C138" s="39"/>
      <c r="D138" s="55"/>
      <c r="E138" s="58"/>
    </row>
    <row r="139" spans="3:5" x14ac:dyDescent="0.25">
      <c r="C139" s="39"/>
      <c r="D139" s="55"/>
      <c r="E139" s="58"/>
    </row>
  </sheetData>
  <mergeCells count="4">
    <mergeCell ref="D4:G5"/>
    <mergeCell ref="L4:O5"/>
    <mergeCell ref="E7:F7"/>
    <mergeCell ref="M7:N7"/>
  </mergeCells>
  <pageMargins left="0.75" right="0.75" top="1" bottom="1" header="0.5" footer="0.5"/>
  <pageSetup scale="7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142"/>
  <sheetViews>
    <sheetView view="pageBreakPreview" zoomScale="75" zoomScaleNormal="85" zoomScaleSheetLayoutView="75" workbookViewId="0">
      <selection sqref="A1:XFD1048576"/>
    </sheetView>
  </sheetViews>
  <sheetFormatPr defaultRowHeight="15.75" x14ac:dyDescent="0.25"/>
  <cols>
    <col min="1" max="1" width="4.7109375" style="2" customWidth="1"/>
    <col min="2" max="2" width="24.140625" style="2" customWidth="1"/>
    <col min="3" max="3" width="5.28515625" style="2" customWidth="1"/>
    <col min="4" max="5" width="15" style="2" bestFit="1" customWidth="1"/>
    <col min="6" max="6" width="3.140625" style="2" customWidth="1"/>
    <col min="7" max="7" width="18" style="2" bestFit="1" customWidth="1"/>
    <col min="8" max="8" width="2.85546875" style="2" customWidth="1"/>
    <col min="9" max="9" width="9.85546875" style="2" customWidth="1"/>
    <col min="10" max="10" width="21" style="2" customWidth="1"/>
    <col min="11" max="11" width="10.28515625" style="2" customWidth="1"/>
    <col min="12" max="12" width="18.85546875" style="2" customWidth="1"/>
    <col min="13" max="13" width="15.140625" style="2" customWidth="1"/>
    <col min="14" max="14" width="4.28515625" style="2" customWidth="1"/>
    <col min="15" max="15" width="20.140625" style="2" customWidth="1"/>
    <col min="16" max="16384" width="9.140625" style="2"/>
  </cols>
  <sheetData>
    <row r="1" spans="1:17" x14ac:dyDescent="0.25">
      <c r="A1" s="1" t="s">
        <v>96</v>
      </c>
      <c r="J1" s="1"/>
    </row>
    <row r="2" spans="1:17" x14ac:dyDescent="0.25">
      <c r="A2" s="2" t="str">
        <f>'Present and Proposed Rates'!A26</f>
        <v>Large 1000 KVA TOD</v>
      </c>
    </row>
    <row r="3" spans="1:17" ht="16.5" thickBot="1" x14ac:dyDescent="0.3">
      <c r="A3" s="2">
        <f>'Present and Proposed Rates'!B26</f>
        <v>4</v>
      </c>
    </row>
    <row r="4" spans="1:17" x14ac:dyDescent="0.25">
      <c r="D4" s="388" t="s">
        <v>31</v>
      </c>
      <c r="E4" s="389"/>
      <c r="F4" s="389"/>
      <c r="G4" s="390"/>
      <c r="H4" s="150"/>
      <c r="L4" s="388" t="s">
        <v>94</v>
      </c>
      <c r="M4" s="389"/>
      <c r="N4" s="389"/>
      <c r="O4" s="390"/>
    </row>
    <row r="5" spans="1:17" ht="16.5" thickBot="1" x14ac:dyDescent="0.3">
      <c r="A5" s="40"/>
      <c r="B5" s="57"/>
      <c r="C5" s="3"/>
      <c r="D5" s="391"/>
      <c r="E5" s="392"/>
      <c r="F5" s="392"/>
      <c r="G5" s="393"/>
      <c r="H5" s="150"/>
      <c r="I5" s="40"/>
      <c r="J5" s="57"/>
      <c r="K5" s="3"/>
      <c r="L5" s="391"/>
      <c r="M5" s="392"/>
      <c r="N5" s="392"/>
      <c r="O5" s="393"/>
    </row>
    <row r="6" spans="1:17" x14ac:dyDescent="0.25">
      <c r="A6" s="4"/>
      <c r="B6" s="4"/>
      <c r="C6" s="4"/>
      <c r="D6" s="4" t="s">
        <v>1</v>
      </c>
      <c r="E6" s="4"/>
      <c r="F6" s="4"/>
      <c r="G6" s="4" t="s">
        <v>2</v>
      </c>
      <c r="H6" s="151"/>
      <c r="I6" s="4"/>
      <c r="J6" s="4"/>
      <c r="K6" s="4"/>
      <c r="L6" s="4" t="s">
        <v>1</v>
      </c>
      <c r="M6" s="4"/>
      <c r="N6" s="4"/>
      <c r="O6" s="4" t="s">
        <v>2</v>
      </c>
    </row>
    <row r="7" spans="1:17" ht="16.5" thickBot="1" x14ac:dyDescent="0.3">
      <c r="A7" s="5"/>
      <c r="B7" s="5"/>
      <c r="C7" s="5"/>
      <c r="D7" s="5" t="s">
        <v>4</v>
      </c>
      <c r="E7" s="392" t="s">
        <v>5</v>
      </c>
      <c r="F7" s="392"/>
      <c r="G7" s="5" t="s">
        <v>6</v>
      </c>
      <c r="H7" s="152"/>
      <c r="I7" s="5"/>
      <c r="J7" s="5"/>
      <c r="K7" s="5"/>
      <c r="L7" s="5" t="s">
        <v>4</v>
      </c>
      <c r="M7" s="392" t="s">
        <v>5</v>
      </c>
      <c r="N7" s="392"/>
      <c r="O7" s="5" t="s">
        <v>6</v>
      </c>
      <c r="P7" s="5" t="s">
        <v>234</v>
      </c>
    </row>
    <row r="8" spans="1:17" x14ac:dyDescent="0.25">
      <c r="H8" s="153"/>
    </row>
    <row r="9" spans="1:17" x14ac:dyDescent="0.25">
      <c r="H9" s="153"/>
    </row>
    <row r="10" spans="1:17" x14ac:dyDescent="0.25">
      <c r="A10" s="96" t="s">
        <v>10</v>
      </c>
      <c r="H10" s="153"/>
      <c r="I10" s="96" t="s">
        <v>10</v>
      </c>
    </row>
    <row r="11" spans="1:17" x14ac:dyDescent="0.25">
      <c r="D11" s="139" t="s">
        <v>113</v>
      </c>
      <c r="E11" s="139" t="s">
        <v>128</v>
      </c>
      <c r="H11" s="153"/>
      <c r="L11" s="139" t="s">
        <v>113</v>
      </c>
      <c r="M11" s="139" t="s">
        <v>128</v>
      </c>
    </row>
    <row r="12" spans="1:17" x14ac:dyDescent="0.25">
      <c r="B12" s="2" t="s">
        <v>125</v>
      </c>
      <c r="D12" s="8">
        <f>BillDet!H21</f>
        <v>55</v>
      </c>
      <c r="E12" s="136">
        <f>'Present and Proposed Rates'!E26</f>
        <v>805.93</v>
      </c>
      <c r="G12" s="11">
        <f>D12*E12</f>
        <v>44326.149999999994</v>
      </c>
      <c r="H12" s="154"/>
      <c r="J12" s="2" t="s">
        <v>125</v>
      </c>
      <c r="L12" s="8">
        <f>D12</f>
        <v>55</v>
      </c>
      <c r="M12" s="136">
        <f>'Present and Proposed Rates'!F26</f>
        <v>805.93</v>
      </c>
      <c r="O12" s="11">
        <f>L12*M12</f>
        <v>44326.149999999994</v>
      </c>
      <c r="P12" s="88">
        <f>O12/G12-1</f>
        <v>0</v>
      </c>
      <c r="Q12" s="58"/>
    </row>
    <row r="13" spans="1:17" x14ac:dyDescent="0.25">
      <c r="B13" s="2" t="s">
        <v>124</v>
      </c>
      <c r="D13" s="8">
        <v>0</v>
      </c>
      <c r="E13" s="136">
        <f>'Present and Proposed Rates'!E27</f>
        <v>142.22999999999999</v>
      </c>
      <c r="G13" s="11">
        <f>D13*E13</f>
        <v>0</v>
      </c>
      <c r="H13" s="154"/>
      <c r="J13" s="2" t="s">
        <v>124</v>
      </c>
      <c r="L13" s="8">
        <f>D13</f>
        <v>0</v>
      </c>
      <c r="M13" s="136">
        <f>'Present and Proposed Rates'!F27</f>
        <v>142.22999999999999</v>
      </c>
      <c r="O13" s="11">
        <f>L13*M13</f>
        <v>0</v>
      </c>
      <c r="P13" s="88"/>
      <c r="Q13" s="58"/>
    </row>
    <row r="14" spans="1:17" x14ac:dyDescent="0.25">
      <c r="B14" s="141" t="s">
        <v>85</v>
      </c>
      <c r="D14" s="143">
        <f>SUM(D12:D13)</f>
        <v>55</v>
      </c>
      <c r="E14" s="9"/>
      <c r="G14" s="142">
        <f>SUM(G12:G13)</f>
        <v>44326.149999999994</v>
      </c>
      <c r="H14" s="154"/>
      <c r="J14" s="141" t="s">
        <v>85</v>
      </c>
      <c r="L14" s="143">
        <f>D14</f>
        <v>55</v>
      </c>
      <c r="M14" s="9"/>
      <c r="O14" s="142">
        <f>SUM(O12:O13)</f>
        <v>44326.149999999994</v>
      </c>
      <c r="P14" s="88">
        <f>O14/G14-1</f>
        <v>0</v>
      </c>
      <c r="Q14" s="58"/>
    </row>
    <row r="15" spans="1:17" x14ac:dyDescent="0.25">
      <c r="D15" s="8"/>
      <c r="G15" s="11"/>
      <c r="H15" s="154"/>
      <c r="L15" s="8"/>
      <c r="O15" s="11"/>
    </row>
    <row r="16" spans="1:17" x14ac:dyDescent="0.25">
      <c r="A16" s="1" t="s">
        <v>7</v>
      </c>
      <c r="D16" s="8"/>
      <c r="G16" s="11"/>
      <c r="H16" s="154"/>
      <c r="I16" s="1" t="s">
        <v>7</v>
      </c>
      <c r="L16" s="8"/>
      <c r="O16" s="11"/>
    </row>
    <row r="17" spans="1:17" x14ac:dyDescent="0.25">
      <c r="D17" s="121" t="s">
        <v>8</v>
      </c>
      <c r="E17" s="122" t="s">
        <v>11</v>
      </c>
      <c r="G17" s="11"/>
      <c r="H17" s="154"/>
      <c r="L17" s="121" t="s">
        <v>8</v>
      </c>
      <c r="M17" s="122" t="s">
        <v>11</v>
      </c>
      <c r="O17" s="11"/>
    </row>
    <row r="18" spans="1:17" x14ac:dyDescent="0.25">
      <c r="B18" s="2" t="s">
        <v>126</v>
      </c>
      <c r="D18" s="19">
        <f>BillDet!H36+BillDet!R36</f>
        <v>6968834</v>
      </c>
      <c r="E18" s="135">
        <f>'Present and Proposed Rates'!E28</f>
        <v>6.0553000000000003E-2</v>
      </c>
      <c r="G18" s="11">
        <f>D18*E18</f>
        <v>421983.80520200002</v>
      </c>
      <c r="H18" s="154"/>
      <c r="J18" s="2" t="s">
        <v>126</v>
      </c>
      <c r="L18" s="19">
        <f>D18</f>
        <v>6968834</v>
      </c>
      <c r="M18" s="135">
        <f>'Present and Proposed Rates'!F28</f>
        <v>6.0553000000000003E-2</v>
      </c>
      <c r="O18" s="11">
        <f>L18*M18</f>
        <v>421983.80520200002</v>
      </c>
      <c r="P18" s="88">
        <f>O18/G18-1</f>
        <v>0</v>
      </c>
      <c r="Q18" s="58"/>
    </row>
    <row r="19" spans="1:17" x14ac:dyDescent="0.25">
      <c r="B19" s="2" t="s">
        <v>127</v>
      </c>
      <c r="D19" s="8">
        <v>0</v>
      </c>
      <c r="E19" s="135">
        <f>'Present and Proposed Rates'!E29</f>
        <v>5.2130000000000003E-2</v>
      </c>
      <c r="G19" s="11">
        <f>D19*E19</f>
        <v>0</v>
      </c>
      <c r="H19" s="154"/>
      <c r="J19" s="2" t="s">
        <v>127</v>
      </c>
      <c r="L19" s="8">
        <f>D19</f>
        <v>0</v>
      </c>
      <c r="M19" s="135">
        <f>'Present and Proposed Rates'!F29</f>
        <v>5.2130000000000003E-2</v>
      </c>
      <c r="O19" s="11">
        <f>L19*M19</f>
        <v>0</v>
      </c>
      <c r="P19" s="88"/>
      <c r="Q19" s="58"/>
    </row>
    <row r="20" spans="1:17" x14ac:dyDescent="0.25">
      <c r="B20" s="141" t="s">
        <v>85</v>
      </c>
      <c r="D20" s="143">
        <f>D18+D19</f>
        <v>6968834</v>
      </c>
      <c r="E20" s="9"/>
      <c r="G20" s="142">
        <f>SUM(G18:G19)</f>
        <v>421983.80520200002</v>
      </c>
      <c r="H20" s="154"/>
      <c r="J20" s="141" t="s">
        <v>85</v>
      </c>
      <c r="L20" s="143">
        <f>D20</f>
        <v>6968834</v>
      </c>
      <c r="M20" s="9"/>
      <c r="O20" s="142">
        <f>SUM(O18:O19)</f>
        <v>421983.80520200002</v>
      </c>
      <c r="P20" s="88">
        <f>O20/G20-1</f>
        <v>0</v>
      </c>
      <c r="Q20" s="58"/>
    </row>
    <row r="21" spans="1:17" x14ac:dyDescent="0.25">
      <c r="C21" s="16" t="s">
        <v>230</v>
      </c>
      <c r="D21" s="325">
        <f>D20/D14</f>
        <v>126706.07272727272</v>
      </c>
      <c r="E21" s="18"/>
      <c r="G21" s="11"/>
      <c r="H21" s="154"/>
      <c r="L21" s="8"/>
      <c r="M21" s="18"/>
      <c r="O21" s="11"/>
    </row>
    <row r="22" spans="1:17" x14ac:dyDescent="0.25">
      <c r="A22" s="1" t="s">
        <v>121</v>
      </c>
      <c r="D22" s="8"/>
      <c r="G22" s="11"/>
      <c r="H22" s="154"/>
      <c r="I22" s="1" t="s">
        <v>121</v>
      </c>
      <c r="L22" s="8"/>
      <c r="O22" s="11"/>
    </row>
    <row r="23" spans="1:17" x14ac:dyDescent="0.25">
      <c r="D23" s="121" t="s">
        <v>122</v>
      </c>
      <c r="E23" s="122" t="s">
        <v>123</v>
      </c>
      <c r="G23" s="11"/>
      <c r="H23" s="154"/>
      <c r="L23" s="121" t="s">
        <v>122</v>
      </c>
      <c r="M23" s="122" t="s">
        <v>123</v>
      </c>
      <c r="O23" s="11"/>
    </row>
    <row r="24" spans="1:17" x14ac:dyDescent="0.25">
      <c r="B24" s="2" t="s">
        <v>101</v>
      </c>
      <c r="D24" s="8">
        <f>BillDet!H51</f>
        <v>41545.899999999994</v>
      </c>
      <c r="E24" s="69">
        <f>'Present and Proposed Rates'!E30</f>
        <v>10.5</v>
      </c>
      <c r="G24" s="11">
        <f>D24*E24</f>
        <v>436231.94999999995</v>
      </c>
      <c r="H24" s="154"/>
      <c r="J24" s="2" t="s">
        <v>101</v>
      </c>
      <c r="L24" s="8">
        <f>D24</f>
        <v>41545.899999999994</v>
      </c>
      <c r="M24" s="69">
        <f>'Present and Proposed Rates'!F30</f>
        <v>10.5</v>
      </c>
      <c r="O24" s="11">
        <f>L24*M24</f>
        <v>436231.94999999995</v>
      </c>
      <c r="P24" s="88">
        <f>O24/G24-1</f>
        <v>0</v>
      </c>
      <c r="Q24" s="58"/>
    </row>
    <row r="25" spans="1:17" x14ac:dyDescent="0.25">
      <c r="D25" s="8"/>
      <c r="E25" s="135"/>
      <c r="G25" s="11"/>
      <c r="H25" s="154"/>
      <c r="L25" s="8"/>
      <c r="M25" s="135"/>
      <c r="O25" s="11"/>
    </row>
    <row r="26" spans="1:17" x14ac:dyDescent="0.25">
      <c r="A26" s="1" t="s">
        <v>102</v>
      </c>
      <c r="D26" s="8"/>
      <c r="E26" s="18"/>
      <c r="G26" s="11"/>
      <c r="H26" s="154"/>
      <c r="I26" s="1" t="s">
        <v>102</v>
      </c>
      <c r="L26" s="8"/>
      <c r="M26" s="18"/>
      <c r="O26" s="11"/>
    </row>
    <row r="27" spans="1:17" x14ac:dyDescent="0.25">
      <c r="B27" s="2" t="s">
        <v>117</v>
      </c>
      <c r="D27" s="8"/>
      <c r="E27" s="18"/>
      <c r="G27" s="11">
        <v>88640.109999999986</v>
      </c>
      <c r="H27" s="154"/>
      <c r="J27" s="2" t="str">
        <f>B27</f>
        <v>Fuel Adjustment Clause</v>
      </c>
      <c r="L27" s="8"/>
      <c r="M27" s="18"/>
      <c r="O27" s="11">
        <f>G27</f>
        <v>88640.109999999986</v>
      </c>
      <c r="P27" s="88">
        <f>O27/G27-1</f>
        <v>0</v>
      </c>
      <c r="Q27" s="58"/>
    </row>
    <row r="28" spans="1:17" x14ac:dyDescent="0.25">
      <c r="B28" s="2" t="s">
        <v>114</v>
      </c>
      <c r="D28" s="8"/>
      <c r="E28" s="18"/>
      <c r="G28" s="11">
        <v>51610.44</v>
      </c>
      <c r="H28" s="154"/>
      <c r="J28" s="2" t="str">
        <f t="shared" ref="J28:J30" si="0">B28</f>
        <v>Environmental Surcharge</v>
      </c>
      <c r="L28" s="8"/>
      <c r="M28" s="18"/>
      <c r="O28" s="11">
        <f t="shared" ref="O28:O30" si="1">G28</f>
        <v>51610.44</v>
      </c>
      <c r="P28" s="88">
        <f>O28/G28-1</f>
        <v>0</v>
      </c>
      <c r="Q28" s="58"/>
    </row>
    <row r="29" spans="1:17" x14ac:dyDescent="0.25">
      <c r="B29" s="2" t="s">
        <v>115</v>
      </c>
      <c r="D29" s="8"/>
      <c r="E29" s="18"/>
      <c r="G29" s="11">
        <v>-28087.79</v>
      </c>
      <c r="H29" s="155"/>
      <c r="J29" s="2" t="str">
        <f t="shared" si="0"/>
        <v>Member Rate Stability</v>
      </c>
      <c r="L29" s="8"/>
      <c r="M29" s="18"/>
      <c r="O29" s="11">
        <f t="shared" si="1"/>
        <v>-28087.79</v>
      </c>
      <c r="P29" s="88">
        <f>O29/G29-1</f>
        <v>0</v>
      </c>
      <c r="Q29" s="58"/>
    </row>
    <row r="30" spans="1:17" x14ac:dyDescent="0.25">
      <c r="B30" s="2" t="s">
        <v>116</v>
      </c>
      <c r="D30" s="8"/>
      <c r="E30" s="18"/>
      <c r="G30" s="33">
        <v>51393.2</v>
      </c>
      <c r="H30" s="154"/>
      <c r="J30" s="2" t="str">
        <f t="shared" si="0"/>
        <v>Non-FAC PPA</v>
      </c>
      <c r="L30" s="8"/>
      <c r="M30" s="18"/>
      <c r="O30" s="11">
        <f t="shared" si="1"/>
        <v>51393.2</v>
      </c>
      <c r="P30" s="88">
        <f>O30/G30-1</f>
        <v>0</v>
      </c>
      <c r="Q30" s="58"/>
    </row>
    <row r="31" spans="1:17" x14ac:dyDescent="0.25">
      <c r="A31" s="1"/>
      <c r="C31" s="16"/>
      <c r="D31" s="8"/>
      <c r="E31" s="18"/>
      <c r="G31" s="11"/>
      <c r="H31" s="154"/>
      <c r="I31" s="1"/>
      <c r="J31" s="1"/>
      <c r="O31" s="11"/>
    </row>
    <row r="32" spans="1:17" ht="16.5" thickBot="1" x14ac:dyDescent="0.3">
      <c r="A32" s="1" t="s">
        <v>81</v>
      </c>
      <c r="G32" s="24">
        <f>G14+G20+G24+SUM(G27:G30)</f>
        <v>1066097.8652019999</v>
      </c>
      <c r="H32" s="154"/>
      <c r="I32" s="1" t="s">
        <v>81</v>
      </c>
      <c r="O32" s="24">
        <f>O14+O20+O24+SUM(O27:O30)</f>
        <v>1066097.8652019999</v>
      </c>
      <c r="P32" s="88">
        <f>O32/G32-1</f>
        <v>0</v>
      </c>
      <c r="Q32" s="58"/>
    </row>
    <row r="33" spans="1:15" ht="16.5" thickTop="1" x14ac:dyDescent="0.25">
      <c r="A33" s="1"/>
      <c r="B33" s="1"/>
      <c r="G33" s="11"/>
      <c r="H33" s="156"/>
      <c r="I33" s="1"/>
      <c r="J33" s="1"/>
      <c r="O33" s="11"/>
    </row>
    <row r="34" spans="1:15" x14ac:dyDescent="0.25">
      <c r="A34" s="1" t="s">
        <v>18</v>
      </c>
      <c r="B34" s="10"/>
      <c r="G34" s="11">
        <f>BillDet!H66+BillDet!R66</f>
        <v>1061262.01</v>
      </c>
      <c r="H34" s="157"/>
      <c r="I34" s="1" t="s">
        <v>86</v>
      </c>
      <c r="J34" s="10"/>
      <c r="O34" s="29">
        <f>O32-G32</f>
        <v>0</v>
      </c>
    </row>
    <row r="35" spans="1:15" x14ac:dyDescent="0.25">
      <c r="A35" s="10"/>
      <c r="B35" s="10"/>
      <c r="G35" s="10"/>
      <c r="H35" s="154"/>
      <c r="J35" s="10"/>
      <c r="O35" s="10"/>
    </row>
    <row r="36" spans="1:15" x14ac:dyDescent="0.25">
      <c r="A36" s="1" t="s">
        <v>13</v>
      </c>
      <c r="B36" s="10"/>
      <c r="G36" s="22">
        <f>G32-G34</f>
        <v>4835.8552019998897</v>
      </c>
      <c r="H36" s="158"/>
      <c r="I36" s="1" t="s">
        <v>87</v>
      </c>
      <c r="J36" s="10"/>
      <c r="O36" s="88">
        <f>O34/G32</f>
        <v>0</v>
      </c>
    </row>
    <row r="37" spans="1:15" x14ac:dyDescent="0.25">
      <c r="A37" s="10"/>
      <c r="B37" s="10"/>
      <c r="G37" s="11"/>
      <c r="H37" s="158"/>
      <c r="J37" s="10"/>
      <c r="O37" s="11"/>
    </row>
    <row r="38" spans="1:15" x14ac:dyDescent="0.25">
      <c r="A38" s="1" t="s">
        <v>27</v>
      </c>
      <c r="B38" s="10"/>
      <c r="G38" s="23">
        <f>G36/G34</f>
        <v>4.5567024508866476E-3</v>
      </c>
      <c r="H38" s="158"/>
      <c r="I38" s="1" t="s">
        <v>88</v>
      </c>
      <c r="J38" s="10"/>
      <c r="O38" s="35">
        <f>O34/L14</f>
        <v>0</v>
      </c>
    </row>
    <row r="39" spans="1:15" x14ac:dyDescent="0.25">
      <c r="A39" s="1"/>
      <c r="B39" s="10"/>
      <c r="D39" s="14">
        <f>D20/D14</f>
        <v>126706.07272727272</v>
      </c>
      <c r="G39" s="23"/>
      <c r="H39" s="23"/>
      <c r="I39" s="1"/>
      <c r="J39" s="10"/>
      <c r="O39" s="23"/>
    </row>
    <row r="40" spans="1:15" x14ac:dyDescent="0.25">
      <c r="A40" s="1"/>
      <c r="B40" s="10"/>
      <c r="G40" s="140"/>
      <c r="H40" s="23"/>
      <c r="I40" s="1"/>
      <c r="J40" s="10"/>
      <c r="O40" s="23"/>
    </row>
    <row r="41" spans="1:15" x14ac:dyDescent="0.25">
      <c r="A41" s="1"/>
      <c r="B41" s="10"/>
      <c r="G41" s="140">
        <f>G14+G20+G24</f>
        <v>902541.90520199994</v>
      </c>
      <c r="H41" s="23"/>
      <c r="I41" s="1"/>
      <c r="J41" s="10"/>
      <c r="O41" s="23"/>
    </row>
    <row r="42" spans="1:15" x14ac:dyDescent="0.25">
      <c r="A42" s="1"/>
      <c r="B42" s="10"/>
      <c r="G42" s="23"/>
      <c r="H42" s="23"/>
      <c r="I42" s="1"/>
      <c r="J42" s="10"/>
      <c r="O42" s="23"/>
    </row>
    <row r="43" spans="1:15" ht="18.75" customHeight="1" x14ac:dyDescent="0.25">
      <c r="A43" s="1"/>
      <c r="B43" s="10"/>
      <c r="G43" s="23"/>
      <c r="H43" s="23"/>
    </row>
    <row r="44" spans="1:15" x14ac:dyDescent="0.25">
      <c r="A44" s="1"/>
      <c r="B44" s="11"/>
      <c r="G44" s="23"/>
    </row>
    <row r="45" spans="1:15" x14ac:dyDescent="0.25">
      <c r="E45" s="11"/>
      <c r="I45" s="37"/>
      <c r="J45" s="37"/>
    </row>
    <row r="46" spans="1:15" x14ac:dyDescent="0.25">
      <c r="I46" s="37"/>
      <c r="J46" s="37"/>
    </row>
    <row r="47" spans="1:15" x14ac:dyDescent="0.25">
      <c r="I47" s="37"/>
      <c r="J47" s="37"/>
    </row>
    <row r="48" spans="1:15" x14ac:dyDescent="0.25">
      <c r="I48" s="37"/>
      <c r="J48" s="71"/>
    </row>
    <row r="49" spans="9:16" x14ac:dyDescent="0.25">
      <c r="I49" s="37"/>
      <c r="J49" s="71"/>
    </row>
    <row r="50" spans="9:16" x14ac:dyDescent="0.25">
      <c r="I50" s="37"/>
      <c r="J50" s="71"/>
    </row>
    <row r="51" spans="9:16" x14ac:dyDescent="0.25">
      <c r="I51" s="37"/>
      <c r="J51" s="71"/>
    </row>
    <row r="52" spans="9:16" x14ac:dyDescent="0.25">
      <c r="I52" s="37"/>
      <c r="J52" s="71"/>
    </row>
    <row r="53" spans="9:16" x14ac:dyDescent="0.25">
      <c r="I53" s="37"/>
      <c r="J53" s="71"/>
    </row>
    <row r="54" spans="9:16" x14ac:dyDescent="0.25">
      <c r="I54" s="37"/>
      <c r="J54" s="71"/>
      <c r="P54" s="2" t="e">
        <f>IF(#REF!=#REF!,"ok","err")</f>
        <v>#REF!</v>
      </c>
    </row>
    <row r="55" spans="9:16" x14ac:dyDescent="0.25">
      <c r="I55" s="37"/>
      <c r="J55" s="71"/>
    </row>
    <row r="56" spans="9:16" x14ac:dyDescent="0.25">
      <c r="I56" s="37"/>
      <c r="J56" s="71"/>
    </row>
    <row r="57" spans="9:16" x14ac:dyDescent="0.25">
      <c r="I57" s="37"/>
      <c r="J57" s="71"/>
    </row>
    <row r="58" spans="9:16" ht="16.5" customHeight="1" x14ac:dyDescent="0.25">
      <c r="I58" s="37"/>
      <c r="J58" s="71"/>
    </row>
    <row r="59" spans="9:16" x14ac:dyDescent="0.25">
      <c r="I59" s="37"/>
      <c r="J59" s="71"/>
    </row>
    <row r="60" spans="9:16" x14ac:dyDescent="0.25">
      <c r="I60" s="37"/>
      <c r="J60" s="71"/>
      <c r="P60" s="2" t="e">
        <f>IF(#REF!=#REF!,"ok","err")</f>
        <v>#REF!</v>
      </c>
    </row>
    <row r="63" spans="9:16" x14ac:dyDescent="0.25">
      <c r="I63" s="37"/>
      <c r="J63" s="37"/>
    </row>
    <row r="64" spans="9:16" x14ac:dyDescent="0.25">
      <c r="I64" s="37"/>
      <c r="J64" s="37"/>
    </row>
    <row r="65" spans="9:10" x14ac:dyDescent="0.25">
      <c r="I65" s="37"/>
      <c r="J65" s="37"/>
    </row>
    <row r="66" spans="9:10" x14ac:dyDescent="0.25">
      <c r="I66" s="69"/>
      <c r="J66" s="62"/>
    </row>
    <row r="67" spans="9:10" x14ac:dyDescent="0.25">
      <c r="I67" s="69"/>
      <c r="J67" s="62"/>
    </row>
    <row r="68" spans="9:10" x14ac:dyDescent="0.25">
      <c r="I68" s="69"/>
      <c r="J68" s="62"/>
    </row>
    <row r="69" spans="9:10" x14ac:dyDescent="0.25">
      <c r="I69" s="69"/>
      <c r="J69" s="62"/>
    </row>
    <row r="70" spans="9:10" x14ac:dyDescent="0.25">
      <c r="I70" s="69"/>
      <c r="J70" s="62"/>
    </row>
    <row r="71" spans="9:10" x14ac:dyDescent="0.25">
      <c r="I71" s="69"/>
      <c r="J71" s="62"/>
    </row>
    <row r="72" spans="9:10" x14ac:dyDescent="0.25">
      <c r="I72" s="69"/>
      <c r="J72" s="62"/>
    </row>
    <row r="73" spans="9:10" x14ac:dyDescent="0.25">
      <c r="I73" s="69"/>
      <c r="J73" s="62"/>
    </row>
    <row r="74" spans="9:10" x14ac:dyDescent="0.25">
      <c r="I74" s="69"/>
      <c r="J74" s="62"/>
    </row>
    <row r="75" spans="9:10" x14ac:dyDescent="0.25">
      <c r="I75" s="69"/>
      <c r="J75" s="62"/>
    </row>
    <row r="76" spans="9:10" x14ac:dyDescent="0.25">
      <c r="I76" s="69"/>
      <c r="J76" s="62"/>
    </row>
    <row r="77" spans="9:10" x14ac:dyDescent="0.25">
      <c r="I77" s="69"/>
      <c r="J77" s="62"/>
    </row>
    <row r="78" spans="9:10" x14ac:dyDescent="0.25">
      <c r="I78" s="37"/>
      <c r="J78" s="37"/>
    </row>
    <row r="79" spans="9:10" x14ac:dyDescent="0.25">
      <c r="I79" s="37"/>
      <c r="J79" s="37"/>
    </row>
    <row r="80" spans="9:10" x14ac:dyDescent="0.25">
      <c r="I80" s="37"/>
      <c r="J80" s="37"/>
    </row>
    <row r="81" spans="9:10" x14ac:dyDescent="0.25">
      <c r="I81" s="37"/>
      <c r="J81" s="37"/>
    </row>
    <row r="82" spans="9:10" x14ac:dyDescent="0.25">
      <c r="I82" s="37"/>
      <c r="J82" s="37"/>
    </row>
    <row r="83" spans="9:10" x14ac:dyDescent="0.25">
      <c r="I83" s="37"/>
      <c r="J83" s="37"/>
    </row>
    <row r="84" spans="9:10" x14ac:dyDescent="0.25">
      <c r="I84" s="37"/>
      <c r="J84" s="37"/>
    </row>
    <row r="85" spans="9:10" x14ac:dyDescent="0.25">
      <c r="I85" s="37"/>
      <c r="J85" s="37"/>
    </row>
    <row r="86" spans="9:10" x14ac:dyDescent="0.25">
      <c r="I86" s="37"/>
      <c r="J86" s="37"/>
    </row>
    <row r="87" spans="9:10" x14ac:dyDescent="0.25">
      <c r="I87" s="37"/>
      <c r="J87" s="37"/>
    </row>
    <row r="88" spans="9:10" x14ac:dyDescent="0.25">
      <c r="I88" s="37"/>
      <c r="J88" s="37"/>
    </row>
    <row r="89" spans="9:10" x14ac:dyDescent="0.25">
      <c r="I89" s="37"/>
      <c r="J89" s="37"/>
    </row>
    <row r="90" spans="9:10" x14ac:dyDescent="0.25">
      <c r="I90" s="37"/>
      <c r="J90" s="37"/>
    </row>
    <row r="91" spans="9:10" ht="15" customHeight="1" x14ac:dyDescent="0.25">
      <c r="I91" s="37"/>
      <c r="J91" s="37"/>
    </row>
    <row r="92" spans="9:10" x14ac:dyDescent="0.25">
      <c r="I92" s="37"/>
      <c r="J92" s="37"/>
    </row>
    <row r="93" spans="9:10" x14ac:dyDescent="0.25">
      <c r="I93" s="37"/>
      <c r="J93" s="37"/>
    </row>
    <row r="94" spans="9:10" x14ac:dyDescent="0.25">
      <c r="I94" s="37"/>
      <c r="J94" s="37"/>
    </row>
    <row r="95" spans="9:10" x14ac:dyDescent="0.25">
      <c r="I95" s="37"/>
      <c r="J95" s="37"/>
    </row>
    <row r="96" spans="9:10" x14ac:dyDescent="0.25">
      <c r="I96" s="37"/>
      <c r="J96" s="37"/>
    </row>
    <row r="97" spans="9:10" x14ac:dyDescent="0.25">
      <c r="I97" s="37"/>
      <c r="J97" s="37"/>
    </row>
    <row r="98" spans="9:10" x14ac:dyDescent="0.25">
      <c r="I98" s="37"/>
      <c r="J98" s="37"/>
    </row>
    <row r="99" spans="9:10" x14ac:dyDescent="0.25">
      <c r="I99" s="37"/>
      <c r="J99" s="37"/>
    </row>
    <row r="100" spans="9:10" x14ac:dyDescent="0.25">
      <c r="I100" s="37"/>
      <c r="J100" s="37"/>
    </row>
    <row r="101" spans="9:10" x14ac:dyDescent="0.25">
      <c r="I101" s="37"/>
      <c r="J101" s="37"/>
    </row>
    <row r="102" spans="9:10" x14ac:dyDescent="0.25">
      <c r="I102" s="37"/>
      <c r="J102" s="37"/>
    </row>
    <row r="103" spans="9:10" x14ac:dyDescent="0.25">
      <c r="I103" s="37"/>
      <c r="J103" s="37"/>
    </row>
    <row r="104" spans="9:10" x14ac:dyDescent="0.25">
      <c r="I104" s="37"/>
      <c r="J104" s="37"/>
    </row>
    <row r="105" spans="9:10" x14ac:dyDescent="0.25">
      <c r="I105" s="37"/>
      <c r="J105" s="37"/>
    </row>
    <row r="106" spans="9:10" x14ac:dyDescent="0.25">
      <c r="I106" s="37"/>
      <c r="J106" s="37"/>
    </row>
    <row r="107" spans="9:10" x14ac:dyDescent="0.25">
      <c r="I107" s="37"/>
      <c r="J107" s="37"/>
    </row>
    <row r="108" spans="9:10" x14ac:dyDescent="0.25">
      <c r="I108" s="37"/>
      <c r="J108" s="37"/>
    </row>
    <row r="109" spans="9:10" x14ac:dyDescent="0.25">
      <c r="I109" s="37"/>
      <c r="J109" s="37"/>
    </row>
    <row r="110" spans="9:10" x14ac:dyDescent="0.25">
      <c r="I110" s="37"/>
      <c r="J110" s="37"/>
    </row>
    <row r="111" spans="9:10" x14ac:dyDescent="0.25">
      <c r="I111" s="37"/>
      <c r="J111" s="37"/>
    </row>
    <row r="112" spans="9:10" x14ac:dyDescent="0.25">
      <c r="I112" s="37"/>
      <c r="J112" s="37"/>
    </row>
    <row r="113" spans="9:10" x14ac:dyDescent="0.25">
      <c r="I113" s="37"/>
      <c r="J113" s="37"/>
    </row>
    <row r="114" spans="9:10" x14ac:dyDescent="0.25">
      <c r="I114" s="37"/>
      <c r="J114" s="37"/>
    </row>
    <row r="115" spans="9:10" x14ac:dyDescent="0.25">
      <c r="I115" s="37"/>
      <c r="J115" s="37"/>
    </row>
    <row r="116" spans="9:10" x14ac:dyDescent="0.25">
      <c r="I116" s="37"/>
      <c r="J116" s="37"/>
    </row>
    <row r="117" spans="9:10" x14ac:dyDescent="0.25">
      <c r="I117" s="37"/>
      <c r="J117" s="37"/>
    </row>
    <row r="118" spans="9:10" x14ac:dyDescent="0.25">
      <c r="I118" s="37"/>
      <c r="J118" s="37"/>
    </row>
    <row r="119" spans="9:10" x14ac:dyDescent="0.25">
      <c r="I119" s="37"/>
      <c r="J119" s="37"/>
    </row>
    <row r="120" spans="9:10" x14ac:dyDescent="0.25">
      <c r="I120" s="37"/>
      <c r="J120" s="37"/>
    </row>
    <row r="121" spans="9:10" x14ac:dyDescent="0.25">
      <c r="I121" s="37"/>
      <c r="J121" s="37"/>
    </row>
    <row r="122" spans="9:10" x14ac:dyDescent="0.25">
      <c r="I122" s="37"/>
      <c r="J122" s="37"/>
    </row>
    <row r="123" spans="9:10" x14ac:dyDescent="0.25">
      <c r="I123" s="37"/>
      <c r="J123" s="37"/>
    </row>
    <row r="139" spans="3:5" x14ac:dyDescent="0.25">
      <c r="C139" s="37"/>
      <c r="D139" s="37"/>
    </row>
    <row r="140" spans="3:5" x14ac:dyDescent="0.25">
      <c r="C140" s="39"/>
      <c r="D140" s="55"/>
      <c r="E140" s="58"/>
    </row>
    <row r="141" spans="3:5" x14ac:dyDescent="0.25">
      <c r="C141" s="39"/>
      <c r="D141" s="55"/>
      <c r="E141" s="58"/>
    </row>
    <row r="142" spans="3:5" x14ac:dyDescent="0.25">
      <c r="C142" s="39"/>
      <c r="D142" s="55"/>
      <c r="E142" s="58"/>
    </row>
  </sheetData>
  <mergeCells count="4">
    <mergeCell ref="D4:G5"/>
    <mergeCell ref="L4:O5"/>
    <mergeCell ref="E7:F7"/>
    <mergeCell ref="M7:N7"/>
  </mergeCells>
  <pageMargins left="0.75" right="0.75" top="1" bottom="1" header="0.5" footer="0.5"/>
  <pageSetup scale="61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G36"/>
  <sheetViews>
    <sheetView view="pageBreakPreview" zoomScale="85" zoomScaleNormal="100" zoomScaleSheetLayoutView="85" workbookViewId="0">
      <selection sqref="A1:XFD1048576"/>
    </sheetView>
  </sheetViews>
  <sheetFormatPr defaultRowHeight="15.75" x14ac:dyDescent="0.25"/>
  <cols>
    <col min="1" max="1" width="4.28515625" style="2" customWidth="1"/>
    <col min="2" max="2" width="21.28515625" style="2" customWidth="1"/>
    <col min="3" max="3" width="4.7109375" style="2" customWidth="1"/>
    <col min="4" max="4" width="16.7109375" style="2" bestFit="1" customWidth="1"/>
    <col min="5" max="5" width="11.42578125" style="2" bestFit="1" customWidth="1"/>
    <col min="6" max="6" width="16" style="2" customWidth="1"/>
    <col min="7" max="7" width="2.7109375" style="2" customWidth="1"/>
    <col min="8" max="8" width="15.28515625" style="2" customWidth="1"/>
    <col min="9" max="9" width="3" style="2" customWidth="1"/>
    <col min="10" max="10" width="5.140625" style="2" customWidth="1"/>
    <col min="11" max="11" width="15.5703125" style="2" bestFit="1" customWidth="1"/>
    <col min="12" max="12" width="4.5703125" style="2" customWidth="1"/>
    <col min="13" max="13" width="13.7109375" style="2" bestFit="1" customWidth="1"/>
    <col min="14" max="14" width="11.42578125" style="2" bestFit="1" customWidth="1"/>
    <col min="15" max="15" width="10.85546875" style="2" bestFit="1" customWidth="1"/>
    <col min="16" max="16" width="9" style="2" customWidth="1"/>
    <col min="17" max="17" width="16.7109375" style="2" bestFit="1" customWidth="1"/>
    <col min="18" max="18" width="6.7109375" style="2" customWidth="1"/>
    <col min="19" max="19" width="27.5703125" style="2" customWidth="1"/>
    <col min="20" max="20" width="11.7109375" style="2" customWidth="1"/>
    <col min="21" max="21" width="13" style="2" customWidth="1"/>
    <col min="22" max="22" width="10.5703125" style="2" customWidth="1"/>
    <col min="23" max="23" width="2.7109375" style="2" customWidth="1"/>
    <col min="24" max="24" width="16.7109375" style="2" customWidth="1"/>
    <col min="25" max="25" width="9.140625" style="2"/>
    <col min="26" max="27" width="6.7109375" style="2" customWidth="1"/>
    <col min="28" max="28" width="27.5703125" style="2" customWidth="1"/>
    <col min="29" max="29" width="11.7109375" style="2" customWidth="1"/>
    <col min="30" max="30" width="13" style="2" customWidth="1"/>
    <col min="31" max="31" width="10.5703125" style="2" customWidth="1"/>
    <col min="32" max="32" width="2.7109375" style="2" customWidth="1"/>
    <col min="33" max="33" width="16.7109375" style="2" customWidth="1"/>
    <col min="34" max="16384" width="9.140625" style="2"/>
  </cols>
  <sheetData>
    <row r="1" spans="1:33" x14ac:dyDescent="0.25">
      <c r="A1" s="1" t="s">
        <v>96</v>
      </c>
    </row>
    <row r="2" spans="1:33" x14ac:dyDescent="0.25">
      <c r="A2" s="2" t="str">
        <f>'Present and Proposed Rates'!A32</f>
        <v>Private Outdoor Lighting</v>
      </c>
      <c r="O2" s="348"/>
    </row>
    <row r="3" spans="1:33" ht="16.5" thickBot="1" x14ac:dyDescent="0.3">
      <c r="A3" s="2">
        <f>'Present and Proposed Rates'!B32</f>
        <v>5</v>
      </c>
    </row>
    <row r="4" spans="1:33" x14ac:dyDescent="0.25">
      <c r="E4" s="388" t="s">
        <v>31</v>
      </c>
      <c r="F4" s="389"/>
      <c r="G4" s="389"/>
      <c r="H4" s="390"/>
      <c r="I4" s="153"/>
      <c r="N4" s="388" t="s">
        <v>94</v>
      </c>
      <c r="O4" s="389"/>
      <c r="P4" s="389"/>
      <c r="Q4" s="390"/>
      <c r="U4" s="394"/>
      <c r="V4" s="394"/>
      <c r="W4" s="394"/>
      <c r="X4" s="394"/>
      <c r="AD4" s="394"/>
      <c r="AE4" s="394"/>
      <c r="AF4" s="394"/>
      <c r="AG4" s="394"/>
    </row>
    <row r="5" spans="1:33" ht="16.5" thickBot="1" x14ac:dyDescent="0.3">
      <c r="E5" s="391"/>
      <c r="F5" s="392"/>
      <c r="G5" s="392"/>
      <c r="H5" s="393"/>
      <c r="I5" s="150"/>
      <c r="N5" s="391"/>
      <c r="O5" s="392"/>
      <c r="P5" s="392"/>
      <c r="Q5" s="393"/>
      <c r="T5" s="3"/>
      <c r="U5" s="394"/>
      <c r="V5" s="394"/>
      <c r="W5" s="394"/>
      <c r="X5" s="394"/>
      <c r="Z5" s="3"/>
      <c r="AA5" s="3"/>
      <c r="AB5" s="3"/>
      <c r="AC5" s="3"/>
      <c r="AD5" s="394"/>
      <c r="AE5" s="394"/>
      <c r="AF5" s="394"/>
      <c r="AG5" s="394"/>
    </row>
    <row r="6" spans="1:33" x14ac:dyDescent="0.25">
      <c r="E6" s="4" t="s">
        <v>1</v>
      </c>
      <c r="F6" s="4"/>
      <c r="G6" s="4"/>
      <c r="H6" s="4" t="s">
        <v>2</v>
      </c>
      <c r="I6" s="151"/>
      <c r="N6" s="4" t="s">
        <v>1</v>
      </c>
      <c r="O6" s="4"/>
      <c r="P6" s="4"/>
      <c r="Q6" s="4" t="s">
        <v>2</v>
      </c>
      <c r="R6" s="57"/>
      <c r="S6" s="57"/>
      <c r="T6" s="4"/>
      <c r="U6" s="4"/>
      <c r="V6" s="4"/>
      <c r="W6" s="4"/>
      <c r="X6" s="4"/>
      <c r="Z6" s="4"/>
      <c r="AA6" s="4"/>
      <c r="AB6" s="4"/>
      <c r="AC6" s="4"/>
      <c r="AD6" s="4"/>
      <c r="AE6" s="4"/>
      <c r="AF6" s="4"/>
      <c r="AG6" s="4"/>
    </row>
    <row r="7" spans="1:33" ht="16.5" thickBot="1" x14ac:dyDescent="0.3">
      <c r="A7" s="41" t="s">
        <v>3</v>
      </c>
      <c r="B7" s="42"/>
      <c r="C7" s="42"/>
      <c r="D7" s="42"/>
      <c r="E7" s="5" t="s">
        <v>4</v>
      </c>
      <c r="F7" s="392" t="s">
        <v>5</v>
      </c>
      <c r="G7" s="392"/>
      <c r="H7" s="5" t="s">
        <v>6</v>
      </c>
      <c r="I7" s="151"/>
      <c r="J7" s="41" t="s">
        <v>3</v>
      </c>
      <c r="K7" s="42"/>
      <c r="L7" s="42"/>
      <c r="M7" s="42"/>
      <c r="N7" s="5" t="s">
        <v>4</v>
      </c>
      <c r="O7" s="392" t="s">
        <v>5</v>
      </c>
      <c r="P7" s="392"/>
      <c r="Q7" s="5" t="s">
        <v>6</v>
      </c>
      <c r="R7" s="5" t="s">
        <v>234</v>
      </c>
      <c r="S7" s="57"/>
      <c r="T7" s="4"/>
      <c r="U7" s="4"/>
      <c r="V7" s="394"/>
      <c r="W7" s="394"/>
      <c r="X7" s="4"/>
      <c r="Z7" s="4"/>
      <c r="AA7" s="4"/>
      <c r="AB7" s="4"/>
      <c r="AC7" s="4"/>
      <c r="AD7" s="4"/>
      <c r="AE7" s="394"/>
      <c r="AF7" s="394"/>
      <c r="AG7" s="4"/>
    </row>
    <row r="8" spans="1:33" x14ac:dyDescent="0.25">
      <c r="I8" s="153"/>
      <c r="J8" s="57"/>
      <c r="K8" s="57"/>
      <c r="L8" s="57"/>
      <c r="N8" s="57"/>
      <c r="O8" s="57"/>
      <c r="P8" s="57"/>
      <c r="Q8" s="57"/>
      <c r="R8" s="57"/>
      <c r="S8" s="57"/>
    </row>
    <row r="9" spans="1:33" x14ac:dyDescent="0.25">
      <c r="I9" s="153"/>
      <c r="J9" s="57"/>
      <c r="K9" s="57"/>
      <c r="L9" s="57"/>
      <c r="N9" s="57"/>
      <c r="O9" s="57"/>
      <c r="P9" s="57"/>
      <c r="Q9" s="57"/>
      <c r="R9" s="57"/>
      <c r="S9" s="57"/>
      <c r="X9" s="49"/>
      <c r="AG9" s="49"/>
    </row>
    <row r="10" spans="1:33" x14ac:dyDescent="0.25">
      <c r="E10" s="144" t="s">
        <v>152</v>
      </c>
      <c r="H10" s="10"/>
      <c r="I10" s="153"/>
      <c r="J10" s="57"/>
      <c r="K10" s="57"/>
      <c r="L10" s="57"/>
      <c r="N10" s="57"/>
      <c r="O10" s="57"/>
      <c r="P10" s="57"/>
      <c r="Q10" s="57"/>
      <c r="R10" s="57"/>
      <c r="S10" s="57"/>
      <c r="U10" s="8"/>
      <c r="X10" s="11"/>
      <c r="AD10" s="8"/>
      <c r="AG10" s="11"/>
    </row>
    <row r="11" spans="1:33" x14ac:dyDescent="0.25">
      <c r="A11" s="1" t="s">
        <v>25</v>
      </c>
      <c r="E11" s="144" t="s">
        <v>133</v>
      </c>
      <c r="H11" s="144" t="s">
        <v>134</v>
      </c>
      <c r="I11" s="153"/>
      <c r="J11" s="1" t="s">
        <v>25</v>
      </c>
      <c r="N11" s="144" t="s">
        <v>133</v>
      </c>
      <c r="Q11" s="144" t="s">
        <v>134</v>
      </c>
      <c r="R11" s="57"/>
      <c r="S11" s="57"/>
      <c r="U11" s="8"/>
      <c r="X11" s="10"/>
      <c r="Z11" s="1"/>
      <c r="AD11" s="8"/>
      <c r="AG11" s="10"/>
    </row>
    <row r="12" spans="1:33" x14ac:dyDescent="0.25">
      <c r="D12" s="43" t="s">
        <v>20</v>
      </c>
      <c r="E12" s="121" t="s">
        <v>15</v>
      </c>
      <c r="F12" s="122" t="s">
        <v>16</v>
      </c>
      <c r="H12" s="121" t="s">
        <v>6</v>
      </c>
      <c r="I12" s="153"/>
      <c r="M12" s="43" t="s">
        <v>20</v>
      </c>
      <c r="N12" s="121" t="s">
        <v>15</v>
      </c>
      <c r="O12" s="122" t="s">
        <v>16</v>
      </c>
      <c r="Q12" s="121" t="s">
        <v>6</v>
      </c>
      <c r="S12" s="57"/>
      <c r="T12" s="37"/>
      <c r="U12" s="78"/>
      <c r="V12" s="16"/>
      <c r="X12" s="10"/>
      <c r="AC12" s="37"/>
      <c r="AD12" s="78"/>
      <c r="AE12" s="16"/>
      <c r="AG12" s="10"/>
    </row>
    <row r="13" spans="1:33" x14ac:dyDescent="0.25">
      <c r="D13" s="64"/>
      <c r="E13" s="44"/>
      <c r="F13" s="73"/>
      <c r="H13" s="11"/>
      <c r="I13" s="153"/>
      <c r="M13" s="64"/>
      <c r="N13" s="44"/>
      <c r="O13" s="73"/>
      <c r="Q13" s="11"/>
      <c r="S13" s="57"/>
      <c r="T13" s="8"/>
      <c r="U13" s="45"/>
      <c r="V13" s="69"/>
      <c r="X13" s="11"/>
      <c r="AC13" s="8"/>
      <c r="AD13" s="45"/>
      <c r="AE13" s="69"/>
      <c r="AG13" s="11"/>
    </row>
    <row r="14" spans="1:33" x14ac:dyDescent="0.25">
      <c r="B14" s="2" t="s">
        <v>107</v>
      </c>
      <c r="D14" s="233"/>
      <c r="E14" s="44">
        <f>BillDetLt!Q7</f>
        <v>9198.6666666666661</v>
      </c>
      <c r="F14" s="72">
        <f>'Present and Proposed Rates'!E32</f>
        <v>10.93</v>
      </c>
      <c r="H14" s="56">
        <f>E14*F14*12</f>
        <v>1206497.1199999999</v>
      </c>
      <c r="I14" s="153"/>
      <c r="K14" s="2" t="s">
        <v>107</v>
      </c>
      <c r="M14" s="233"/>
      <c r="N14" s="44">
        <f>E14</f>
        <v>9198.6666666666661</v>
      </c>
      <c r="O14" s="72">
        <f>'Present and Proposed Rates'!F32</f>
        <v>10.93</v>
      </c>
      <c r="Q14" s="56">
        <f>N14*O14*12</f>
        <v>1206497.1199999999</v>
      </c>
      <c r="R14" s="88">
        <f>Q14/H14-1</f>
        <v>0</v>
      </c>
      <c r="S14" s="57"/>
      <c r="T14" s="8"/>
      <c r="U14" s="45"/>
      <c r="V14" s="69"/>
      <c r="X14" s="11"/>
      <c r="AC14" s="8"/>
      <c r="AD14" s="45"/>
      <c r="AE14" s="69"/>
      <c r="AG14" s="11"/>
    </row>
    <row r="15" spans="1:33" x14ac:dyDescent="0.25">
      <c r="B15" s="2" t="s">
        <v>108</v>
      </c>
      <c r="D15" s="233"/>
      <c r="E15" s="44">
        <f>BillDetLt!Q9</f>
        <v>74.666666666666671</v>
      </c>
      <c r="F15" s="72">
        <f>'Present and Proposed Rates'!E33</f>
        <v>4.7699999999999996</v>
      </c>
      <c r="H15" s="56">
        <f>E15*F15*12</f>
        <v>4273.92</v>
      </c>
      <c r="I15" s="153"/>
      <c r="K15" s="2" t="s">
        <v>108</v>
      </c>
      <c r="M15" s="233"/>
      <c r="N15" s="44">
        <f>E15</f>
        <v>74.666666666666671</v>
      </c>
      <c r="O15" s="72">
        <f>'Present and Proposed Rates'!F33</f>
        <v>4.7699999999999996</v>
      </c>
      <c r="Q15" s="56">
        <f>N15*O15*12</f>
        <v>4273.92</v>
      </c>
      <c r="R15" s="88">
        <f>Q15/H15-1</f>
        <v>0</v>
      </c>
      <c r="S15" s="57"/>
      <c r="T15" s="8"/>
      <c r="U15" s="45"/>
      <c r="V15" s="69"/>
      <c r="X15" s="11"/>
      <c r="AC15" s="8"/>
      <c r="AD15" s="45"/>
      <c r="AE15" s="69"/>
      <c r="AG15" s="11"/>
    </row>
    <row r="16" spans="1:33" x14ac:dyDescent="0.25">
      <c r="B16" s="2" t="s">
        <v>109</v>
      </c>
      <c r="D16" s="233"/>
      <c r="E16" s="44">
        <f>BillDetLt!Q8</f>
        <v>1261.25</v>
      </c>
      <c r="F16" s="72">
        <f>'Present and Proposed Rates'!E34</f>
        <v>16.420000000000002</v>
      </c>
      <c r="H16" s="56">
        <f>E16*F16*12</f>
        <v>248516.7</v>
      </c>
      <c r="I16" s="153"/>
      <c r="K16" s="2" t="s">
        <v>109</v>
      </c>
      <c r="M16" s="233"/>
      <c r="N16" s="44">
        <f>E16</f>
        <v>1261.25</v>
      </c>
      <c r="O16" s="72">
        <f>'Present and Proposed Rates'!F34</f>
        <v>16.420000000000002</v>
      </c>
      <c r="Q16" s="56">
        <f>N16*O16*12</f>
        <v>248516.7</v>
      </c>
      <c r="R16" s="88">
        <f>Q16/H16-1</f>
        <v>0</v>
      </c>
      <c r="S16" s="57"/>
      <c r="T16" s="8"/>
      <c r="U16" s="45"/>
      <c r="V16" s="69"/>
      <c r="X16" s="11"/>
      <c r="AC16" s="8"/>
      <c r="AD16" s="45"/>
      <c r="AE16" s="69"/>
      <c r="AG16" s="11"/>
    </row>
    <row r="17" spans="1:33" x14ac:dyDescent="0.25">
      <c r="B17" s="2" t="s">
        <v>110</v>
      </c>
      <c r="D17" s="233"/>
      <c r="E17" s="44">
        <f>BillDetLt!Q10</f>
        <v>142.91666666666666</v>
      </c>
      <c r="F17" s="72">
        <f>'Present and Proposed Rates'!E35</f>
        <v>4.7699999999999996</v>
      </c>
      <c r="H17" s="56">
        <f>E17*F17*12</f>
        <v>8180.5499999999984</v>
      </c>
      <c r="I17" s="153"/>
      <c r="K17" s="2" t="s">
        <v>110</v>
      </c>
      <c r="M17" s="233"/>
      <c r="N17" s="44">
        <f>E17</f>
        <v>142.91666666666666</v>
      </c>
      <c r="O17" s="72">
        <f>'Present and Proposed Rates'!F35</f>
        <v>4.7699999999999996</v>
      </c>
      <c r="Q17" s="56">
        <f>N17*O17*12</f>
        <v>8180.5499999999984</v>
      </c>
      <c r="R17" s="88">
        <f>Q17/H17-1</f>
        <v>0</v>
      </c>
      <c r="S17" s="57"/>
      <c r="T17" s="8"/>
      <c r="U17" s="45"/>
      <c r="V17" s="69"/>
      <c r="X17" s="11"/>
      <c r="AC17" s="8"/>
      <c r="AD17" s="45"/>
      <c r="AE17" s="69"/>
      <c r="AG17" s="11"/>
    </row>
    <row r="18" spans="1:33" x14ac:dyDescent="0.25">
      <c r="B18" s="7"/>
      <c r="C18" s="7"/>
      <c r="D18" s="17"/>
      <c r="E18" s="17"/>
      <c r="F18" s="46"/>
      <c r="H18" s="50"/>
      <c r="I18" s="153"/>
      <c r="K18" s="7"/>
      <c r="L18" s="7"/>
      <c r="M18" s="17"/>
      <c r="N18" s="17"/>
      <c r="O18" s="46"/>
      <c r="Q18" s="50"/>
      <c r="S18" s="57"/>
      <c r="T18" s="8"/>
      <c r="U18" s="8"/>
      <c r="V18" s="69"/>
      <c r="X18" s="11"/>
      <c r="AC18" s="8"/>
      <c r="AD18" s="8"/>
      <c r="AE18" s="69"/>
      <c r="AG18" s="11"/>
    </row>
    <row r="19" spans="1:33" x14ac:dyDescent="0.25">
      <c r="B19" s="1" t="s">
        <v>85</v>
      </c>
      <c r="D19" s="19">
        <f>BillDet!S36</f>
        <v>10129708</v>
      </c>
      <c r="E19" s="19">
        <f>SUM(E14:E17)</f>
        <v>10677.499999999998</v>
      </c>
      <c r="F19" s="18"/>
      <c r="H19" s="81">
        <f>SUM(H14:H17)</f>
        <v>1467468.2899999998</v>
      </c>
      <c r="I19" s="159"/>
      <c r="K19" s="1" t="s">
        <v>85</v>
      </c>
      <c r="M19" s="19">
        <f>D19</f>
        <v>10129708</v>
      </c>
      <c r="N19" s="19">
        <f>SUM(N14:N17)</f>
        <v>10677.499999999998</v>
      </c>
      <c r="O19" s="18"/>
      <c r="Q19" s="81">
        <f>SUM(Q14:Q17)</f>
        <v>1467468.2899999998</v>
      </c>
      <c r="R19" s="88">
        <f>Q19/H19-1</f>
        <v>0</v>
      </c>
      <c r="T19" s="19"/>
      <c r="U19" s="8"/>
      <c r="V19" s="18"/>
      <c r="X19" s="11"/>
      <c r="AA19" s="47"/>
      <c r="AC19" s="19"/>
      <c r="AD19" s="8"/>
      <c r="AE19" s="18"/>
      <c r="AG19" s="11"/>
    </row>
    <row r="20" spans="1:33" x14ac:dyDescent="0.25">
      <c r="B20" s="47"/>
      <c r="D20" s="19"/>
      <c r="E20" s="44"/>
      <c r="F20" s="18"/>
      <c r="H20" s="11"/>
      <c r="I20" s="159"/>
      <c r="K20" s="47"/>
      <c r="M20" s="19"/>
      <c r="N20" s="44"/>
      <c r="O20" s="18"/>
      <c r="Q20" s="11"/>
      <c r="R20" s="47"/>
      <c r="T20" s="19"/>
      <c r="U20" s="8"/>
      <c r="V20" s="18"/>
      <c r="X20" s="11"/>
      <c r="AA20" s="47"/>
      <c r="AC20" s="19"/>
      <c r="AD20" s="8"/>
      <c r="AE20" s="18"/>
      <c r="AG20" s="11"/>
    </row>
    <row r="21" spans="1:33" x14ac:dyDescent="0.25">
      <c r="E21" s="8"/>
      <c r="H21" s="11"/>
      <c r="I21" s="153"/>
      <c r="N21" s="8"/>
      <c r="Q21" s="11"/>
      <c r="U21" s="8"/>
      <c r="X21" s="11"/>
      <c r="AD21" s="8"/>
      <c r="AG21" s="11"/>
    </row>
    <row r="22" spans="1:33" ht="16.5" thickBot="1" x14ac:dyDescent="0.3">
      <c r="A22" s="1" t="s">
        <v>85</v>
      </c>
      <c r="D22" s="19"/>
      <c r="H22" s="60">
        <f>H19+K21</f>
        <v>1467468.2899999998</v>
      </c>
      <c r="I22" s="153"/>
      <c r="J22" s="1" t="s">
        <v>81</v>
      </c>
      <c r="M22" s="19"/>
      <c r="Q22" s="60">
        <f>Q19+T21</f>
        <v>1467468.2899999998</v>
      </c>
      <c r="R22" s="88">
        <f>Q22/H22-1</f>
        <v>0</v>
      </c>
      <c r="T22" s="11"/>
      <c r="X22" s="56"/>
      <c r="Z22" s="1"/>
      <c r="AG22" s="56"/>
    </row>
    <row r="23" spans="1:33" ht="16.5" thickTop="1" x14ac:dyDescent="0.25">
      <c r="A23" s="1"/>
      <c r="H23" s="11"/>
      <c r="I23" s="153"/>
      <c r="J23" s="1"/>
      <c r="K23" s="1"/>
      <c r="Q23" s="11"/>
      <c r="X23" s="11"/>
      <c r="Z23" s="1"/>
      <c r="AG23" s="11"/>
    </row>
    <row r="24" spans="1:33" x14ac:dyDescent="0.25">
      <c r="A24" s="1" t="s">
        <v>18</v>
      </c>
      <c r="E24" s="45"/>
      <c r="H24" s="11">
        <f>BillDet!S66</f>
        <v>1490765.52</v>
      </c>
      <c r="I24" s="153"/>
      <c r="J24" s="1" t="s">
        <v>86</v>
      </c>
      <c r="K24" s="10"/>
      <c r="N24" s="45"/>
      <c r="Q24" s="11">
        <f>Q22-H22</f>
        <v>0</v>
      </c>
      <c r="U24" s="51"/>
      <c r="X24" s="51"/>
      <c r="Z24" s="1"/>
      <c r="AD24" s="51"/>
      <c r="AG24" s="51"/>
    </row>
    <row r="25" spans="1:33" x14ac:dyDescent="0.25">
      <c r="A25" s="10"/>
      <c r="H25" s="10"/>
      <c r="I25" s="153"/>
      <c r="K25" s="10"/>
      <c r="Q25" s="10"/>
      <c r="U25" s="11"/>
      <c r="X25" s="11"/>
      <c r="Z25" s="10"/>
      <c r="AD25" s="11"/>
      <c r="AG25" s="11"/>
    </row>
    <row r="26" spans="1:33" x14ac:dyDescent="0.25">
      <c r="A26" s="1" t="s">
        <v>13</v>
      </c>
      <c r="E26" s="51"/>
      <c r="H26" s="48">
        <f>H22-H24</f>
        <v>-23297.230000000214</v>
      </c>
      <c r="I26" s="153"/>
      <c r="J26" s="1" t="s">
        <v>87</v>
      </c>
      <c r="K26" s="10"/>
      <c r="N26" s="51"/>
      <c r="Q26" s="160">
        <f>Q24/H22</f>
        <v>0</v>
      </c>
      <c r="U26" s="52"/>
      <c r="X26" s="52"/>
      <c r="Z26" s="1"/>
      <c r="AD26" s="52"/>
      <c r="AG26" s="52"/>
    </row>
    <row r="27" spans="1:33" x14ac:dyDescent="0.25">
      <c r="A27" s="10"/>
      <c r="E27" s="11"/>
      <c r="H27" s="11"/>
      <c r="I27" s="153"/>
      <c r="K27" s="10"/>
      <c r="N27" s="11"/>
      <c r="Q27" s="11"/>
    </row>
    <row r="28" spans="1:33" x14ac:dyDescent="0.25">
      <c r="A28" s="1" t="s">
        <v>27</v>
      </c>
      <c r="E28" s="52"/>
      <c r="H28" s="52">
        <f>(H22-H24)/H24</f>
        <v>-1.5627695762644292E-2</v>
      </c>
      <c r="I28" s="153"/>
      <c r="J28" s="1" t="s">
        <v>88</v>
      </c>
      <c r="K28" s="10"/>
      <c r="N28" s="52"/>
      <c r="Q28" s="84">
        <f>Q24/N19</f>
        <v>0</v>
      </c>
    </row>
    <row r="29" spans="1:33" x14ac:dyDescent="0.25">
      <c r="A29" s="11"/>
      <c r="H29" s="11"/>
      <c r="I29" s="154"/>
      <c r="J29" s="11"/>
      <c r="R29" s="11"/>
      <c r="S29" s="11"/>
      <c r="X29" s="32"/>
      <c r="Z29" s="11"/>
      <c r="AA29" s="11"/>
      <c r="AB29" s="11"/>
      <c r="AG29" s="32"/>
    </row>
    <row r="30" spans="1:33" ht="15" customHeight="1" x14ac:dyDescent="0.25">
      <c r="H30" s="10"/>
      <c r="I30" s="10"/>
      <c r="J30" s="10"/>
      <c r="R30" s="10"/>
      <c r="S30" s="10"/>
      <c r="Z30" s="10"/>
      <c r="AA30" s="10"/>
      <c r="AB30" s="10"/>
    </row>
    <row r="31" spans="1:33" x14ac:dyDescent="0.25">
      <c r="H31" s="39"/>
      <c r="I31" s="57"/>
      <c r="J31" s="57"/>
    </row>
    <row r="32" spans="1:33" x14ac:dyDescent="0.25">
      <c r="H32" s="39"/>
      <c r="I32" s="57"/>
      <c r="J32" s="57"/>
    </row>
    <row r="33" spans="8:10" x14ac:dyDescent="0.25">
      <c r="H33" s="39"/>
      <c r="I33" s="57"/>
      <c r="J33" s="57"/>
    </row>
    <row r="34" spans="8:10" x14ac:dyDescent="0.25">
      <c r="H34" s="39"/>
      <c r="I34" s="57"/>
      <c r="J34" s="57"/>
    </row>
    <row r="35" spans="8:10" x14ac:dyDescent="0.25">
      <c r="H35" s="39"/>
      <c r="I35" s="57"/>
      <c r="J35" s="57"/>
    </row>
    <row r="36" spans="8:10" x14ac:dyDescent="0.25">
      <c r="I36" s="57"/>
      <c r="J36" s="57"/>
    </row>
  </sheetData>
  <mergeCells count="8">
    <mergeCell ref="E4:H5"/>
    <mergeCell ref="U4:X5"/>
    <mergeCell ref="AD4:AG5"/>
    <mergeCell ref="F7:G7"/>
    <mergeCell ref="V7:W7"/>
    <mergeCell ref="AE7:AF7"/>
    <mergeCell ref="O7:P7"/>
    <mergeCell ref="N4:Q5"/>
  </mergeCells>
  <pageMargins left="0.75" right="0.75" top="1" bottom="1" header="0.5" footer="0.5"/>
  <pageSetup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13</vt:i4>
      </vt:variant>
    </vt:vector>
  </HeadingPairs>
  <TitlesOfParts>
    <vt:vector size="29" baseType="lpstr">
      <vt:lpstr>Present and Proposed Rates</vt:lpstr>
      <vt:lpstr>Res-1</vt:lpstr>
      <vt:lpstr>Residential NonTOU</vt:lpstr>
      <vt:lpstr>Resid. - TOU</vt:lpstr>
      <vt:lpstr>SmCom-2</vt:lpstr>
      <vt:lpstr>3Ph-3</vt:lpstr>
      <vt:lpstr>3PhTOD-3A</vt:lpstr>
      <vt:lpstr>LgTOD-4</vt:lpstr>
      <vt:lpstr>YL-5</vt:lpstr>
      <vt:lpstr>SL-6</vt:lpstr>
      <vt:lpstr>Reconciliaton</vt:lpstr>
      <vt:lpstr>ResIncr</vt:lpstr>
      <vt:lpstr>NoticeTables</vt:lpstr>
      <vt:lpstr>BillDet</vt:lpstr>
      <vt:lpstr>BillDetLt</vt:lpstr>
      <vt:lpstr>List</vt:lpstr>
      <vt:lpstr>'3Ph-3'!Print_Area</vt:lpstr>
      <vt:lpstr>'3PhTOD-3A'!Print_Area</vt:lpstr>
      <vt:lpstr>BillDet!Print_Area</vt:lpstr>
      <vt:lpstr>'LgTOD-4'!Print_Area</vt:lpstr>
      <vt:lpstr>NoticeTables!Print_Area</vt:lpstr>
      <vt:lpstr>'Present and Proposed Rates'!Print_Area</vt:lpstr>
      <vt:lpstr>Reconciliaton!Print_Area</vt:lpstr>
      <vt:lpstr>'Res-1'!Print_Area</vt:lpstr>
      <vt:lpstr>'Resid. - TOU'!Print_Area</vt:lpstr>
      <vt:lpstr>'Residential NonTOU'!Print_Area</vt:lpstr>
      <vt:lpstr>'SL-6'!Print_Area</vt:lpstr>
      <vt:lpstr>'SmCom-2'!Print_Area</vt:lpstr>
      <vt:lpstr>'YL-5'!Print_Area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John Wolfram</cp:lastModifiedBy>
  <cp:lastPrinted>2020-05-20T16:32:26Z</cp:lastPrinted>
  <dcterms:created xsi:type="dcterms:W3CDTF">2000-07-10T18:54:31Z</dcterms:created>
  <dcterms:modified xsi:type="dcterms:W3CDTF">2025-07-10T01:12:23Z</dcterms:modified>
</cp:coreProperties>
</file>