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Meade/2025 Rate Case 2025-00xxx/COS and Rates/"/>
    </mc:Choice>
  </mc:AlternateContent>
  <xr:revisionPtr revIDLastSave="3" documentId="8_{007F472C-46BE-46FD-8DB1-2E7625D3FB0D}" xr6:coauthVersionLast="47" xr6:coauthVersionMax="47" xr10:uidLastSave="{8DB6EA78-94A4-460B-917C-88014D0C5EC1}"/>
  <bookViews>
    <workbookView xWindow="-120" yWindow="-120" windowWidth="29040" windowHeight="15720" tabRatio="741" activeTab="9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9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Returns'!$A$1:$M$651</definedName>
    <definedName name="_xlnm.Print_Area" localSheetId="4">'Billing Det'!$A$1:$T$205</definedName>
    <definedName name="_xlnm.Print_Area" localSheetId="2">'Func &amp; Classif'!$A$1:$AA$490</definedName>
    <definedName name="_xlnm.Print_Area" localSheetId="6">Meters!$A$1:$G$32</definedName>
    <definedName name="_xlnm.Print_Area" localSheetId="5">'Purchased Power'!$A$1:$O$56</definedName>
    <definedName name="_xlnm.Print_Area" localSheetId="7">Services!$A$1:$G$33</definedName>
    <definedName name="_xlnm.Print_Area" localSheetId="1">'Summary of Rates'!$A$1:$H$13</definedName>
    <definedName name="_xlnm.Print_Area" localSheetId="0">'Summary of Returns'!$A$1:$I$49</definedName>
    <definedName name="_xlnm.Print_Titles" localSheetId="3">'Alloc &amp; Returns'!$A:$D,'Alloc &amp; Returns'!$1:$3</definedName>
    <definedName name="_xlnm.Print_Titles" localSheetId="4">'Billing Det'!$A:$B,'Billing Det'!$32:$36</definedName>
    <definedName name="_xlnm.Print_Titles" localSheetId="2">'Func &amp; Classif'!$A:$E,'Func &amp; Classif'!$1:$3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8" i="2" l="1"/>
  <c r="E371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AC342" i="2"/>
  <c r="AD342" i="2"/>
  <c r="AE342" i="2"/>
  <c r="AF342" i="2"/>
  <c r="AG342" i="2" l="1"/>
  <c r="AH342" i="2" s="1"/>
  <c r="A1" i="15" l="1"/>
  <c r="E23" i="19" l="1"/>
  <c r="F23" i="19" s="1"/>
  <c r="G23" i="19" s="1"/>
  <c r="H23" i="19" s="1"/>
  <c r="I23" i="19" s="1"/>
  <c r="J23" i="19" s="1"/>
  <c r="K23" i="19" s="1"/>
  <c r="L23" i="19" s="1"/>
  <c r="M23" i="19" s="1"/>
  <c r="N23" i="19" s="1"/>
  <c r="D23" i="19"/>
  <c r="F348" i="2" l="1"/>
  <c r="AG348" i="2" s="1"/>
  <c r="AH348" i="2" l="1"/>
  <c r="G17" i="4"/>
  <c r="H17" i="4" s="1"/>
  <c r="I17" i="4" s="1"/>
  <c r="C70" i="15"/>
  <c r="L114" i="18"/>
  <c r="M114" i="18" s="1"/>
  <c r="J114" i="18"/>
  <c r="I114" i="18"/>
  <c r="F114" i="18"/>
  <c r="H114" i="18" s="1"/>
  <c r="L113" i="18"/>
  <c r="M113" i="18" s="1"/>
  <c r="J113" i="18"/>
  <c r="I113" i="18"/>
  <c r="F113" i="18"/>
  <c r="H113" i="18" s="1"/>
  <c r="L112" i="18"/>
  <c r="M112" i="18" s="1"/>
  <c r="J112" i="18"/>
  <c r="I112" i="18"/>
  <c r="F112" i="18"/>
  <c r="H112" i="18" s="1"/>
  <c r="L111" i="18"/>
  <c r="M111" i="18" s="1"/>
  <c r="J111" i="18"/>
  <c r="I111" i="18"/>
  <c r="F111" i="18"/>
  <c r="H111" i="18" s="1"/>
  <c r="L110" i="18"/>
  <c r="M110" i="18" s="1"/>
  <c r="J110" i="18"/>
  <c r="I110" i="18"/>
  <c r="F110" i="18"/>
  <c r="H110" i="18" s="1"/>
  <c r="L109" i="18"/>
  <c r="M109" i="18" s="1"/>
  <c r="J109" i="18"/>
  <c r="I109" i="18"/>
  <c r="F109" i="18"/>
  <c r="H109" i="18" s="1"/>
  <c r="L108" i="18"/>
  <c r="M108" i="18" s="1"/>
  <c r="J108" i="18"/>
  <c r="I108" i="18"/>
  <c r="F108" i="18"/>
  <c r="H108" i="18" s="1"/>
  <c r="L107" i="18"/>
  <c r="M107" i="18" s="1"/>
  <c r="J107" i="18"/>
  <c r="I107" i="18"/>
  <c r="F107" i="18"/>
  <c r="H107" i="18" s="1"/>
  <c r="L106" i="18"/>
  <c r="M106" i="18" s="1"/>
  <c r="J106" i="18"/>
  <c r="I106" i="18"/>
  <c r="F106" i="18"/>
  <c r="H106" i="18" s="1"/>
  <c r="L105" i="18"/>
  <c r="M105" i="18" s="1"/>
  <c r="J105" i="18"/>
  <c r="I105" i="18"/>
  <c r="F105" i="18"/>
  <c r="H105" i="18" s="1"/>
  <c r="M496" i="2" l="1"/>
  <c r="E496" i="2" s="1"/>
  <c r="M489" i="2"/>
  <c r="E489" i="2" s="1"/>
  <c r="O26" i="19" l="1"/>
  <c r="O27" i="19"/>
  <c r="D48" i="19"/>
  <c r="E48" i="19"/>
  <c r="F48" i="19"/>
  <c r="G48" i="19"/>
  <c r="H48" i="19"/>
  <c r="I48" i="19"/>
  <c r="J48" i="19"/>
  <c r="K48" i="19"/>
  <c r="L48" i="19"/>
  <c r="M48" i="19"/>
  <c r="N48" i="19"/>
  <c r="C48" i="19"/>
  <c r="A26" i="19"/>
  <c r="A27" i="19" s="1"/>
  <c r="A28" i="19" s="1"/>
  <c r="A29" i="19" s="1"/>
  <c r="A30" i="19" s="1"/>
  <c r="A31" i="19" s="1"/>
  <c r="D28" i="19"/>
  <c r="E28" i="19"/>
  <c r="F28" i="19"/>
  <c r="G28" i="19"/>
  <c r="H28" i="19"/>
  <c r="I28" i="19"/>
  <c r="J28" i="19"/>
  <c r="K28" i="19"/>
  <c r="L28" i="19"/>
  <c r="M28" i="19"/>
  <c r="N28" i="19"/>
  <c r="C28" i="19"/>
  <c r="D27" i="19"/>
  <c r="E27" i="19"/>
  <c r="F27" i="19"/>
  <c r="G27" i="19"/>
  <c r="H27" i="19"/>
  <c r="I27" i="19"/>
  <c r="J27" i="19"/>
  <c r="K27" i="19"/>
  <c r="L27" i="19"/>
  <c r="M27" i="19"/>
  <c r="N27" i="19"/>
  <c r="C27" i="19"/>
  <c r="D36" i="19"/>
  <c r="E36" i="19"/>
  <c r="F36" i="19"/>
  <c r="G36" i="19"/>
  <c r="H36" i="19"/>
  <c r="I36" i="19"/>
  <c r="J36" i="19"/>
  <c r="K36" i="19"/>
  <c r="L36" i="19"/>
  <c r="M36" i="19"/>
  <c r="N36" i="19"/>
  <c r="C36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AG363" i="2" l="1"/>
  <c r="AG345" i="2"/>
  <c r="V440" i="2"/>
  <c r="W440" i="2"/>
  <c r="X440" i="2"/>
  <c r="Y440" i="2"/>
  <c r="Z440" i="2"/>
  <c r="AA440" i="2"/>
  <c r="AB440" i="2"/>
  <c r="AC440" i="2"/>
  <c r="AD440" i="2"/>
  <c r="AE440" i="2"/>
  <c r="AF440" i="2"/>
  <c r="A33" i="4" l="1"/>
  <c r="A34" i="4" s="1"/>
  <c r="A35" i="4" s="1"/>
  <c r="A36" i="4" s="1"/>
  <c r="A37" i="4" s="1"/>
  <c r="A38" i="4" s="1"/>
  <c r="A39" i="4" s="1"/>
  <c r="D200" i="15"/>
  <c r="E200" i="15"/>
  <c r="F200" i="15"/>
  <c r="G200" i="15"/>
  <c r="H200" i="15"/>
  <c r="I200" i="15"/>
  <c r="J200" i="15"/>
  <c r="K200" i="15"/>
  <c r="L200" i="15"/>
  <c r="M200" i="15"/>
  <c r="N200" i="15"/>
  <c r="C200" i="15"/>
  <c r="N51" i="15"/>
  <c r="L417" i="2" l="1"/>
  <c r="K417" i="2"/>
  <c r="E55" i="15"/>
  <c r="F55" i="15" s="1"/>
  <c r="G55" i="15" s="1"/>
  <c r="H55" i="15" s="1"/>
  <c r="I55" i="15" s="1"/>
  <c r="J55" i="15" s="1"/>
  <c r="K55" i="15" s="1"/>
  <c r="L55" i="15" s="1"/>
  <c r="M55" i="15" s="1"/>
  <c r="N55" i="15" s="1"/>
  <c r="D55" i="15"/>
  <c r="D51" i="15"/>
  <c r="E51" i="15"/>
  <c r="F51" i="15"/>
  <c r="G51" i="15"/>
  <c r="H51" i="15"/>
  <c r="I51" i="15"/>
  <c r="J51" i="15"/>
  <c r="K51" i="15"/>
  <c r="L51" i="15"/>
  <c r="M51" i="15"/>
  <c r="C51" i="15"/>
  <c r="C80" i="15"/>
  <c r="C85" i="15" s="1"/>
  <c r="C81" i="15" s="1"/>
  <c r="C82" i="15" s="1"/>
  <c r="C84" i="15" s="1"/>
  <c r="D53" i="15"/>
  <c r="E53" i="15" s="1"/>
  <c r="F53" i="15" s="1"/>
  <c r="G53" i="15" s="1"/>
  <c r="H53" i="15" s="1"/>
  <c r="I53" i="15" s="1"/>
  <c r="J53" i="15" s="1"/>
  <c r="K53" i="15" s="1"/>
  <c r="L53" i="15" s="1"/>
  <c r="M53" i="15" s="1"/>
  <c r="D83" i="15" l="1"/>
  <c r="E83" i="15" s="1"/>
  <c r="F83" i="15" s="1"/>
  <c r="G83" i="15" s="1"/>
  <c r="H83" i="15" s="1"/>
  <c r="I83" i="15" s="1"/>
  <c r="J83" i="15" s="1"/>
  <c r="K83" i="15" s="1"/>
  <c r="L83" i="15" s="1"/>
  <c r="M83" i="15" s="1"/>
  <c r="N83" i="15" s="1"/>
  <c r="N80" i="15"/>
  <c r="N85" i="15" s="1"/>
  <c r="N81" i="15" s="1"/>
  <c r="M80" i="15"/>
  <c r="L80" i="15"/>
  <c r="L85" i="15" s="1"/>
  <c r="L81" i="15" s="1"/>
  <c r="K80" i="15"/>
  <c r="K85" i="15" s="1"/>
  <c r="K81" i="15" s="1"/>
  <c r="J80" i="15"/>
  <c r="J85" i="15" s="1"/>
  <c r="J81" i="15" s="1"/>
  <c r="I80" i="15"/>
  <c r="H80" i="15"/>
  <c r="G80" i="15"/>
  <c r="F80" i="15"/>
  <c r="F85" i="15" s="1"/>
  <c r="F81" i="15" s="1"/>
  <c r="E80" i="15"/>
  <c r="D80" i="15"/>
  <c r="D85" i="15" s="1"/>
  <c r="D81" i="15" s="1"/>
  <c r="M75" i="15"/>
  <c r="M71" i="15" s="1"/>
  <c r="L75" i="15"/>
  <c r="L71" i="15" s="1"/>
  <c r="D73" i="15"/>
  <c r="E73" i="15" s="1"/>
  <c r="F73" i="15" s="1"/>
  <c r="G73" i="15" s="1"/>
  <c r="H73" i="15" s="1"/>
  <c r="I73" i="15" s="1"/>
  <c r="J73" i="15" s="1"/>
  <c r="K73" i="15" s="1"/>
  <c r="L73" i="15" s="1"/>
  <c r="M73" i="15" s="1"/>
  <c r="N73" i="15" s="1"/>
  <c r="N70" i="15"/>
  <c r="M70" i="15"/>
  <c r="L70" i="15"/>
  <c r="K70" i="15"/>
  <c r="J70" i="15"/>
  <c r="J75" i="15" s="1"/>
  <c r="J71" i="15" s="1"/>
  <c r="I70" i="15"/>
  <c r="I75" i="15" s="1"/>
  <c r="I71" i="15" s="1"/>
  <c r="H70" i="15"/>
  <c r="H75" i="15" s="1"/>
  <c r="H71" i="15" s="1"/>
  <c r="G70" i="15"/>
  <c r="F70" i="15"/>
  <c r="E70" i="15"/>
  <c r="D70" i="15"/>
  <c r="C75" i="15"/>
  <c r="C71" i="15" s="1"/>
  <c r="E63" i="15"/>
  <c r="F63" i="15" s="1"/>
  <c r="G63" i="15" s="1"/>
  <c r="H63" i="15" s="1"/>
  <c r="I63" i="15" s="1"/>
  <c r="J63" i="15" s="1"/>
  <c r="K63" i="15" s="1"/>
  <c r="L63" i="15" s="1"/>
  <c r="M63" i="15" s="1"/>
  <c r="N63" i="15" s="1"/>
  <c r="D63" i="15"/>
  <c r="N60" i="15"/>
  <c r="N65" i="15" s="1"/>
  <c r="N61" i="15" s="1"/>
  <c r="M60" i="15"/>
  <c r="M65" i="15" s="1"/>
  <c r="M61" i="15" s="1"/>
  <c r="L60" i="15"/>
  <c r="L65" i="15" s="1"/>
  <c r="L61" i="15" s="1"/>
  <c r="K60" i="15"/>
  <c r="K65" i="15" s="1"/>
  <c r="K61" i="15" s="1"/>
  <c r="J60" i="15"/>
  <c r="J65" i="15" s="1"/>
  <c r="J61" i="15" s="1"/>
  <c r="I60" i="15"/>
  <c r="I65" i="15" s="1"/>
  <c r="I61" i="15" s="1"/>
  <c r="H60" i="15"/>
  <c r="G60" i="15"/>
  <c r="F60" i="15"/>
  <c r="F65" i="15" s="1"/>
  <c r="F61" i="15" s="1"/>
  <c r="E60" i="15"/>
  <c r="E65" i="15" s="1"/>
  <c r="E61" i="15" s="1"/>
  <c r="D60" i="15"/>
  <c r="D65" i="15" s="1"/>
  <c r="D61" i="15" s="1"/>
  <c r="C60" i="15"/>
  <c r="C65" i="15" s="1"/>
  <c r="C61" i="15" s="1"/>
  <c r="N90" i="15"/>
  <c r="M90" i="15"/>
  <c r="L90" i="15"/>
  <c r="K90" i="15"/>
  <c r="J90" i="15"/>
  <c r="I90" i="15"/>
  <c r="H90" i="15"/>
  <c r="G90" i="15"/>
  <c r="F90" i="15"/>
  <c r="E90" i="15"/>
  <c r="D90" i="15"/>
  <c r="C9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K106" i="15" l="1"/>
  <c r="K102" i="15"/>
  <c r="K104" i="15" s="1"/>
  <c r="K96" i="15"/>
  <c r="K92" i="15"/>
  <c r="K94" i="15" s="1"/>
  <c r="L106" i="15"/>
  <c r="L102" i="15"/>
  <c r="L104" i="15" s="1"/>
  <c r="F96" i="15"/>
  <c r="F92" i="15"/>
  <c r="F94" i="15" s="1"/>
  <c r="L96" i="15"/>
  <c r="L92" i="15"/>
  <c r="L94" i="15" s="1"/>
  <c r="M106" i="15"/>
  <c r="M102" i="15"/>
  <c r="M104" i="15" s="1"/>
  <c r="E96" i="15"/>
  <c r="E92" i="15"/>
  <c r="E94" i="15" s="1"/>
  <c r="F106" i="15"/>
  <c r="F102" i="15"/>
  <c r="F104" i="15" s="1"/>
  <c r="N106" i="15"/>
  <c r="N102" i="15"/>
  <c r="N104" i="15" s="1"/>
  <c r="N96" i="15"/>
  <c r="N92" i="15"/>
  <c r="N94" i="15" s="1"/>
  <c r="G106" i="15"/>
  <c r="G102" i="15"/>
  <c r="G104" i="15" s="1"/>
  <c r="G96" i="15"/>
  <c r="G92" i="15"/>
  <c r="G94" i="15" s="1"/>
  <c r="D106" i="15"/>
  <c r="D102" i="15"/>
  <c r="D104" i="15" s="1"/>
  <c r="C96" i="15"/>
  <c r="C92" i="15"/>
  <c r="C94" i="15" s="1"/>
  <c r="E106" i="15"/>
  <c r="E102" i="15"/>
  <c r="E104" i="15" s="1"/>
  <c r="H96" i="15"/>
  <c r="H92" i="15"/>
  <c r="H94" i="15" s="1"/>
  <c r="I106" i="15"/>
  <c r="I102" i="15"/>
  <c r="I104" i="15" s="1"/>
  <c r="I96" i="15"/>
  <c r="I92" i="15"/>
  <c r="I94" i="15" s="1"/>
  <c r="C106" i="15"/>
  <c r="C102" i="15"/>
  <c r="C104" i="15" s="1"/>
  <c r="D96" i="15"/>
  <c r="D92" i="15"/>
  <c r="D94" i="15" s="1"/>
  <c r="M96" i="15"/>
  <c r="M92" i="15"/>
  <c r="M94" i="15" s="1"/>
  <c r="H106" i="15"/>
  <c r="H102" i="15"/>
  <c r="H104" i="15" s="1"/>
  <c r="J106" i="15"/>
  <c r="J102" i="15"/>
  <c r="J104" i="15" s="1"/>
  <c r="J96" i="15"/>
  <c r="J92" i="15"/>
  <c r="J94" i="15" s="1"/>
  <c r="I85" i="15"/>
  <c r="I81" i="15" s="1"/>
  <c r="I82" i="15" s="1"/>
  <c r="I84" i="15" s="1"/>
  <c r="G85" i="15"/>
  <c r="G81" i="15" s="1"/>
  <c r="G82" i="15" s="1"/>
  <c r="G84" i="15" s="1"/>
  <c r="E85" i="15"/>
  <c r="E81" i="15" s="1"/>
  <c r="E82" i="15" s="1"/>
  <c r="E84" i="15" s="1"/>
  <c r="H85" i="15"/>
  <c r="H81" i="15" s="1"/>
  <c r="H82" i="15" s="1"/>
  <c r="H84" i="15" s="1"/>
  <c r="M85" i="15"/>
  <c r="M81" i="15" s="1"/>
  <c r="M82" i="15" s="1"/>
  <c r="M84" i="15" s="1"/>
  <c r="F75" i="15"/>
  <c r="F71" i="15" s="1"/>
  <c r="F72" i="15" s="1"/>
  <c r="F74" i="15" s="1"/>
  <c r="D75" i="15"/>
  <c r="D71" i="15" s="1"/>
  <c r="D72" i="15" s="1"/>
  <c r="D74" i="15" s="1"/>
  <c r="N75" i="15"/>
  <c r="N71" i="15" s="1"/>
  <c r="N72" i="15" s="1"/>
  <c r="N74" i="15" s="1"/>
  <c r="I72" i="15"/>
  <c r="I74" i="15" s="1"/>
  <c r="M72" i="15"/>
  <c r="M74" i="15" s="1"/>
  <c r="E75" i="15"/>
  <c r="E71" i="15" s="1"/>
  <c r="E72" i="15" s="1"/>
  <c r="E74" i="15" s="1"/>
  <c r="C62" i="15"/>
  <c r="C64" i="15" s="1"/>
  <c r="K62" i="15"/>
  <c r="K64" i="15" s="1"/>
  <c r="G65" i="15"/>
  <c r="G61" i="15" s="1"/>
  <c r="G62" i="15" s="1"/>
  <c r="G64" i="15" s="1"/>
  <c r="K82" i="15"/>
  <c r="K84" i="15" s="1"/>
  <c r="D82" i="15"/>
  <c r="D84" i="15" s="1"/>
  <c r="L82" i="15"/>
  <c r="L84" i="15" s="1"/>
  <c r="F82" i="15"/>
  <c r="F84" i="15" s="1"/>
  <c r="J82" i="15"/>
  <c r="J84" i="15" s="1"/>
  <c r="N82" i="15"/>
  <c r="N84" i="15" s="1"/>
  <c r="J72" i="15"/>
  <c r="J74" i="15" s="1"/>
  <c r="H72" i="15"/>
  <c r="H74" i="15" s="1"/>
  <c r="L72" i="15"/>
  <c r="L74" i="15" s="1"/>
  <c r="C72" i="15"/>
  <c r="C74" i="15" s="1"/>
  <c r="G75" i="15"/>
  <c r="G71" i="15" s="1"/>
  <c r="G72" i="15" s="1"/>
  <c r="G74" i="15" s="1"/>
  <c r="K75" i="15"/>
  <c r="K71" i="15" s="1"/>
  <c r="K72" i="15" s="1"/>
  <c r="K74" i="15" s="1"/>
  <c r="E62" i="15"/>
  <c r="E64" i="15" s="1"/>
  <c r="I62" i="15"/>
  <c r="I64" i="15" s="1"/>
  <c r="M62" i="15"/>
  <c r="M64" i="15" s="1"/>
  <c r="D62" i="15"/>
  <c r="D64" i="15" s="1"/>
  <c r="L62" i="15"/>
  <c r="L64" i="15" s="1"/>
  <c r="F62" i="15"/>
  <c r="F64" i="15" s="1"/>
  <c r="J62" i="15"/>
  <c r="J64" i="15" s="1"/>
  <c r="N62" i="15"/>
  <c r="N64" i="15" s="1"/>
  <c r="H65" i="15"/>
  <c r="H61" i="15" s="1"/>
  <c r="H62" i="15" s="1"/>
  <c r="H64" i="15" s="1"/>
  <c r="D201" i="15" l="1"/>
  <c r="E201" i="15"/>
  <c r="F201" i="15"/>
  <c r="G201" i="15"/>
  <c r="H201" i="15"/>
  <c r="I201" i="15"/>
  <c r="J201" i="15"/>
  <c r="K201" i="15"/>
  <c r="L201" i="15"/>
  <c r="M201" i="15"/>
  <c r="C201" i="15"/>
  <c r="M8" i="8" l="1"/>
  <c r="E8" i="8" s="1"/>
  <c r="M7" i="8"/>
  <c r="J7" i="8"/>
  <c r="I7" i="8"/>
  <c r="M6" i="8"/>
  <c r="E6" i="8" s="1"/>
  <c r="E7" i="8" l="1"/>
  <c r="F283" i="1"/>
  <c r="F262" i="1"/>
  <c r="F246" i="1"/>
  <c r="F229" i="1"/>
  <c r="F231" i="1" s="1"/>
  <c r="F215" i="1"/>
  <c r="F199" i="1"/>
  <c r="F180" i="1"/>
  <c r="F168" i="1"/>
  <c r="F159" i="1"/>
  <c r="F124" i="1"/>
  <c r="F91" i="1"/>
  <c r="F99" i="1" s="1"/>
  <c r="F75" i="1"/>
  <c r="F54" i="1"/>
  <c r="F35" i="1"/>
  <c r="F24" i="1"/>
  <c r="F12" i="1"/>
  <c r="F56" i="1" l="1"/>
  <c r="F58" i="1" s="1"/>
  <c r="F170" i="1"/>
  <c r="F237" i="1"/>
  <c r="F285" i="1" s="1"/>
  <c r="F82" i="1"/>
  <c r="O86" i="15"/>
  <c r="O82" i="15"/>
  <c r="H10" i="17"/>
  <c r="H9" i="17"/>
  <c r="F233" i="1" l="1"/>
  <c r="F264" i="1" s="1"/>
  <c r="F235" i="1"/>
  <c r="F287" i="1"/>
  <c r="F129" i="1"/>
  <c r="F133" i="1" s="1"/>
  <c r="F98" i="1"/>
  <c r="F101" i="1" s="1"/>
  <c r="F126" i="1" s="1"/>
  <c r="F93" i="1"/>
  <c r="A1" i="19"/>
  <c r="O35" i="19"/>
  <c r="O34" i="19"/>
  <c r="O33" i="19"/>
  <c r="O32" i="19"/>
  <c r="O31" i="19"/>
  <c r="O28" i="19"/>
  <c r="O25" i="19"/>
  <c r="O23" i="19"/>
  <c r="O22" i="19"/>
  <c r="O18" i="19"/>
  <c r="O17" i="19"/>
  <c r="O16" i="19"/>
  <c r="O15" i="19"/>
  <c r="O14" i="19"/>
  <c r="O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O11" i="19"/>
  <c r="L49" i="19"/>
  <c r="H49" i="19"/>
  <c r="F49" i="19"/>
  <c r="D49" i="19"/>
  <c r="O9" i="19"/>
  <c r="O8" i="19"/>
  <c r="N201" i="15" s="1"/>
  <c r="O201" i="15" s="1"/>
  <c r="O7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J49" i="19" l="1"/>
  <c r="N49" i="19"/>
  <c r="O29" i="19"/>
  <c r="D50" i="19"/>
  <c r="D51" i="19" s="1"/>
  <c r="D41" i="19" s="1"/>
  <c r="H50" i="19"/>
  <c r="H51" i="19" s="1"/>
  <c r="H41" i="19" s="1"/>
  <c r="L50" i="19"/>
  <c r="L51" i="19" s="1"/>
  <c r="L41" i="19" s="1"/>
  <c r="C49" i="19"/>
  <c r="G49" i="19"/>
  <c r="K49" i="19"/>
  <c r="F50" i="19"/>
  <c r="F51" i="19" s="1"/>
  <c r="F41" i="19" s="1"/>
  <c r="N50" i="19"/>
  <c r="N51" i="19" s="1"/>
  <c r="N41" i="19" s="1"/>
  <c r="E49" i="19"/>
  <c r="E50" i="19" s="1"/>
  <c r="E51" i="19" s="1"/>
  <c r="E41" i="19" s="1"/>
  <c r="I49" i="19"/>
  <c r="M49" i="19"/>
  <c r="M50" i="19" s="1"/>
  <c r="M51" i="19" s="1"/>
  <c r="M41" i="19" s="1"/>
  <c r="I19" i="19"/>
  <c r="F144" i="1"/>
  <c r="F19" i="19"/>
  <c r="J19" i="19"/>
  <c r="N19" i="19"/>
  <c r="M19" i="19"/>
  <c r="O30" i="19"/>
  <c r="E19" i="19"/>
  <c r="G19" i="19"/>
  <c r="O12" i="19"/>
  <c r="O24" i="19"/>
  <c r="C19" i="19"/>
  <c r="K19" i="19"/>
  <c r="O10" i="19"/>
  <c r="D19" i="19"/>
  <c r="H19" i="19"/>
  <c r="L19" i="19"/>
  <c r="J50" i="19" l="1"/>
  <c r="J52" i="19" s="1"/>
  <c r="J40" i="19" s="1"/>
  <c r="I50" i="19"/>
  <c r="I51" i="19" s="1"/>
  <c r="I41" i="19" s="1"/>
  <c r="N52" i="19"/>
  <c r="N40" i="19" s="1"/>
  <c r="N42" i="19" s="1"/>
  <c r="C50" i="19"/>
  <c r="C51" i="19" s="1"/>
  <c r="C41" i="19" s="1"/>
  <c r="F52" i="19"/>
  <c r="F40" i="19" s="1"/>
  <c r="F42" i="19" s="1"/>
  <c r="F44" i="19" s="1"/>
  <c r="J51" i="19"/>
  <c r="K50" i="19"/>
  <c r="K52" i="19" s="1"/>
  <c r="K40" i="19" s="1"/>
  <c r="K51" i="19"/>
  <c r="K41" i="19" s="1"/>
  <c r="H52" i="19"/>
  <c r="H40" i="19" s="1"/>
  <c r="H42" i="19" s="1"/>
  <c r="H44" i="19" s="1"/>
  <c r="O49" i="19"/>
  <c r="M52" i="19"/>
  <c r="M40" i="19" s="1"/>
  <c r="M42" i="19" s="1"/>
  <c r="M44" i="19" s="1"/>
  <c r="G50" i="19"/>
  <c r="G51" i="19" s="1"/>
  <c r="G41" i="19" s="1"/>
  <c r="D52" i="19"/>
  <c r="D40" i="19" s="1"/>
  <c r="D42" i="19" s="1"/>
  <c r="D45" i="19" s="1"/>
  <c r="I52" i="19"/>
  <c r="I40" i="19" s="1"/>
  <c r="I42" i="19" s="1"/>
  <c r="E52" i="19"/>
  <c r="E40" i="19" s="1"/>
  <c r="E42" i="19" s="1"/>
  <c r="E44" i="19" s="1"/>
  <c r="L52" i="19"/>
  <c r="L40" i="19" s="1"/>
  <c r="L42" i="19" s="1"/>
  <c r="L44" i="19" s="1"/>
  <c r="O48" i="19"/>
  <c r="I38" i="19"/>
  <c r="N38" i="19"/>
  <c r="M38" i="19"/>
  <c r="G38" i="19"/>
  <c r="E38" i="19"/>
  <c r="J38" i="19"/>
  <c r="L38" i="19"/>
  <c r="F38" i="19"/>
  <c r="H38" i="19"/>
  <c r="D38" i="19"/>
  <c r="O36" i="19"/>
  <c r="K38" i="19"/>
  <c r="C38" i="19"/>
  <c r="O19" i="19"/>
  <c r="J41" i="19" l="1"/>
  <c r="J42" i="19" s="1"/>
  <c r="C52" i="19"/>
  <c r="C40" i="19" s="1"/>
  <c r="C42" i="19" s="1"/>
  <c r="O41" i="19"/>
  <c r="K42" i="19"/>
  <c r="K44" i="19" s="1"/>
  <c r="O50" i="19"/>
  <c r="O51" i="19" s="1"/>
  <c r="G52" i="19"/>
  <c r="G40" i="19" s="1"/>
  <c r="G42" i="19" s="1"/>
  <c r="G43" i="19" s="1"/>
  <c r="O52" i="19"/>
  <c r="N43" i="19"/>
  <c r="H45" i="19"/>
  <c r="H43" i="19"/>
  <c r="D43" i="19"/>
  <c r="L45" i="19"/>
  <c r="L43" i="19"/>
  <c r="D44" i="19"/>
  <c r="O38" i="19"/>
  <c r="O54" i="19" s="1"/>
  <c r="O56" i="19" s="1"/>
  <c r="I43" i="19"/>
  <c r="I45" i="19"/>
  <c r="N45" i="19"/>
  <c r="E43" i="19"/>
  <c r="E45" i="19"/>
  <c r="N44" i="19"/>
  <c r="M43" i="19"/>
  <c r="M45" i="19"/>
  <c r="I44" i="19"/>
  <c r="F43" i="19"/>
  <c r="F45" i="19"/>
  <c r="J44" i="19" l="1"/>
  <c r="J43" i="19"/>
  <c r="J45" i="19"/>
  <c r="K45" i="19"/>
  <c r="C43" i="19"/>
  <c r="C45" i="19"/>
  <c r="O42" i="19"/>
  <c r="O45" i="19" s="1"/>
  <c r="I483" i="1" s="1"/>
  <c r="C44" i="19"/>
  <c r="K43" i="19"/>
  <c r="G45" i="19"/>
  <c r="O40" i="19"/>
  <c r="G44" i="19"/>
  <c r="O44" i="19" l="1"/>
  <c r="H483" i="1" s="1"/>
  <c r="O43" i="19"/>
  <c r="O84" i="15"/>
  <c r="N114" i="15" l="1"/>
  <c r="M114" i="15"/>
  <c r="L114" i="15"/>
  <c r="K114" i="15"/>
  <c r="J114" i="15"/>
  <c r="I114" i="15"/>
  <c r="H114" i="15"/>
  <c r="G114" i="15"/>
  <c r="F114" i="15"/>
  <c r="E114" i="15"/>
  <c r="D114" i="15"/>
  <c r="C114" i="15"/>
  <c r="N110" i="15"/>
  <c r="N116" i="15" s="1"/>
  <c r="M110" i="15"/>
  <c r="M116" i="15" s="1"/>
  <c r="L110" i="15"/>
  <c r="L116" i="15" s="1"/>
  <c r="K110" i="15"/>
  <c r="K116" i="15" s="1"/>
  <c r="J110" i="15"/>
  <c r="J116" i="15" s="1"/>
  <c r="I110" i="15"/>
  <c r="I116" i="15" s="1"/>
  <c r="H110" i="15"/>
  <c r="H116" i="15" s="1"/>
  <c r="G110" i="15"/>
  <c r="G116" i="15" s="1"/>
  <c r="F110" i="15"/>
  <c r="F116" i="15" s="1"/>
  <c r="E110" i="15"/>
  <c r="E116" i="15" s="1"/>
  <c r="D110" i="15"/>
  <c r="D116" i="15" s="1"/>
  <c r="C110" i="15"/>
  <c r="C116" i="15" s="1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N120" i="15"/>
  <c r="N126" i="15" s="1"/>
  <c r="M120" i="15"/>
  <c r="M126" i="15" s="1"/>
  <c r="L120" i="15"/>
  <c r="L126" i="15" s="1"/>
  <c r="K120" i="15"/>
  <c r="K126" i="15" s="1"/>
  <c r="J120" i="15"/>
  <c r="J126" i="15" s="1"/>
  <c r="I120" i="15"/>
  <c r="I126" i="15" s="1"/>
  <c r="H120" i="15"/>
  <c r="H126" i="15" s="1"/>
  <c r="G120" i="15"/>
  <c r="G126" i="15" s="1"/>
  <c r="F120" i="15"/>
  <c r="F126" i="15" s="1"/>
  <c r="E120" i="15"/>
  <c r="E126" i="15" s="1"/>
  <c r="D120" i="15"/>
  <c r="D126" i="15" s="1"/>
  <c r="C120" i="15"/>
  <c r="C126" i="15" s="1"/>
  <c r="E11" i="9" l="1"/>
  <c r="J19" i="18" l="1"/>
  <c r="I19" i="18"/>
  <c r="F19" i="18"/>
  <c r="H19" i="18" s="1"/>
  <c r="J18" i="18"/>
  <c r="I18" i="18"/>
  <c r="F18" i="18"/>
  <c r="H18" i="18" s="1"/>
  <c r="J17" i="18"/>
  <c r="I17" i="18"/>
  <c r="F17" i="18"/>
  <c r="H17" i="18" s="1"/>
  <c r="J16" i="18"/>
  <c r="I16" i="18"/>
  <c r="F16" i="18"/>
  <c r="H16" i="18" s="1"/>
  <c r="L115" i="18"/>
  <c r="M115" i="18" s="1"/>
  <c r="J115" i="18"/>
  <c r="I115" i="18"/>
  <c r="F115" i="18"/>
  <c r="H115" i="18" s="1"/>
  <c r="L104" i="18"/>
  <c r="M104" i="18" s="1"/>
  <c r="J104" i="18"/>
  <c r="I104" i="18"/>
  <c r="F104" i="18"/>
  <c r="H104" i="18" s="1"/>
  <c r="L103" i="18"/>
  <c r="M103" i="18" s="1"/>
  <c r="J103" i="18"/>
  <c r="I103" i="18"/>
  <c r="F103" i="18"/>
  <c r="H103" i="18" s="1"/>
  <c r="L102" i="18"/>
  <c r="M102" i="18" s="1"/>
  <c r="J102" i="18"/>
  <c r="I102" i="18"/>
  <c r="F102" i="18"/>
  <c r="H102" i="18" s="1"/>
  <c r="L101" i="18"/>
  <c r="M101" i="18" s="1"/>
  <c r="J101" i="18"/>
  <c r="I101" i="18"/>
  <c r="F101" i="18"/>
  <c r="H101" i="18" s="1"/>
  <c r="L100" i="18"/>
  <c r="M100" i="18" s="1"/>
  <c r="J100" i="18"/>
  <c r="I100" i="18"/>
  <c r="F100" i="18"/>
  <c r="H100" i="18" s="1"/>
  <c r="L99" i="18"/>
  <c r="M99" i="18" s="1"/>
  <c r="J99" i="18"/>
  <c r="I99" i="18"/>
  <c r="F99" i="18"/>
  <c r="H99" i="18" s="1"/>
  <c r="L98" i="18"/>
  <c r="M98" i="18" s="1"/>
  <c r="J98" i="18"/>
  <c r="I98" i="18"/>
  <c r="F98" i="18"/>
  <c r="H98" i="18" s="1"/>
  <c r="L97" i="18"/>
  <c r="M97" i="18" s="1"/>
  <c r="J97" i="18"/>
  <c r="I97" i="18"/>
  <c r="F97" i="18"/>
  <c r="H97" i="18" s="1"/>
  <c r="L96" i="18"/>
  <c r="M96" i="18" s="1"/>
  <c r="J96" i="18"/>
  <c r="I96" i="18"/>
  <c r="F96" i="18"/>
  <c r="H96" i="18" s="1"/>
  <c r="L95" i="18"/>
  <c r="M95" i="18" s="1"/>
  <c r="J95" i="18"/>
  <c r="I95" i="18"/>
  <c r="F95" i="18"/>
  <c r="H95" i="18" s="1"/>
  <c r="L94" i="18"/>
  <c r="M94" i="18" s="1"/>
  <c r="J94" i="18"/>
  <c r="I94" i="18"/>
  <c r="F94" i="18"/>
  <c r="H94" i="18" s="1"/>
  <c r="L93" i="18"/>
  <c r="M93" i="18" s="1"/>
  <c r="J93" i="18"/>
  <c r="I93" i="18"/>
  <c r="F93" i="18"/>
  <c r="H93" i="18" s="1"/>
  <c r="L92" i="18"/>
  <c r="M92" i="18" s="1"/>
  <c r="J92" i="18"/>
  <c r="I92" i="18"/>
  <c r="F92" i="18"/>
  <c r="H92" i="18" s="1"/>
  <c r="L91" i="18"/>
  <c r="M91" i="18" s="1"/>
  <c r="J91" i="18"/>
  <c r="I91" i="18"/>
  <c r="F91" i="18"/>
  <c r="H91" i="18" s="1"/>
  <c r="L90" i="18"/>
  <c r="M90" i="18" s="1"/>
  <c r="J90" i="18"/>
  <c r="I90" i="18"/>
  <c r="F90" i="18"/>
  <c r="H90" i="18" s="1"/>
  <c r="L89" i="18"/>
  <c r="M89" i="18" s="1"/>
  <c r="J89" i="18"/>
  <c r="I89" i="18"/>
  <c r="F89" i="18"/>
  <c r="H89" i="18" s="1"/>
  <c r="L88" i="18"/>
  <c r="M88" i="18" s="1"/>
  <c r="J88" i="18"/>
  <c r="I88" i="18"/>
  <c r="F88" i="18"/>
  <c r="H88" i="18" s="1"/>
  <c r="L87" i="18"/>
  <c r="M87" i="18" s="1"/>
  <c r="J87" i="18"/>
  <c r="I87" i="18"/>
  <c r="F87" i="18"/>
  <c r="H87" i="18" s="1"/>
  <c r="L86" i="18"/>
  <c r="M86" i="18" s="1"/>
  <c r="J86" i="18"/>
  <c r="I86" i="18"/>
  <c r="F86" i="18"/>
  <c r="H86" i="18" s="1"/>
  <c r="L85" i="18"/>
  <c r="M85" i="18" s="1"/>
  <c r="J85" i="18"/>
  <c r="I85" i="18"/>
  <c r="F85" i="18"/>
  <c r="H85" i="18" s="1"/>
  <c r="L84" i="18"/>
  <c r="M84" i="18" s="1"/>
  <c r="J84" i="18"/>
  <c r="I84" i="18"/>
  <c r="F84" i="18"/>
  <c r="H84" i="18" s="1"/>
  <c r="L83" i="18"/>
  <c r="M83" i="18" s="1"/>
  <c r="J83" i="18"/>
  <c r="I83" i="18"/>
  <c r="F83" i="18"/>
  <c r="H83" i="18" s="1"/>
  <c r="L82" i="18"/>
  <c r="M82" i="18" s="1"/>
  <c r="J82" i="18"/>
  <c r="I82" i="18"/>
  <c r="F82" i="18"/>
  <c r="H82" i="18" s="1"/>
  <c r="L81" i="18"/>
  <c r="M81" i="18" s="1"/>
  <c r="J81" i="18"/>
  <c r="I81" i="18"/>
  <c r="F81" i="18"/>
  <c r="H81" i="18" s="1"/>
  <c r="L80" i="18"/>
  <c r="M80" i="18" s="1"/>
  <c r="J80" i="18"/>
  <c r="I80" i="18"/>
  <c r="F80" i="18"/>
  <c r="H80" i="18" s="1"/>
  <c r="L79" i="18"/>
  <c r="M79" i="18" s="1"/>
  <c r="J79" i="18"/>
  <c r="I79" i="18"/>
  <c r="F79" i="18"/>
  <c r="H79" i="18" s="1"/>
  <c r="L78" i="18"/>
  <c r="M78" i="18" s="1"/>
  <c r="J78" i="18"/>
  <c r="I78" i="18"/>
  <c r="F78" i="18"/>
  <c r="H78" i="18" s="1"/>
  <c r="L77" i="18"/>
  <c r="M77" i="18" s="1"/>
  <c r="J77" i="18"/>
  <c r="I77" i="18"/>
  <c r="F77" i="18"/>
  <c r="H77" i="18" s="1"/>
  <c r="L76" i="18"/>
  <c r="M76" i="18" s="1"/>
  <c r="J76" i="18"/>
  <c r="I76" i="18"/>
  <c r="F76" i="18"/>
  <c r="H76" i="18" s="1"/>
  <c r="L75" i="18"/>
  <c r="M75" i="18" s="1"/>
  <c r="J75" i="18"/>
  <c r="I75" i="18"/>
  <c r="F75" i="18"/>
  <c r="H75" i="18" s="1"/>
  <c r="L74" i="18"/>
  <c r="M74" i="18" s="1"/>
  <c r="J74" i="18"/>
  <c r="I74" i="18"/>
  <c r="F74" i="18"/>
  <c r="H74" i="18" s="1"/>
  <c r="J46" i="18"/>
  <c r="I46" i="18"/>
  <c r="F46" i="18"/>
  <c r="H46" i="18" s="1"/>
  <c r="J47" i="18"/>
  <c r="I47" i="18"/>
  <c r="F47" i="18"/>
  <c r="H47" i="18" s="1"/>
  <c r="A1" i="18" l="1"/>
  <c r="A1" i="9"/>
  <c r="A1" i="8"/>
  <c r="A1" i="17"/>
  <c r="J12" i="18" l="1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J8" i="18"/>
  <c r="I8" i="18"/>
  <c r="F8" i="18"/>
  <c r="H8" i="18" s="1"/>
  <c r="J13" i="18"/>
  <c r="I13" i="18"/>
  <c r="F13" i="18"/>
  <c r="H13" i="18" s="1"/>
  <c r="AA487" i="2" l="1"/>
  <c r="AB487" i="2"/>
  <c r="AC487" i="2"/>
  <c r="AD487" i="2"/>
  <c r="AE487" i="2"/>
  <c r="AF487" i="2"/>
  <c r="N50" i="15" l="1"/>
  <c r="N56" i="15" s="1"/>
  <c r="M50" i="15"/>
  <c r="M56" i="15" s="1"/>
  <c r="L50" i="15"/>
  <c r="L56" i="15" s="1"/>
  <c r="K50" i="15"/>
  <c r="K56" i="15" s="1"/>
  <c r="J50" i="15"/>
  <c r="J56" i="15" s="1"/>
  <c r="I50" i="15"/>
  <c r="I56" i="15" s="1"/>
  <c r="H50" i="15"/>
  <c r="H56" i="15" s="1"/>
  <c r="G50" i="15"/>
  <c r="G56" i="15" s="1"/>
  <c r="F50" i="15"/>
  <c r="F56" i="15" s="1"/>
  <c r="E50" i="15"/>
  <c r="E56" i="15" s="1"/>
  <c r="D50" i="15"/>
  <c r="D56" i="15" s="1"/>
  <c r="C50" i="15"/>
  <c r="C56" i="15" s="1"/>
  <c r="F52" i="15" l="1"/>
  <c r="F54" i="15" s="1"/>
  <c r="J52" i="15"/>
  <c r="J54" i="15" s="1"/>
  <c r="N52" i="15"/>
  <c r="N54" i="15" s="1"/>
  <c r="C52" i="15"/>
  <c r="C54" i="15" s="1"/>
  <c r="G52" i="15"/>
  <c r="G54" i="15" s="1"/>
  <c r="K52" i="15"/>
  <c r="K54" i="15" s="1"/>
  <c r="D52" i="15"/>
  <c r="D54" i="15" s="1"/>
  <c r="H52" i="15"/>
  <c r="H54" i="15" s="1"/>
  <c r="L52" i="15"/>
  <c r="L54" i="15" s="1"/>
  <c r="E52" i="15"/>
  <c r="E54" i="15" s="1"/>
  <c r="I52" i="15"/>
  <c r="I54" i="15" s="1"/>
  <c r="M52" i="15"/>
  <c r="M54" i="15" s="1"/>
  <c r="H142" i="18" l="1"/>
  <c r="H141" i="18"/>
  <c r="H140" i="18"/>
  <c r="E116" i="18"/>
  <c r="J45" i="18" l="1"/>
  <c r="I45" i="18"/>
  <c r="F45" i="18"/>
  <c r="H45" i="18" s="1"/>
  <c r="J15" i="18"/>
  <c r="I15" i="18"/>
  <c r="F15" i="18"/>
  <c r="H15" i="18" s="1"/>
  <c r="J14" i="18"/>
  <c r="I14" i="18"/>
  <c r="F14" i="18"/>
  <c r="H14" i="18" s="1"/>
  <c r="C10" i="17" l="1"/>
  <c r="C11" i="17"/>
  <c r="C12" i="17"/>
  <c r="C13" i="17"/>
  <c r="C9" i="17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C33" i="4"/>
  <c r="B33" i="4"/>
  <c r="B10" i="17" l="1"/>
  <c r="B11" i="17"/>
  <c r="B12" i="17"/>
  <c r="B13" i="17"/>
  <c r="B9" i="17"/>
  <c r="O128" i="15" l="1"/>
  <c r="C17" i="15" s="1"/>
  <c r="O108" i="15"/>
  <c r="C15" i="15" s="1"/>
  <c r="O118" i="15"/>
  <c r="C16" i="15" s="1"/>
  <c r="D16" i="9" l="1"/>
  <c r="F16" i="9" s="1"/>
  <c r="D15" i="9"/>
  <c r="F15" i="9" s="1"/>
  <c r="D14" i="9"/>
  <c r="F14" i="9" s="1"/>
  <c r="D13" i="9"/>
  <c r="F13" i="9" s="1"/>
  <c r="C12" i="9"/>
  <c r="C13" i="9"/>
  <c r="C14" i="9"/>
  <c r="C15" i="9"/>
  <c r="C16" i="9"/>
  <c r="B12" i="9"/>
  <c r="B13" i="9"/>
  <c r="B14" i="9"/>
  <c r="B15" i="9"/>
  <c r="B16" i="9"/>
  <c r="D16" i="8"/>
  <c r="F16" i="8" s="1"/>
  <c r="D15" i="8"/>
  <c r="F15" i="8" s="1"/>
  <c r="D14" i="8"/>
  <c r="F14" i="8" s="1"/>
  <c r="D13" i="8"/>
  <c r="F13" i="8" s="1"/>
  <c r="C12" i="8"/>
  <c r="C13" i="8"/>
  <c r="C14" i="8"/>
  <c r="C15" i="8"/>
  <c r="C16" i="8"/>
  <c r="B12" i="8"/>
  <c r="B13" i="8"/>
  <c r="B14" i="8"/>
  <c r="B15" i="8"/>
  <c r="B16" i="8"/>
  <c r="P2" i="2"/>
  <c r="O2" i="2"/>
  <c r="N2" i="2"/>
  <c r="M2" i="2"/>
  <c r="L2" i="2"/>
  <c r="P3" i="2"/>
  <c r="F73" i="18" l="1"/>
  <c r="L73" i="18"/>
  <c r="H73" i="18" l="1"/>
  <c r="I73" i="18"/>
  <c r="J73" i="18"/>
  <c r="M73" i="18"/>
  <c r="L23" i="15" l="1"/>
  <c r="L22" i="15"/>
  <c r="L21" i="15"/>
  <c r="L20" i="15"/>
  <c r="L19" i="15"/>
  <c r="L18" i="15"/>
  <c r="D116" i="18"/>
  <c r="D131" i="18" s="1"/>
  <c r="E48" i="18"/>
  <c r="D58" i="18" s="1"/>
  <c r="D48" i="18"/>
  <c r="D63" i="18" s="1"/>
  <c r="E20" i="18"/>
  <c r="D30" i="18" s="1"/>
  <c r="D20" i="18"/>
  <c r="D35" i="18" s="1"/>
  <c r="N190" i="15"/>
  <c r="N196" i="15" s="1"/>
  <c r="M190" i="15"/>
  <c r="M196" i="15" s="1"/>
  <c r="L190" i="15"/>
  <c r="L196" i="15" s="1"/>
  <c r="K190" i="15"/>
  <c r="K196" i="15" s="1"/>
  <c r="J190" i="15"/>
  <c r="J196" i="15" s="1"/>
  <c r="I190" i="15"/>
  <c r="I196" i="15" s="1"/>
  <c r="H190" i="15"/>
  <c r="H196" i="15" s="1"/>
  <c r="G190" i="15"/>
  <c r="G196" i="15" s="1"/>
  <c r="F190" i="15"/>
  <c r="F196" i="15" s="1"/>
  <c r="E190" i="15"/>
  <c r="E196" i="15" s="1"/>
  <c r="D190" i="15"/>
  <c r="D196" i="15" s="1"/>
  <c r="C190" i="15"/>
  <c r="C196" i="15" s="1"/>
  <c r="N180" i="15"/>
  <c r="N186" i="15" s="1"/>
  <c r="M180" i="15"/>
  <c r="M186" i="15" s="1"/>
  <c r="L180" i="15"/>
  <c r="L186" i="15" s="1"/>
  <c r="K180" i="15"/>
  <c r="K186" i="15" s="1"/>
  <c r="J180" i="15"/>
  <c r="J186" i="15" s="1"/>
  <c r="I180" i="15"/>
  <c r="I186" i="15" s="1"/>
  <c r="H180" i="15"/>
  <c r="H186" i="15" s="1"/>
  <c r="G180" i="15"/>
  <c r="G186" i="15" s="1"/>
  <c r="F180" i="15"/>
  <c r="F186" i="15" s="1"/>
  <c r="E180" i="15"/>
  <c r="E186" i="15" s="1"/>
  <c r="D180" i="15"/>
  <c r="D186" i="15" s="1"/>
  <c r="C180" i="15"/>
  <c r="C186" i="15" s="1"/>
  <c r="N170" i="15"/>
  <c r="N176" i="15" s="1"/>
  <c r="M170" i="15"/>
  <c r="M176" i="15" s="1"/>
  <c r="L170" i="15"/>
  <c r="L176" i="15" s="1"/>
  <c r="K170" i="15"/>
  <c r="K176" i="15" s="1"/>
  <c r="J170" i="15"/>
  <c r="J176" i="15" s="1"/>
  <c r="I170" i="15"/>
  <c r="I176" i="15" s="1"/>
  <c r="H170" i="15"/>
  <c r="H176" i="15" s="1"/>
  <c r="G170" i="15"/>
  <c r="G176" i="15" s="1"/>
  <c r="F170" i="15"/>
  <c r="F176" i="15" s="1"/>
  <c r="E170" i="15"/>
  <c r="E176" i="15" s="1"/>
  <c r="D170" i="15"/>
  <c r="D176" i="15" s="1"/>
  <c r="C170" i="15"/>
  <c r="C176" i="15" s="1"/>
  <c r="N160" i="15"/>
  <c r="N166" i="15" s="1"/>
  <c r="M160" i="15"/>
  <c r="M166" i="15" s="1"/>
  <c r="L160" i="15"/>
  <c r="L166" i="15" s="1"/>
  <c r="K160" i="15"/>
  <c r="K166" i="15" s="1"/>
  <c r="J160" i="15"/>
  <c r="J166" i="15" s="1"/>
  <c r="I160" i="15"/>
  <c r="I166" i="15" s="1"/>
  <c r="H160" i="15"/>
  <c r="H166" i="15" s="1"/>
  <c r="G160" i="15"/>
  <c r="G166" i="15" s="1"/>
  <c r="F160" i="15"/>
  <c r="F166" i="15" s="1"/>
  <c r="E160" i="15"/>
  <c r="E166" i="15" s="1"/>
  <c r="D160" i="15"/>
  <c r="D166" i="15" s="1"/>
  <c r="C160" i="15"/>
  <c r="C166" i="15" s="1"/>
  <c r="N150" i="15"/>
  <c r="N156" i="15" s="1"/>
  <c r="M150" i="15"/>
  <c r="M156" i="15" s="1"/>
  <c r="L150" i="15"/>
  <c r="L156" i="15" s="1"/>
  <c r="K150" i="15"/>
  <c r="K156" i="15" s="1"/>
  <c r="J150" i="15"/>
  <c r="J156" i="15" s="1"/>
  <c r="I150" i="15"/>
  <c r="I156" i="15" s="1"/>
  <c r="H150" i="15"/>
  <c r="H156" i="15" s="1"/>
  <c r="G150" i="15"/>
  <c r="G156" i="15" s="1"/>
  <c r="F150" i="15"/>
  <c r="F156" i="15" s="1"/>
  <c r="E150" i="15"/>
  <c r="E156" i="15" s="1"/>
  <c r="D150" i="15"/>
  <c r="D156" i="15" s="1"/>
  <c r="C150" i="15"/>
  <c r="C156" i="15" s="1"/>
  <c r="N140" i="15"/>
  <c r="N146" i="15" s="1"/>
  <c r="M140" i="15"/>
  <c r="M146" i="15" s="1"/>
  <c r="L140" i="15"/>
  <c r="L146" i="15" s="1"/>
  <c r="K140" i="15"/>
  <c r="K146" i="15" s="1"/>
  <c r="J140" i="15"/>
  <c r="J146" i="15" s="1"/>
  <c r="I140" i="15"/>
  <c r="I146" i="15"/>
  <c r="H140" i="15"/>
  <c r="H146" i="15" s="1"/>
  <c r="G140" i="15"/>
  <c r="G146" i="15" s="1"/>
  <c r="F140" i="15"/>
  <c r="F146" i="15" s="1"/>
  <c r="E140" i="15"/>
  <c r="E146" i="15" s="1"/>
  <c r="D140" i="15"/>
  <c r="D146" i="15" s="1"/>
  <c r="C140" i="15"/>
  <c r="C146" i="15" s="1"/>
  <c r="N130" i="15"/>
  <c r="N136" i="15" s="1"/>
  <c r="M130" i="15"/>
  <c r="M136" i="15" s="1"/>
  <c r="L130" i="15"/>
  <c r="L136" i="15" s="1"/>
  <c r="K130" i="15"/>
  <c r="K136" i="15" s="1"/>
  <c r="J130" i="15"/>
  <c r="J136" i="15" s="1"/>
  <c r="I130" i="15"/>
  <c r="I136" i="15" s="1"/>
  <c r="H130" i="15"/>
  <c r="H136" i="15" s="1"/>
  <c r="G130" i="15"/>
  <c r="G136" i="15" s="1"/>
  <c r="F130" i="15"/>
  <c r="F136" i="15" s="1"/>
  <c r="E130" i="15"/>
  <c r="E136" i="15" s="1"/>
  <c r="D130" i="15"/>
  <c r="D136" i="15" s="1"/>
  <c r="C130" i="15"/>
  <c r="C136" i="15" s="1"/>
  <c r="M198" i="15"/>
  <c r="K198" i="15"/>
  <c r="I198" i="15"/>
  <c r="E198" i="15"/>
  <c r="I40" i="15"/>
  <c r="I46" i="15" s="1"/>
  <c r="H40" i="15"/>
  <c r="H46" i="15" s="1"/>
  <c r="D40" i="15"/>
  <c r="D46" i="15" s="1"/>
  <c r="O88" i="15"/>
  <c r="C13" i="15" s="1"/>
  <c r="M13" i="15" s="1"/>
  <c r="O78" i="15"/>
  <c r="C12" i="15" s="1"/>
  <c r="M12" i="15" s="1"/>
  <c r="O98" i="15"/>
  <c r="C14" i="15" s="1"/>
  <c r="O68" i="15"/>
  <c r="C11" i="15" s="1"/>
  <c r="O58" i="15"/>
  <c r="C10" i="15" s="1"/>
  <c r="D8" i="9" s="1"/>
  <c r="F8" i="9" s="1"/>
  <c r="O48" i="15"/>
  <c r="C9" i="15" s="1"/>
  <c r="D7" i="9" s="1"/>
  <c r="F7" i="9" s="1"/>
  <c r="O38" i="15"/>
  <c r="C8" i="15" s="1"/>
  <c r="D6" i="9" s="1"/>
  <c r="F6" i="9" s="1"/>
  <c r="C40" i="15"/>
  <c r="C46" i="15" s="1"/>
  <c r="C11" i="8"/>
  <c r="B11" i="8"/>
  <c r="C10" i="8"/>
  <c r="B10" i="8"/>
  <c r="C9" i="8"/>
  <c r="B9" i="8"/>
  <c r="C8" i="8"/>
  <c r="B8" i="8"/>
  <c r="C7" i="8"/>
  <c r="B7" i="8"/>
  <c r="C6" i="8"/>
  <c r="B6" i="8"/>
  <c r="B7" i="9"/>
  <c r="C7" i="9"/>
  <c r="B8" i="9"/>
  <c r="C8" i="9"/>
  <c r="B9" i="9"/>
  <c r="C9" i="9"/>
  <c r="B10" i="9"/>
  <c r="C10" i="9"/>
  <c r="B11" i="9"/>
  <c r="C11" i="9"/>
  <c r="C6" i="9"/>
  <c r="B6" i="9"/>
  <c r="A32" i="15"/>
  <c r="O109" i="15"/>
  <c r="O110" i="15" s="1"/>
  <c r="Y258" i="1"/>
  <c r="W258" i="1"/>
  <c r="U258" i="1"/>
  <c r="S258" i="1"/>
  <c r="R258" i="1"/>
  <c r="P258" i="1"/>
  <c r="O258" i="1"/>
  <c r="M258" i="1"/>
  <c r="K258" i="1"/>
  <c r="I258" i="1"/>
  <c r="H258" i="1"/>
  <c r="O59" i="15"/>
  <c r="D10" i="15" s="1"/>
  <c r="B8" i="15"/>
  <c r="B38" i="15" s="1"/>
  <c r="B9" i="15"/>
  <c r="B48" i="15" s="1"/>
  <c r="B10" i="15"/>
  <c r="B58" i="15" s="1"/>
  <c r="B11" i="15"/>
  <c r="B68" i="15" s="1"/>
  <c r="B12" i="15"/>
  <c r="B78" i="15" s="1"/>
  <c r="B13" i="15"/>
  <c r="B88" i="15" s="1"/>
  <c r="B14" i="15"/>
  <c r="B98" i="15" s="1"/>
  <c r="B15" i="15"/>
  <c r="B108" i="15" s="1"/>
  <c r="B16" i="15"/>
  <c r="B118" i="15" s="1"/>
  <c r="B17" i="15"/>
  <c r="B128" i="15" s="1"/>
  <c r="B18" i="15"/>
  <c r="B138" i="15" s="1"/>
  <c r="B19" i="15"/>
  <c r="B148" i="15" s="1"/>
  <c r="B20" i="15"/>
  <c r="B158" i="15" s="1"/>
  <c r="B21" i="15"/>
  <c r="B168" i="15" s="1"/>
  <c r="B22" i="15"/>
  <c r="B178" i="15" s="1"/>
  <c r="B23" i="15"/>
  <c r="B188" i="15" s="1"/>
  <c r="A23" i="15"/>
  <c r="A188" i="15" s="1"/>
  <c r="A22" i="15"/>
  <c r="A178" i="15" s="1"/>
  <c r="A21" i="15"/>
  <c r="A168" i="15" s="1"/>
  <c r="A20" i="15"/>
  <c r="A158" i="15" s="1"/>
  <c r="A19" i="15"/>
  <c r="A148" i="15" s="1"/>
  <c r="A18" i="15"/>
  <c r="A138" i="15" s="1"/>
  <c r="A17" i="15"/>
  <c r="A16" i="15"/>
  <c r="A15" i="15"/>
  <c r="A14" i="15"/>
  <c r="A13" i="15"/>
  <c r="L13" i="15" s="1"/>
  <c r="A12" i="15"/>
  <c r="L12" i="15" s="1"/>
  <c r="A11" i="15"/>
  <c r="L11" i="15" s="1"/>
  <c r="A10" i="15"/>
  <c r="L10" i="15" s="1"/>
  <c r="A9" i="15"/>
  <c r="L9" i="15" s="1"/>
  <c r="A8" i="15"/>
  <c r="L8" i="15" s="1"/>
  <c r="O3" i="2"/>
  <c r="N3" i="2"/>
  <c r="M3" i="2"/>
  <c r="L3" i="2"/>
  <c r="K3" i="2"/>
  <c r="J3" i="2"/>
  <c r="I3" i="2"/>
  <c r="H3" i="2"/>
  <c r="G3" i="2"/>
  <c r="F3" i="2"/>
  <c r="K2" i="2"/>
  <c r="J2" i="2"/>
  <c r="I2" i="2"/>
  <c r="H2" i="2"/>
  <c r="G2" i="2"/>
  <c r="F2" i="2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Q182" i="15"/>
  <c r="H22" i="15" s="1"/>
  <c r="T435" i="2" s="1"/>
  <c r="O182" i="15"/>
  <c r="O179" i="15"/>
  <c r="O180" i="15" s="1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Q172" i="15"/>
  <c r="H21" i="15" s="1"/>
  <c r="S435" i="2" s="1"/>
  <c r="O172" i="15"/>
  <c r="O169" i="15"/>
  <c r="O170" i="15" s="1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Q162" i="15"/>
  <c r="H20" i="15" s="1"/>
  <c r="R435" i="2" s="1"/>
  <c r="O162" i="15"/>
  <c r="O159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Q152" i="15"/>
  <c r="H19" i="15" s="1"/>
  <c r="Q435" i="2" s="1"/>
  <c r="O152" i="15"/>
  <c r="O149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Q142" i="15"/>
  <c r="H18" i="15" s="1"/>
  <c r="P435" i="2" s="1"/>
  <c r="O142" i="15"/>
  <c r="O139" i="15"/>
  <c r="O140" i="15" s="1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Q132" i="15"/>
  <c r="H17" i="15" s="1"/>
  <c r="O435" i="2" s="1"/>
  <c r="O132" i="15"/>
  <c r="O129" i="15"/>
  <c r="D17" i="15" s="1"/>
  <c r="O119" i="15"/>
  <c r="N6" i="15"/>
  <c r="P6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M6" i="15"/>
  <c r="M15" i="15"/>
  <c r="M16" i="15"/>
  <c r="M17" i="15"/>
  <c r="M18" i="15"/>
  <c r="M19" i="15"/>
  <c r="M20" i="15"/>
  <c r="M21" i="15"/>
  <c r="M22" i="15"/>
  <c r="M23" i="15"/>
  <c r="M5" i="15"/>
  <c r="E382" i="2"/>
  <c r="AF613" i="2"/>
  <c r="AE613" i="2"/>
  <c r="AD613" i="2"/>
  <c r="AC613" i="2"/>
  <c r="AB613" i="2"/>
  <c r="AA613" i="2"/>
  <c r="Z613" i="2"/>
  <c r="Y613" i="2"/>
  <c r="X613" i="2"/>
  <c r="W613" i="2"/>
  <c r="V613" i="2"/>
  <c r="U613" i="2"/>
  <c r="T613" i="2"/>
  <c r="S613" i="2"/>
  <c r="AF587" i="2"/>
  <c r="AE587" i="2"/>
  <c r="AD587" i="2"/>
  <c r="AC587" i="2"/>
  <c r="AB587" i="2"/>
  <c r="AA587" i="2"/>
  <c r="Z587" i="2"/>
  <c r="Y587" i="2"/>
  <c r="X587" i="2"/>
  <c r="W587" i="2"/>
  <c r="V587" i="2"/>
  <c r="U587" i="2"/>
  <c r="T587" i="2"/>
  <c r="S587" i="2"/>
  <c r="Q287" i="1"/>
  <c r="S647" i="2"/>
  <c r="S637" i="2"/>
  <c r="S635" i="2"/>
  <c r="Y416" i="2"/>
  <c r="X416" i="2"/>
  <c r="W416" i="2"/>
  <c r="V416" i="2"/>
  <c r="P428" i="2"/>
  <c r="Z415" i="2"/>
  <c r="U424" i="2"/>
  <c r="U425" i="2" s="1"/>
  <c r="U427" i="2" s="1"/>
  <c r="T424" i="2"/>
  <c r="T425" i="2" s="1"/>
  <c r="S424" i="2"/>
  <c r="S425" i="2" s="1"/>
  <c r="S427" i="2" s="1"/>
  <c r="R424" i="2"/>
  <c r="R429" i="2" s="1"/>
  <c r="Q424" i="2"/>
  <c r="Q429" i="2" s="1"/>
  <c r="P424" i="2"/>
  <c r="P425" i="2" s="1"/>
  <c r="P426" i="2" s="1"/>
  <c r="P430" i="2" s="1"/>
  <c r="O424" i="2"/>
  <c r="O425" i="2" s="1"/>
  <c r="O427" i="2" s="1"/>
  <c r="O429" i="2" s="1"/>
  <c r="N424" i="2"/>
  <c r="N425" i="2" s="1"/>
  <c r="N427" i="2" s="1"/>
  <c r="N429" i="2" s="1"/>
  <c r="M424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D198" i="15"/>
  <c r="F198" i="15"/>
  <c r="H198" i="15"/>
  <c r="J198" i="15"/>
  <c r="L198" i="15"/>
  <c r="N198" i="15"/>
  <c r="O200" i="15"/>
  <c r="V423" i="2"/>
  <c r="V401" i="2" s="1"/>
  <c r="W423" i="2"/>
  <c r="W401" i="2" s="1"/>
  <c r="X423" i="2"/>
  <c r="X401" i="2" s="1"/>
  <c r="Y423" i="2"/>
  <c r="Y401" i="2" s="1"/>
  <c r="Z423" i="2"/>
  <c r="Z401" i="2" s="1"/>
  <c r="AA423" i="2"/>
  <c r="AA401" i="2" s="1"/>
  <c r="AB423" i="2"/>
  <c r="AB401" i="2" s="1"/>
  <c r="AC423" i="2"/>
  <c r="AC401" i="2" s="1"/>
  <c r="AD423" i="2"/>
  <c r="AD401" i="2" s="1"/>
  <c r="AE423" i="2"/>
  <c r="AE401" i="2" s="1"/>
  <c r="AF423" i="2"/>
  <c r="AF401" i="2" s="1"/>
  <c r="V414" i="2"/>
  <c r="W414" i="2"/>
  <c r="X414" i="2"/>
  <c r="Y414" i="2"/>
  <c r="Z414" i="2"/>
  <c r="AA414" i="2"/>
  <c r="AB414" i="2"/>
  <c r="AC414" i="2"/>
  <c r="AD414" i="2"/>
  <c r="AE414" i="2"/>
  <c r="AF414" i="2"/>
  <c r="V407" i="2"/>
  <c r="V408" i="2" s="1"/>
  <c r="W407" i="2"/>
  <c r="W408" i="2" s="1"/>
  <c r="X407" i="2"/>
  <c r="X408" i="2" s="1"/>
  <c r="Y407" i="2"/>
  <c r="Y408" i="2" s="1"/>
  <c r="Z407" i="2"/>
  <c r="Z408" i="2" s="1"/>
  <c r="AA407" i="2"/>
  <c r="AA408" i="2" s="1"/>
  <c r="AB407" i="2"/>
  <c r="AB408" i="2" s="1"/>
  <c r="AC407" i="2"/>
  <c r="AC408" i="2" s="1"/>
  <c r="AD407" i="2"/>
  <c r="AD408" i="2" s="1"/>
  <c r="AE407" i="2"/>
  <c r="AE408" i="2" s="1"/>
  <c r="AF407" i="2"/>
  <c r="AF408" i="2" s="1"/>
  <c r="V447" i="2"/>
  <c r="V468" i="2" s="1"/>
  <c r="V475" i="2" s="1"/>
  <c r="V454" i="2"/>
  <c r="V461" i="2" s="1"/>
  <c r="V487" i="2"/>
  <c r="V494" i="2"/>
  <c r="V560" i="2"/>
  <c r="V562" i="2"/>
  <c r="V571" i="2"/>
  <c r="V576" i="2"/>
  <c r="V596" i="2"/>
  <c r="V622" i="2" s="1"/>
  <c r="V601" i="2"/>
  <c r="V627" i="2" s="1"/>
  <c r="Q328" i="1"/>
  <c r="Q330" i="1" s="1"/>
  <c r="F356" i="1"/>
  <c r="F358" i="1" s="1"/>
  <c r="F347" i="1"/>
  <c r="AA354" i="1"/>
  <c r="Y354" i="1"/>
  <c r="W354" i="1"/>
  <c r="U354" i="1"/>
  <c r="S354" i="1"/>
  <c r="R354" i="1"/>
  <c r="P354" i="1"/>
  <c r="O354" i="1"/>
  <c r="M354" i="1"/>
  <c r="K354" i="1"/>
  <c r="I354" i="1"/>
  <c r="H354" i="1"/>
  <c r="AA353" i="1"/>
  <c r="Y353" i="1"/>
  <c r="W353" i="1"/>
  <c r="U353" i="1"/>
  <c r="S353" i="1"/>
  <c r="R353" i="1"/>
  <c r="P353" i="1"/>
  <c r="O353" i="1"/>
  <c r="M353" i="1"/>
  <c r="K353" i="1"/>
  <c r="I353" i="1"/>
  <c r="H353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5" i="1"/>
  <c r="Y345" i="1"/>
  <c r="W345" i="1"/>
  <c r="U345" i="1"/>
  <c r="S345" i="1"/>
  <c r="R345" i="1"/>
  <c r="P345" i="1"/>
  <c r="O345" i="1"/>
  <c r="M345" i="1"/>
  <c r="K345" i="1"/>
  <c r="I345" i="1"/>
  <c r="H345" i="1"/>
  <c r="AA344" i="1"/>
  <c r="Y344" i="1"/>
  <c r="W344" i="1"/>
  <c r="U344" i="1"/>
  <c r="S344" i="1"/>
  <c r="R344" i="1"/>
  <c r="P344" i="1"/>
  <c r="O344" i="1"/>
  <c r="M344" i="1"/>
  <c r="K344" i="1"/>
  <c r="I344" i="1"/>
  <c r="H344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177" i="1"/>
  <c r="Y177" i="1"/>
  <c r="W177" i="1"/>
  <c r="U177" i="1"/>
  <c r="S177" i="1"/>
  <c r="R177" i="1"/>
  <c r="P177" i="1"/>
  <c r="O177" i="1"/>
  <c r="M177" i="1"/>
  <c r="K177" i="1"/>
  <c r="AB489" i="1"/>
  <c r="AC489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K162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85" i="2"/>
  <c r="AE611" i="2" s="1"/>
  <c r="AE586" i="2"/>
  <c r="AE612" i="2" s="1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F449" i="2"/>
  <c r="E449" i="2"/>
  <c r="F420" i="2"/>
  <c r="N194" i="15"/>
  <c r="M194" i="15"/>
  <c r="K194" i="15"/>
  <c r="G194" i="15"/>
  <c r="F194" i="15"/>
  <c r="E194" i="15"/>
  <c r="C194" i="15"/>
  <c r="O189" i="15"/>
  <c r="O190" i="15" s="1"/>
  <c r="O99" i="15"/>
  <c r="O100" i="15" s="1"/>
  <c r="O69" i="15"/>
  <c r="O70" i="15" s="1"/>
  <c r="O49" i="15"/>
  <c r="O50" i="15" s="1"/>
  <c r="N40" i="15"/>
  <c r="N46" i="15" s="1"/>
  <c r="M40" i="15"/>
  <c r="M42" i="15" s="1"/>
  <c r="M44" i="15" s="1"/>
  <c r="L40" i="15"/>
  <c r="L42" i="15" s="1"/>
  <c r="L44" i="15" s="1"/>
  <c r="K40" i="15"/>
  <c r="K42" i="15" s="1"/>
  <c r="K44" i="15" s="1"/>
  <c r="J40" i="15"/>
  <c r="J42" i="15" s="1"/>
  <c r="J44" i="15" s="1"/>
  <c r="G40" i="15"/>
  <c r="G46" i="15" s="1"/>
  <c r="F40" i="15"/>
  <c r="F42" i="15" s="1"/>
  <c r="E40" i="15"/>
  <c r="E46" i="15" s="1"/>
  <c r="O39" i="15"/>
  <c r="D8" i="15" s="1"/>
  <c r="F421" i="2" s="1"/>
  <c r="E25" i="15"/>
  <c r="M40" i="1"/>
  <c r="L54" i="1"/>
  <c r="L56" i="1" s="1"/>
  <c r="L58" i="1" s="1"/>
  <c r="F394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56" i="2"/>
  <c r="AG456" i="2" s="1"/>
  <c r="AH456" i="2" s="1"/>
  <c r="N8" i="10"/>
  <c r="O8" i="10"/>
  <c r="F8" i="10"/>
  <c r="K7" i="10"/>
  <c r="K8" i="10" s="1"/>
  <c r="L7" i="10"/>
  <c r="L8" i="10" s="1"/>
  <c r="R7" i="10"/>
  <c r="R8" i="10"/>
  <c r="Q7" i="10"/>
  <c r="Q8" i="10" s="1"/>
  <c r="M7" i="10"/>
  <c r="M8" i="10"/>
  <c r="J7" i="10"/>
  <c r="J8" i="10" s="1"/>
  <c r="I7" i="10"/>
  <c r="I8" i="10" s="1"/>
  <c r="H7" i="10"/>
  <c r="H8" i="10" s="1"/>
  <c r="G7" i="10"/>
  <c r="G8" i="10" s="1"/>
  <c r="S6" i="10"/>
  <c r="T6" i="10" s="1"/>
  <c r="AG489" i="2"/>
  <c r="AH489" i="2" s="1"/>
  <c r="K175" i="1"/>
  <c r="M175" i="1"/>
  <c r="O175" i="1"/>
  <c r="P175" i="1"/>
  <c r="R175" i="1"/>
  <c r="S175" i="1"/>
  <c r="U175" i="1"/>
  <c r="W175" i="1"/>
  <c r="Y175" i="1"/>
  <c r="AA175" i="1"/>
  <c r="AA434" i="1"/>
  <c r="W434" i="1"/>
  <c r="U434" i="1"/>
  <c r="S434" i="1"/>
  <c r="R434" i="1"/>
  <c r="P434" i="1"/>
  <c r="O434" i="1"/>
  <c r="M434" i="1"/>
  <c r="K434" i="1"/>
  <c r="I434" i="1"/>
  <c r="H434" i="1"/>
  <c r="Y434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54" i="2"/>
  <c r="AD484" i="2" s="1"/>
  <c r="AC454" i="2"/>
  <c r="AC484" i="2" s="1"/>
  <c r="AA454" i="2"/>
  <c r="AA461" i="2" s="1"/>
  <c r="Z425" i="2"/>
  <c r="Z426" i="2" s="1"/>
  <c r="AB425" i="2"/>
  <c r="AB427" i="2" s="1"/>
  <c r="AD425" i="2"/>
  <c r="AD427" i="2" s="1"/>
  <c r="AA425" i="2"/>
  <c r="AA427" i="2" s="1"/>
  <c r="AC425" i="2"/>
  <c r="AC427" i="2" s="1"/>
  <c r="AE425" i="2"/>
  <c r="AE426" i="2" s="1"/>
  <c r="AF425" i="2"/>
  <c r="AF427" i="2" s="1"/>
  <c r="AE447" i="2"/>
  <c r="AE468" i="2" s="1"/>
  <c r="AF447" i="2"/>
  <c r="AF468" i="2" s="1"/>
  <c r="AF475" i="2" s="1"/>
  <c r="AG442" i="2"/>
  <c r="AH442" i="2" s="1"/>
  <c r="AE454" i="2"/>
  <c r="AE484" i="2" s="1"/>
  <c r="AF454" i="2"/>
  <c r="AF484" i="2" s="1"/>
  <c r="E461" i="2"/>
  <c r="AD463" i="2"/>
  <c r="AG463" i="2" s="1"/>
  <c r="AH463" i="2" s="1"/>
  <c r="AG470" i="2"/>
  <c r="AH470" i="2" s="1"/>
  <c r="AE475" i="2"/>
  <c r="AG477" i="2"/>
  <c r="AH477" i="2" s="1"/>
  <c r="E484" i="2"/>
  <c r="AF494" i="2"/>
  <c r="AF622" i="2"/>
  <c r="AF627" i="2"/>
  <c r="AE628" i="2"/>
  <c r="Z454" i="2"/>
  <c r="Z484" i="2" s="1"/>
  <c r="AB447" i="2"/>
  <c r="AB468" i="2" s="1"/>
  <c r="AB475" i="2" s="1"/>
  <c r="K28" i="1"/>
  <c r="K29" i="1"/>
  <c r="K30" i="1"/>
  <c r="K31" i="1"/>
  <c r="K32" i="1"/>
  <c r="K33" i="1"/>
  <c r="M41" i="1"/>
  <c r="M295" i="1" s="1"/>
  <c r="M42" i="1"/>
  <c r="M402" i="1" s="1"/>
  <c r="M43" i="1"/>
  <c r="M44" i="1"/>
  <c r="M403" i="1" s="1"/>
  <c r="M45" i="1"/>
  <c r="M299" i="1" s="1"/>
  <c r="M46" i="1"/>
  <c r="M47" i="1"/>
  <c r="M301" i="1" s="1"/>
  <c r="M166" i="1"/>
  <c r="M48" i="1"/>
  <c r="M390" i="1" s="1"/>
  <c r="M49" i="1"/>
  <c r="M50" i="1"/>
  <c r="M51" i="1"/>
  <c r="M52" i="1"/>
  <c r="M305" i="1" s="1"/>
  <c r="O40" i="1"/>
  <c r="O41" i="1"/>
  <c r="O109" i="1" s="1"/>
  <c r="O42" i="1"/>
  <c r="O402" i="1" s="1"/>
  <c r="O48" i="1"/>
  <c r="O390" i="1" s="1"/>
  <c r="O49" i="1"/>
  <c r="O117" i="1" s="1"/>
  <c r="O50" i="1"/>
  <c r="O118" i="1" s="1"/>
  <c r="O154" i="1"/>
  <c r="O51" i="1"/>
  <c r="O52" i="1"/>
  <c r="O225" i="1" s="1"/>
  <c r="U27" i="1"/>
  <c r="U28" i="1"/>
  <c r="U29" i="1"/>
  <c r="U30" i="1"/>
  <c r="U31" i="1"/>
  <c r="U32" i="1"/>
  <c r="U33" i="1"/>
  <c r="U40" i="1"/>
  <c r="U41" i="1"/>
  <c r="U42" i="1"/>
  <c r="U203" i="1" s="1"/>
  <c r="U43" i="1"/>
  <c r="U44" i="1"/>
  <c r="U205" i="1" s="1"/>
  <c r="U45" i="1"/>
  <c r="U113" i="1" s="1"/>
  <c r="U46" i="1"/>
  <c r="U300" i="1" s="1"/>
  <c r="U47" i="1"/>
  <c r="U224" i="1" s="1"/>
  <c r="U48" i="1"/>
  <c r="U49" i="1"/>
  <c r="U226" i="1" s="1"/>
  <c r="U50" i="1"/>
  <c r="U207" i="1" s="1"/>
  <c r="U51" i="1"/>
  <c r="U52" i="1"/>
  <c r="U406" i="1" s="1"/>
  <c r="S27" i="1"/>
  <c r="S28" i="1"/>
  <c r="S29" i="1"/>
  <c r="S30" i="1"/>
  <c r="S31" i="1"/>
  <c r="S32" i="1"/>
  <c r="S33" i="1"/>
  <c r="S40" i="1"/>
  <c r="S41" i="1"/>
  <c r="S109" i="1" s="1"/>
  <c r="S42" i="1"/>
  <c r="S383" i="1" s="1"/>
  <c r="S43" i="1"/>
  <c r="S44" i="1"/>
  <c r="S45" i="1"/>
  <c r="S299" i="1" s="1"/>
  <c r="S46" i="1"/>
  <c r="S404" i="1" s="1"/>
  <c r="S47" i="1"/>
  <c r="S405" i="1" s="1"/>
  <c r="S48" i="1"/>
  <c r="S210" i="1" s="1"/>
  <c r="S49" i="1"/>
  <c r="S117" i="1" s="1"/>
  <c r="S50" i="1"/>
  <c r="S207" i="1" s="1"/>
  <c r="S51" i="1"/>
  <c r="S52" i="1"/>
  <c r="S225" i="1" s="1"/>
  <c r="R27" i="1"/>
  <c r="R28" i="1"/>
  <c r="R29" i="1"/>
  <c r="R30" i="1"/>
  <c r="R31" i="1"/>
  <c r="R32" i="1"/>
  <c r="R33" i="1"/>
  <c r="R40" i="1"/>
  <c r="R41" i="1"/>
  <c r="R42" i="1"/>
  <c r="R204" i="1" s="1"/>
  <c r="R43" i="1"/>
  <c r="R297" i="1" s="1"/>
  <c r="R44" i="1"/>
  <c r="R112" i="1" s="1"/>
  <c r="R45" i="1"/>
  <c r="R299" i="1" s="1"/>
  <c r="R46" i="1"/>
  <c r="R404" i="1" s="1"/>
  <c r="R47" i="1"/>
  <c r="R224" i="1" s="1"/>
  <c r="R48" i="1"/>
  <c r="R116" i="1" s="1"/>
  <c r="R49" i="1"/>
  <c r="R303" i="1" s="1"/>
  <c r="R50" i="1"/>
  <c r="R387" i="1" s="1"/>
  <c r="R51" i="1"/>
  <c r="R52" i="1"/>
  <c r="R30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3" i="1" s="1"/>
  <c r="Y43" i="1"/>
  <c r="Y111" i="1" s="1"/>
  <c r="Y44" i="1"/>
  <c r="Y385" i="1" s="1"/>
  <c r="Y45" i="1"/>
  <c r="Y299" i="1" s="1"/>
  <c r="Y46" i="1"/>
  <c r="Y386" i="1" s="1"/>
  <c r="Y47" i="1"/>
  <c r="Y48" i="1"/>
  <c r="Y49" i="1"/>
  <c r="Y303" i="1" s="1"/>
  <c r="Y50" i="1"/>
  <c r="Y387" i="1" s="1"/>
  <c r="Y52" i="1"/>
  <c r="Y40" i="1"/>
  <c r="Y51" i="1"/>
  <c r="AA27" i="1"/>
  <c r="AA28" i="1"/>
  <c r="AA29" i="1"/>
  <c r="AA30" i="1"/>
  <c r="AA31" i="1"/>
  <c r="AA32" i="1"/>
  <c r="AA33" i="1"/>
  <c r="AA40" i="1"/>
  <c r="AA41" i="1"/>
  <c r="AA42" i="1"/>
  <c r="AA204" i="1" s="1"/>
  <c r="AA43" i="1"/>
  <c r="AA111" i="1" s="1"/>
  <c r="AA44" i="1"/>
  <c r="AA298" i="1" s="1"/>
  <c r="AA45" i="1"/>
  <c r="AA299" i="1" s="1"/>
  <c r="AA46" i="1"/>
  <c r="AA206" i="1" s="1"/>
  <c r="AA47" i="1"/>
  <c r="AA224" i="1" s="1"/>
  <c r="AA48" i="1"/>
  <c r="AA390" i="1" s="1"/>
  <c r="AA157" i="1"/>
  <c r="AA49" i="1"/>
  <c r="AA407" i="1" s="1"/>
  <c r="AA50" i="1"/>
  <c r="AA154" i="1"/>
  <c r="AA51" i="1"/>
  <c r="AA52" i="1"/>
  <c r="AA305" i="1" s="1"/>
  <c r="P27" i="1"/>
  <c r="P28" i="1"/>
  <c r="P29" i="1"/>
  <c r="P30" i="1"/>
  <c r="P31" i="1"/>
  <c r="P32" i="1"/>
  <c r="P33" i="1"/>
  <c r="P40" i="1"/>
  <c r="P41" i="1"/>
  <c r="P109" i="1" s="1"/>
  <c r="P42" i="1"/>
  <c r="P221" i="1" s="1"/>
  <c r="P48" i="1"/>
  <c r="P302" i="1" s="1"/>
  <c r="P49" i="1"/>
  <c r="P303" i="1" s="1"/>
  <c r="P50" i="1"/>
  <c r="P118" i="1" s="1"/>
  <c r="P51" i="1"/>
  <c r="P52" i="1"/>
  <c r="P406" i="1" s="1"/>
  <c r="W27" i="1"/>
  <c r="W28" i="1"/>
  <c r="W29" i="1"/>
  <c r="W30" i="1"/>
  <c r="W31" i="1"/>
  <c r="W32" i="1"/>
  <c r="W33" i="1"/>
  <c r="W41" i="1"/>
  <c r="W42" i="1"/>
  <c r="W203" i="1" s="1"/>
  <c r="W43" i="1"/>
  <c r="W297" i="1" s="1"/>
  <c r="W44" i="1"/>
  <c r="W385" i="1" s="1"/>
  <c r="W45" i="1"/>
  <c r="W299" i="1" s="1"/>
  <c r="W46" i="1"/>
  <c r="W223" i="1" s="1"/>
  <c r="W47" i="1"/>
  <c r="W115" i="1" s="1"/>
  <c r="W48" i="1"/>
  <c r="W210" i="1" s="1"/>
  <c r="W49" i="1"/>
  <c r="W407" i="1" s="1"/>
  <c r="W50" i="1"/>
  <c r="W387" i="1" s="1"/>
  <c r="W52" i="1"/>
  <c r="W119" i="1" s="1"/>
  <c r="W40" i="1"/>
  <c r="W51" i="1"/>
  <c r="O27" i="1"/>
  <c r="O28" i="1"/>
  <c r="O29" i="1"/>
  <c r="O30" i="1"/>
  <c r="O31" i="1"/>
  <c r="O32" i="1"/>
  <c r="O33" i="1"/>
  <c r="Y389" i="1"/>
  <c r="Y364" i="1"/>
  <c r="Y365" i="1"/>
  <c r="Y419" i="1"/>
  <c r="Y420" i="1"/>
  <c r="Y421" i="1"/>
  <c r="Y422" i="1"/>
  <c r="Y423" i="1"/>
  <c r="Y428" i="1"/>
  <c r="Y429" i="1"/>
  <c r="Y430" i="1"/>
  <c r="Y431" i="1"/>
  <c r="Y432" i="1"/>
  <c r="Y433" i="1"/>
  <c r="Y435" i="1"/>
  <c r="Y436" i="1"/>
  <c r="Y437" i="1"/>
  <c r="Y438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10" i="1"/>
  <c r="F379" i="1"/>
  <c r="F425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9" i="1"/>
  <c r="W419" i="1"/>
  <c r="W420" i="1"/>
  <c r="W421" i="1"/>
  <c r="W422" i="1"/>
  <c r="W423" i="1"/>
  <c r="W428" i="1"/>
  <c r="W429" i="1"/>
  <c r="W430" i="1"/>
  <c r="W431" i="1"/>
  <c r="W432" i="1"/>
  <c r="W433" i="1"/>
  <c r="W435" i="1"/>
  <c r="W436" i="1"/>
  <c r="W437" i="1"/>
  <c r="W438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9" i="1"/>
  <c r="U419" i="1"/>
  <c r="U420" i="1"/>
  <c r="U421" i="1"/>
  <c r="U422" i="1"/>
  <c r="U423" i="1"/>
  <c r="U428" i="1"/>
  <c r="U429" i="1"/>
  <c r="U430" i="1"/>
  <c r="U431" i="1"/>
  <c r="U432" i="1"/>
  <c r="U433" i="1"/>
  <c r="U435" i="1"/>
  <c r="U436" i="1"/>
  <c r="U437" i="1"/>
  <c r="U438" i="1"/>
  <c r="U364" i="1"/>
  <c r="U365" i="1"/>
  <c r="R389" i="1"/>
  <c r="R364" i="1"/>
  <c r="R365" i="1"/>
  <c r="R419" i="1"/>
  <c r="R420" i="1"/>
  <c r="R421" i="1"/>
  <c r="R422" i="1"/>
  <c r="R423" i="1"/>
  <c r="R428" i="1"/>
  <c r="R429" i="1"/>
  <c r="R430" i="1"/>
  <c r="R431" i="1"/>
  <c r="R432" i="1"/>
  <c r="R433" i="1"/>
  <c r="R435" i="1"/>
  <c r="R436" i="1"/>
  <c r="R437" i="1"/>
  <c r="R438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4" i="1"/>
  <c r="W365" i="1"/>
  <c r="K202" i="1"/>
  <c r="K42" i="1"/>
  <c r="K402" i="1" s="1"/>
  <c r="K44" i="1"/>
  <c r="K222" i="1" s="1"/>
  <c r="K46" i="1"/>
  <c r="K223" i="1" s="1"/>
  <c r="K50" i="1"/>
  <c r="K304" i="1" s="1"/>
  <c r="K49" i="1"/>
  <c r="K209" i="1"/>
  <c r="K48" i="1"/>
  <c r="K302" i="1" s="1"/>
  <c r="K211" i="1"/>
  <c r="K212" i="1"/>
  <c r="K213" i="1"/>
  <c r="K220" i="1"/>
  <c r="K47" i="1"/>
  <c r="K405" i="1" s="1"/>
  <c r="K52" i="1"/>
  <c r="K406" i="1" s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2" i="1"/>
  <c r="K389" i="1"/>
  <c r="K391" i="1"/>
  <c r="K392" i="1"/>
  <c r="K401" i="1"/>
  <c r="K408" i="1"/>
  <c r="K419" i="1"/>
  <c r="K420" i="1"/>
  <c r="K421" i="1"/>
  <c r="K422" i="1"/>
  <c r="K423" i="1"/>
  <c r="K428" i="1"/>
  <c r="K429" i="1"/>
  <c r="K430" i="1"/>
  <c r="K431" i="1"/>
  <c r="K432" i="1"/>
  <c r="K433" i="1"/>
  <c r="K435" i="1"/>
  <c r="K436" i="1"/>
  <c r="K437" i="1"/>
  <c r="K438" i="1"/>
  <c r="K78" i="1"/>
  <c r="K41" i="1"/>
  <c r="K43" i="1"/>
  <c r="K297" i="1" s="1"/>
  <c r="K45" i="1"/>
  <c r="K108" i="1"/>
  <c r="S389" i="1"/>
  <c r="S364" i="1"/>
  <c r="S365" i="1"/>
  <c r="S419" i="1"/>
  <c r="S420" i="1"/>
  <c r="S421" i="1"/>
  <c r="S422" i="1"/>
  <c r="S423" i="1"/>
  <c r="S428" i="1"/>
  <c r="S429" i="1"/>
  <c r="S430" i="1"/>
  <c r="S431" i="1"/>
  <c r="S432" i="1"/>
  <c r="S433" i="1"/>
  <c r="S435" i="1"/>
  <c r="S436" i="1"/>
  <c r="S437" i="1"/>
  <c r="S438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9" i="1"/>
  <c r="AA419" i="1"/>
  <c r="AA420" i="1"/>
  <c r="AA421" i="1"/>
  <c r="AA422" i="1"/>
  <c r="AA423" i="1"/>
  <c r="AA428" i="1"/>
  <c r="AA429" i="1"/>
  <c r="AA430" i="1"/>
  <c r="AA431" i="1"/>
  <c r="AA432" i="1"/>
  <c r="AA433" i="1"/>
  <c r="AA435" i="1"/>
  <c r="AA436" i="1"/>
  <c r="AA437" i="1"/>
  <c r="AA438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9" i="1"/>
  <c r="P419" i="1"/>
  <c r="P420" i="1"/>
  <c r="P421" i="1"/>
  <c r="P422" i="1"/>
  <c r="P423" i="1"/>
  <c r="P428" i="1"/>
  <c r="P429" i="1"/>
  <c r="P430" i="1"/>
  <c r="P431" i="1"/>
  <c r="P432" i="1"/>
  <c r="P433" i="1"/>
  <c r="P435" i="1"/>
  <c r="P436" i="1"/>
  <c r="P437" i="1"/>
  <c r="P438" i="1"/>
  <c r="I40" i="1"/>
  <c r="I41" i="1"/>
  <c r="I295" i="1" s="1"/>
  <c r="I42" i="1"/>
  <c r="I402" i="1" s="1"/>
  <c r="I43" i="1"/>
  <c r="I111" i="1" s="1"/>
  <c r="I44" i="1"/>
  <c r="I403" i="1" s="1"/>
  <c r="I45" i="1"/>
  <c r="I113" i="1" s="1"/>
  <c r="I46" i="1"/>
  <c r="I404" i="1" s="1"/>
  <c r="I47" i="1"/>
  <c r="I48" i="1"/>
  <c r="I302" i="1" s="1"/>
  <c r="I157" i="1"/>
  <c r="I49" i="1"/>
  <c r="I50" i="1"/>
  <c r="I118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9" i="1"/>
  <c r="I419" i="1"/>
  <c r="I420" i="1"/>
  <c r="I421" i="1"/>
  <c r="I422" i="1"/>
  <c r="I423" i="1"/>
  <c r="I428" i="1"/>
  <c r="I429" i="1"/>
  <c r="I430" i="1"/>
  <c r="I431" i="1"/>
  <c r="I432" i="1"/>
  <c r="I433" i="1"/>
  <c r="I435" i="1"/>
  <c r="I436" i="1"/>
  <c r="I437" i="1"/>
  <c r="I438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9" i="1"/>
  <c r="M419" i="1"/>
  <c r="M420" i="1"/>
  <c r="M421" i="1"/>
  <c r="M422" i="1"/>
  <c r="M423" i="1"/>
  <c r="M428" i="1"/>
  <c r="M429" i="1"/>
  <c r="M430" i="1"/>
  <c r="M431" i="1"/>
  <c r="M432" i="1"/>
  <c r="M433" i="1"/>
  <c r="M435" i="1"/>
  <c r="M436" i="1"/>
  <c r="M437" i="1"/>
  <c r="M438" i="1"/>
  <c r="AA364" i="1"/>
  <c r="AA365" i="1"/>
  <c r="M364" i="1"/>
  <c r="M365" i="1"/>
  <c r="S178" i="1"/>
  <c r="P364" i="1"/>
  <c r="P365" i="1"/>
  <c r="O389" i="1"/>
  <c r="O364" i="1"/>
  <c r="O365" i="1"/>
  <c r="O419" i="1"/>
  <c r="O420" i="1"/>
  <c r="O421" i="1"/>
  <c r="O422" i="1"/>
  <c r="O423" i="1"/>
  <c r="O428" i="1"/>
  <c r="O429" i="1"/>
  <c r="O430" i="1"/>
  <c r="O431" i="1"/>
  <c r="O432" i="1"/>
  <c r="O433" i="1"/>
  <c r="O435" i="1"/>
  <c r="O436" i="1"/>
  <c r="O437" i="1"/>
  <c r="O438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109" i="1" s="1"/>
  <c r="H42" i="1"/>
  <c r="H383" i="1" s="1"/>
  <c r="H43" i="1"/>
  <c r="H111" i="1" s="1"/>
  <c r="H44" i="1"/>
  <c r="H205" i="1" s="1"/>
  <c r="H45" i="1"/>
  <c r="H299" i="1" s="1"/>
  <c r="H46" i="1"/>
  <c r="H114" i="1" s="1"/>
  <c r="H47" i="1"/>
  <c r="H405" i="1" s="1"/>
  <c r="H48" i="1"/>
  <c r="H390" i="1" s="1"/>
  <c r="H49" i="1"/>
  <c r="H303" i="1" s="1"/>
  <c r="H50" i="1"/>
  <c r="H118" i="1" s="1"/>
  <c r="H51" i="1"/>
  <c r="H52" i="1"/>
  <c r="H225" i="1" s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1" i="1"/>
  <c r="H252" i="1"/>
  <c r="H253" i="1"/>
  <c r="H254" i="1"/>
  <c r="H256" i="1"/>
  <c r="H257" i="1"/>
  <c r="H259" i="1"/>
  <c r="H260" i="1"/>
  <c r="H389" i="1"/>
  <c r="H419" i="1"/>
  <c r="H420" i="1"/>
  <c r="H421" i="1"/>
  <c r="H422" i="1"/>
  <c r="H423" i="1"/>
  <c r="H428" i="1"/>
  <c r="H429" i="1"/>
  <c r="H430" i="1"/>
  <c r="H431" i="1"/>
  <c r="H432" i="1"/>
  <c r="H433" i="1"/>
  <c r="H435" i="1"/>
  <c r="H436" i="1"/>
  <c r="H437" i="1"/>
  <c r="H438" i="1"/>
  <c r="K40" i="1"/>
  <c r="K51" i="1"/>
  <c r="F367" i="1"/>
  <c r="F461" i="1"/>
  <c r="F312" i="1"/>
  <c r="T330" i="1"/>
  <c r="V330" i="1"/>
  <c r="X330" i="1"/>
  <c r="Z330" i="1"/>
  <c r="AB469" i="1"/>
  <c r="AC469" i="1" s="1"/>
  <c r="AB474" i="1"/>
  <c r="AC474" i="1" s="1"/>
  <c r="AB475" i="1"/>
  <c r="AC475" i="1"/>
  <c r="AB476" i="1"/>
  <c r="AC476" i="1" s="1"/>
  <c r="AB477" i="1"/>
  <c r="AC477" i="1" s="1"/>
  <c r="AB478" i="1"/>
  <c r="AC478" i="1" s="1"/>
  <c r="AB479" i="1"/>
  <c r="AC479" i="1" s="1"/>
  <c r="AB480" i="1"/>
  <c r="AC480" i="1" s="1"/>
  <c r="AB485" i="1"/>
  <c r="AC485" i="1"/>
  <c r="AB486" i="1"/>
  <c r="AC486" i="1" s="1"/>
  <c r="AB487" i="1"/>
  <c r="AC487" i="1" s="1"/>
  <c r="AB488" i="1"/>
  <c r="AC488" i="1" s="1"/>
  <c r="AA447" i="2"/>
  <c r="AA468" i="2" s="1"/>
  <c r="AA475" i="2" s="1"/>
  <c r="F440" i="1"/>
  <c r="Z447" i="2"/>
  <c r="Z468" i="2" s="1"/>
  <c r="Z475" i="2" s="1"/>
  <c r="AB454" i="2"/>
  <c r="AB461" i="2" s="1"/>
  <c r="AC447" i="2"/>
  <c r="AC468" i="2" s="1"/>
  <c r="AC475" i="2" s="1"/>
  <c r="AD447" i="2"/>
  <c r="AD468" i="2" s="1"/>
  <c r="AD475" i="2" s="1"/>
  <c r="K365" i="1"/>
  <c r="K364" i="1"/>
  <c r="K178" i="1"/>
  <c r="Z494" i="2"/>
  <c r="Z487" i="2"/>
  <c r="X494" i="2"/>
  <c r="Y494" i="2"/>
  <c r="W494" i="2"/>
  <c r="Y454" i="2"/>
  <c r="Y484" i="2" s="1"/>
  <c r="Y447" i="2"/>
  <c r="Y468" i="2" s="1"/>
  <c r="Y475" i="2" s="1"/>
  <c r="W454" i="2"/>
  <c r="W461" i="2" s="1"/>
  <c r="X454" i="2"/>
  <c r="Y487" i="2"/>
  <c r="AG496" i="2"/>
  <c r="AH496" i="2" s="1"/>
  <c r="X487" i="2"/>
  <c r="W487" i="2"/>
  <c r="X447" i="2"/>
  <c r="X468" i="2" s="1"/>
  <c r="X475" i="2" s="1"/>
  <c r="W447" i="2"/>
  <c r="W468" i="2" s="1"/>
  <c r="W475" i="2" s="1"/>
  <c r="P7" i="10"/>
  <c r="P8" i="10"/>
  <c r="AF601" i="2"/>
  <c r="AF576" i="2"/>
  <c r="AF572" i="2"/>
  <c r="AE562" i="2"/>
  <c r="Z562" i="2"/>
  <c r="AA562" i="2"/>
  <c r="U562" i="2"/>
  <c r="Y562" i="2"/>
  <c r="AD562" i="2"/>
  <c r="T562" i="2"/>
  <c r="AB562" i="2"/>
  <c r="AC562" i="2"/>
  <c r="AF562" i="2"/>
  <c r="AF586" i="2"/>
  <c r="AF612" i="2" s="1"/>
  <c r="X562" i="2"/>
  <c r="W562" i="2"/>
  <c r="U571" i="2"/>
  <c r="U596" i="2"/>
  <c r="U622" i="2" s="1"/>
  <c r="W571" i="2"/>
  <c r="W596" i="2"/>
  <c r="W622" i="2" s="1"/>
  <c r="AB596" i="2"/>
  <c r="AB622" i="2" s="1"/>
  <c r="AB571" i="2"/>
  <c r="AD576" i="2"/>
  <c r="AD601" i="2"/>
  <c r="AD627" i="2" s="1"/>
  <c r="AA571" i="2"/>
  <c r="AA596" i="2"/>
  <c r="AA622" i="2" s="1"/>
  <c r="AC601" i="2"/>
  <c r="AC627" i="2" s="1"/>
  <c r="AC576" i="2"/>
  <c r="Y601" i="2"/>
  <c r="Y627" i="2" s="1"/>
  <c r="Y576" i="2"/>
  <c r="T601" i="2"/>
  <c r="T627" i="2" s="1"/>
  <c r="T576" i="2"/>
  <c r="X576" i="2"/>
  <c r="X601" i="2"/>
  <c r="X627" i="2" s="1"/>
  <c r="Z576" i="2"/>
  <c r="Z601" i="2"/>
  <c r="Z627" i="2" s="1"/>
  <c r="AE571" i="2"/>
  <c r="AE596" i="2"/>
  <c r="AE622" i="2" s="1"/>
  <c r="AF577" i="2"/>
  <c r="AA576" i="2"/>
  <c r="AA601" i="2"/>
  <c r="AA627" i="2" s="1"/>
  <c r="Y571" i="2"/>
  <c r="Y596" i="2"/>
  <c r="Y622" i="2" s="1"/>
  <c r="X596" i="2"/>
  <c r="X622" i="2" s="1"/>
  <c r="X571" i="2"/>
  <c r="Z596" i="2"/>
  <c r="Z622" i="2" s="1"/>
  <c r="Z571" i="2"/>
  <c r="AE601" i="2"/>
  <c r="AE627" i="2" s="1"/>
  <c r="AE629" i="2" s="1"/>
  <c r="AE576" i="2"/>
  <c r="AF596" i="2"/>
  <c r="AF571" i="2"/>
  <c r="AF573" i="2" s="1"/>
  <c r="AC596" i="2"/>
  <c r="AC622" i="2" s="1"/>
  <c r="AC571" i="2"/>
  <c r="U601" i="2"/>
  <c r="U627" i="2" s="1"/>
  <c r="U576" i="2"/>
  <c r="W576" i="2"/>
  <c r="W601" i="2"/>
  <c r="W627" i="2" s="1"/>
  <c r="AB601" i="2"/>
  <c r="AB627" i="2" s="1"/>
  <c r="AB576" i="2"/>
  <c r="AD571" i="2"/>
  <c r="AD596" i="2"/>
  <c r="AD622" i="2" s="1"/>
  <c r="T596" i="2"/>
  <c r="T622" i="2" s="1"/>
  <c r="T571" i="2"/>
  <c r="AD560" i="2"/>
  <c r="AC560" i="2"/>
  <c r="AF560" i="2"/>
  <c r="AF585" i="2"/>
  <c r="AF611" i="2" s="1"/>
  <c r="T560" i="2"/>
  <c r="U560" i="2"/>
  <c r="X560" i="2"/>
  <c r="AE560" i="2"/>
  <c r="AA560" i="2"/>
  <c r="W560" i="2"/>
  <c r="Y560" i="2"/>
  <c r="AB560" i="2"/>
  <c r="Z560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4" i="15"/>
  <c r="O79" i="15"/>
  <c r="I194" i="15"/>
  <c r="U408" i="2"/>
  <c r="U314" i="2" s="1"/>
  <c r="L194" i="15"/>
  <c r="D194" i="15"/>
  <c r="J194" i="15"/>
  <c r="O192" i="15"/>
  <c r="Q192" i="15"/>
  <c r="H23" i="15" s="1"/>
  <c r="U435" i="2" s="1"/>
  <c r="O66" i="15"/>
  <c r="F10" i="15" s="1"/>
  <c r="P66" i="15"/>
  <c r="G10" i="15" s="1"/>
  <c r="P76" i="15"/>
  <c r="G11" i="15" s="1"/>
  <c r="O76" i="15"/>
  <c r="F11" i="15" s="1"/>
  <c r="I436" i="2" s="1"/>
  <c r="I454" i="2" s="1"/>
  <c r="F12" i="15"/>
  <c r="J436" i="2" s="1"/>
  <c r="J454" i="2" s="1"/>
  <c r="P86" i="15"/>
  <c r="G12" i="15" s="1"/>
  <c r="S408" i="2"/>
  <c r="S314" i="2" s="1"/>
  <c r="T408" i="2"/>
  <c r="T314" i="2" s="1"/>
  <c r="P414" i="2"/>
  <c r="Q414" i="2"/>
  <c r="R414" i="2"/>
  <c r="K139" i="1"/>
  <c r="Y244" i="1"/>
  <c r="P407" i="2"/>
  <c r="P408" i="2" s="1"/>
  <c r="Q407" i="2"/>
  <c r="Q408" i="2" s="1"/>
  <c r="R407" i="2"/>
  <c r="R408" i="2" s="1"/>
  <c r="R314" i="2" s="1"/>
  <c r="K89" i="1"/>
  <c r="K137" i="1"/>
  <c r="K138" i="1"/>
  <c r="K105" i="1"/>
  <c r="AA258" i="1"/>
  <c r="AF415" i="2"/>
  <c r="V415" i="2"/>
  <c r="Q415" i="2"/>
  <c r="I415" i="2"/>
  <c r="AC415" i="2"/>
  <c r="J415" i="2"/>
  <c r="S415" i="2"/>
  <c r="X415" i="2"/>
  <c r="H415" i="2"/>
  <c r="G415" i="2"/>
  <c r="AA415" i="2"/>
  <c r="AE415" i="2"/>
  <c r="R415" i="2"/>
  <c r="Y415" i="2"/>
  <c r="AD415" i="2"/>
  <c r="W415" i="2"/>
  <c r="U415" i="2"/>
  <c r="T415" i="2"/>
  <c r="AB415" i="2"/>
  <c r="F415" i="2"/>
  <c r="P56" i="15"/>
  <c r="G9" i="15" s="1"/>
  <c r="O56" i="15"/>
  <c r="F9" i="15" s="1"/>
  <c r="G436" i="2" s="1"/>
  <c r="G454" i="2" s="1"/>
  <c r="AA426" i="2"/>
  <c r="P415" i="2"/>
  <c r="AB426" i="2"/>
  <c r="O89" i="15"/>
  <c r="D13" i="15" s="1"/>
  <c r="C198" i="15"/>
  <c r="G198" i="15"/>
  <c r="X484" i="2"/>
  <c r="X461" i="2"/>
  <c r="AD416" i="2"/>
  <c r="Z341" i="2" l="1"/>
  <c r="Z343" i="2"/>
  <c r="Z344" i="2"/>
  <c r="Y341" i="2"/>
  <c r="Y343" i="2"/>
  <c r="Y344" i="2"/>
  <c r="AE341" i="2"/>
  <c r="AE344" i="2"/>
  <c r="AE343" i="2"/>
  <c r="W341" i="2"/>
  <c r="W344" i="2"/>
  <c r="W343" i="2"/>
  <c r="X341" i="2"/>
  <c r="X343" i="2"/>
  <c r="X360" i="2" s="1"/>
  <c r="X344" i="2"/>
  <c r="AD341" i="2"/>
  <c r="AD344" i="2"/>
  <c r="AD343" i="2"/>
  <c r="V341" i="2"/>
  <c r="V344" i="2"/>
  <c r="V343" i="2"/>
  <c r="AC341" i="2"/>
  <c r="AC344" i="2"/>
  <c r="AC343" i="2"/>
  <c r="AC360" i="2" s="1"/>
  <c r="AF341" i="2"/>
  <c r="AF344" i="2"/>
  <c r="AF343" i="2"/>
  <c r="AB341" i="2"/>
  <c r="AB344" i="2"/>
  <c r="AB343" i="2"/>
  <c r="AB360" i="2" s="1"/>
  <c r="AA341" i="2"/>
  <c r="AA343" i="2"/>
  <c r="AA360" i="2" s="1"/>
  <c r="AA344" i="2"/>
  <c r="AB484" i="2"/>
  <c r="AA484" i="2"/>
  <c r="S8" i="10"/>
  <c r="T8" i="10" s="1"/>
  <c r="AA485" i="2"/>
  <c r="Y461" i="2"/>
  <c r="AD426" i="2"/>
  <c r="AG449" i="2"/>
  <c r="AH449" i="2" s="1"/>
  <c r="S7" i="10"/>
  <c r="T7" i="10" s="1"/>
  <c r="AE360" i="2"/>
  <c r="AD360" i="2"/>
  <c r="Z360" i="2"/>
  <c r="AC426" i="2"/>
  <c r="V484" i="2"/>
  <c r="W360" i="2"/>
  <c r="AF360" i="2"/>
  <c r="Y360" i="2"/>
  <c r="V360" i="2"/>
  <c r="D12" i="15"/>
  <c r="N12" i="15" s="1"/>
  <c r="O80" i="15"/>
  <c r="E420" i="2"/>
  <c r="X347" i="2" s="1"/>
  <c r="E29" i="15"/>
  <c r="E30" i="15" s="1"/>
  <c r="D18" i="15"/>
  <c r="D42" i="15"/>
  <c r="D44" i="15" s="1"/>
  <c r="H436" i="2"/>
  <c r="S174" i="15"/>
  <c r="J21" i="15" s="1"/>
  <c r="S433" i="2" s="1"/>
  <c r="Q17" i="15"/>
  <c r="Q15" i="15"/>
  <c r="Q16" i="15"/>
  <c r="Q18" i="15"/>
  <c r="D6" i="8"/>
  <c r="F6" i="8" s="1"/>
  <c r="M8" i="15"/>
  <c r="F424" i="2"/>
  <c r="F425" i="2" s="1"/>
  <c r="AA356" i="1"/>
  <c r="S356" i="1"/>
  <c r="I356" i="1"/>
  <c r="A128" i="15"/>
  <c r="L17" i="15"/>
  <c r="A118" i="15"/>
  <c r="L16" i="15"/>
  <c r="A98" i="15"/>
  <c r="L14" i="15"/>
  <c r="A108" i="15"/>
  <c r="L15" i="15"/>
  <c r="C42" i="15"/>
  <c r="C44" i="15" s="1"/>
  <c r="M46" i="15"/>
  <c r="O421" i="2"/>
  <c r="Q9" i="15"/>
  <c r="E313" i="2"/>
  <c r="E316" i="2" s="1"/>
  <c r="E338" i="2" s="1"/>
  <c r="J46" i="15"/>
  <c r="A78" i="15"/>
  <c r="A68" i="15"/>
  <c r="W484" i="2"/>
  <c r="W485" i="2" s="1"/>
  <c r="AE461" i="2"/>
  <c r="AC416" i="2"/>
  <c r="Z461" i="2"/>
  <c r="AA416" i="2"/>
  <c r="Z427" i="2"/>
  <c r="AD461" i="2"/>
  <c r="V485" i="2"/>
  <c r="X485" i="2"/>
  <c r="AF426" i="2"/>
  <c r="AD485" i="2"/>
  <c r="AC485" i="2"/>
  <c r="S426" i="2"/>
  <c r="S430" i="2" s="1"/>
  <c r="AE427" i="2"/>
  <c r="AC461" i="2"/>
  <c r="AB416" i="2"/>
  <c r="AF416" i="2"/>
  <c r="Y485" i="2"/>
  <c r="AE485" i="2"/>
  <c r="AF485" i="2"/>
  <c r="AF578" i="2"/>
  <c r="AB485" i="2"/>
  <c r="AF461" i="2"/>
  <c r="Q20" i="15"/>
  <c r="Q22" i="15"/>
  <c r="N17" i="15"/>
  <c r="D11" i="15"/>
  <c r="N11" i="15" s="1"/>
  <c r="O174" i="15"/>
  <c r="R174" i="15" s="1"/>
  <c r="I21" i="15" s="1"/>
  <c r="S434" i="2" s="1"/>
  <c r="S440" i="2" s="1"/>
  <c r="F46" i="15"/>
  <c r="U426" i="2"/>
  <c r="L46" i="15"/>
  <c r="D15" i="15"/>
  <c r="U429" i="2"/>
  <c r="U416" i="2" s="1"/>
  <c r="D9" i="15"/>
  <c r="N9" i="15" s="1"/>
  <c r="O40" i="15"/>
  <c r="O130" i="15"/>
  <c r="N42" i="15"/>
  <c r="N44" i="15" s="1"/>
  <c r="O164" i="15"/>
  <c r="R164" i="15" s="1"/>
  <c r="I20" i="15" s="1"/>
  <c r="R434" i="2" s="1"/>
  <c r="R487" i="2" s="1"/>
  <c r="S164" i="15"/>
  <c r="J20" i="15" s="1"/>
  <c r="R433" i="2" s="1"/>
  <c r="O60" i="15"/>
  <c r="O136" i="15"/>
  <c r="F17" i="15" s="1"/>
  <c r="P136" i="15"/>
  <c r="G17" i="15" s="1"/>
  <c r="N8" i="15"/>
  <c r="G424" i="2"/>
  <c r="G425" i="2" s="1"/>
  <c r="G429" i="2" s="1"/>
  <c r="O426" i="2"/>
  <c r="N426" i="2"/>
  <c r="G461" i="2"/>
  <c r="G484" i="2"/>
  <c r="G485" i="2" s="1"/>
  <c r="P146" i="15"/>
  <c r="G18" i="15" s="1"/>
  <c r="O134" i="15"/>
  <c r="R134" i="15" s="1"/>
  <c r="I42" i="15"/>
  <c r="I44" i="15" s="1"/>
  <c r="M9" i="15"/>
  <c r="K46" i="15"/>
  <c r="D23" i="15"/>
  <c r="N23" i="15" s="1"/>
  <c r="D22" i="15"/>
  <c r="O166" i="15"/>
  <c r="F20" i="15" s="1"/>
  <c r="O90" i="15"/>
  <c r="R425" i="2"/>
  <c r="R426" i="2" s="1"/>
  <c r="R430" i="2" s="1"/>
  <c r="S194" i="15"/>
  <c r="J23" i="15" s="1"/>
  <c r="U433" i="2" s="1"/>
  <c r="O154" i="15"/>
  <c r="R154" i="15" s="1"/>
  <c r="I19" i="15" s="1"/>
  <c r="Q434" i="2" s="1"/>
  <c r="A38" i="15"/>
  <c r="D12" i="9"/>
  <c r="F12" i="9" s="1"/>
  <c r="D12" i="8"/>
  <c r="F12" i="8" s="1"/>
  <c r="K424" i="2"/>
  <c r="K425" i="2" s="1"/>
  <c r="D8" i="8"/>
  <c r="F8" i="8" s="1"/>
  <c r="H424" i="2"/>
  <c r="M10" i="15"/>
  <c r="D7" i="8"/>
  <c r="F7" i="8" s="1"/>
  <c r="D14" i="15"/>
  <c r="N14" i="15" s="1"/>
  <c r="P96" i="15"/>
  <c r="G13" i="15" s="1"/>
  <c r="N10" i="15"/>
  <c r="H421" i="2"/>
  <c r="H494" i="2" s="1"/>
  <c r="S64" i="15"/>
  <c r="J10" i="15" s="1"/>
  <c r="H433" i="2" s="1"/>
  <c r="F494" i="2"/>
  <c r="F423" i="2"/>
  <c r="F401" i="2" s="1"/>
  <c r="E42" i="15"/>
  <c r="E44" i="15" s="1"/>
  <c r="G42" i="15"/>
  <c r="G44" i="15" s="1"/>
  <c r="H42" i="15"/>
  <c r="H44" i="15" s="1"/>
  <c r="F412" i="1"/>
  <c r="F414" i="1" s="1"/>
  <c r="F442" i="1" s="1"/>
  <c r="O356" i="1"/>
  <c r="O144" i="15"/>
  <c r="R144" i="15" s="1"/>
  <c r="S144" i="15"/>
  <c r="J18" i="15" s="1"/>
  <c r="P433" i="2" s="1"/>
  <c r="Q314" i="2"/>
  <c r="P314" i="2"/>
  <c r="O184" i="15"/>
  <c r="R184" i="15" s="1"/>
  <c r="I22" i="15" s="1"/>
  <c r="T434" i="2" s="1"/>
  <c r="S154" i="15"/>
  <c r="J19" i="15" s="1"/>
  <c r="Q433" i="2" s="1"/>
  <c r="P186" i="15"/>
  <c r="G22" i="15" s="1"/>
  <c r="D21" i="15"/>
  <c r="N21" i="15" s="1"/>
  <c r="N18" i="15"/>
  <c r="P421" i="2"/>
  <c r="P494" i="2" s="1"/>
  <c r="P166" i="15"/>
  <c r="G20" i="15" s="1"/>
  <c r="T174" i="15"/>
  <c r="K21" i="15" s="1"/>
  <c r="S432" i="2" s="1"/>
  <c r="P106" i="15"/>
  <c r="G14" i="15" s="1"/>
  <c r="O106" i="15"/>
  <c r="F14" i="15" s="1"/>
  <c r="O196" i="15"/>
  <c r="F23" i="15" s="1"/>
  <c r="O186" i="15"/>
  <c r="F22" i="15" s="1"/>
  <c r="O146" i="15"/>
  <c r="F18" i="15" s="1"/>
  <c r="O156" i="15"/>
  <c r="F19" i="15" s="1"/>
  <c r="D16" i="15"/>
  <c r="O120" i="15"/>
  <c r="O150" i="15"/>
  <c r="D19" i="15"/>
  <c r="D20" i="15"/>
  <c r="O160" i="15"/>
  <c r="L424" i="2"/>
  <c r="C25" i="15"/>
  <c r="M14" i="15"/>
  <c r="P176" i="15"/>
  <c r="G21" i="15" s="1"/>
  <c r="O176" i="15"/>
  <c r="F21" i="15" s="1"/>
  <c r="S184" i="15"/>
  <c r="J22" i="15" s="1"/>
  <c r="T433" i="2" s="1"/>
  <c r="O198" i="15"/>
  <c r="P201" i="15" s="1"/>
  <c r="P156" i="15"/>
  <c r="G19" i="15" s="1"/>
  <c r="O194" i="15"/>
  <c r="R194" i="15" s="1"/>
  <c r="I23" i="15" s="1"/>
  <c r="U434" i="2" s="1"/>
  <c r="P196" i="15"/>
  <c r="G23" i="15" s="1"/>
  <c r="S134" i="15"/>
  <c r="J17" i="15" s="1"/>
  <c r="O433" i="2" s="1"/>
  <c r="AG420" i="2"/>
  <c r="F346" i="2"/>
  <c r="P427" i="2"/>
  <c r="Q10" i="15"/>
  <c r="Q19" i="15"/>
  <c r="Q11" i="15"/>
  <c r="Q13" i="15"/>
  <c r="Q25" i="15"/>
  <c r="Q23" i="15"/>
  <c r="Q8" i="15"/>
  <c r="P25" i="15"/>
  <c r="Q21" i="15"/>
  <c r="Q12" i="15"/>
  <c r="Q14" i="15"/>
  <c r="M425" i="2"/>
  <c r="S429" i="2"/>
  <c r="S416" i="2" s="1"/>
  <c r="Q425" i="2"/>
  <c r="A58" i="15"/>
  <c r="D60" i="18"/>
  <c r="H52" i="18" a="1"/>
  <c r="H53" i="18" s="1"/>
  <c r="M116" i="18"/>
  <c r="D126" i="18" s="1"/>
  <c r="F328" i="1"/>
  <c r="K356" i="1"/>
  <c r="Y356" i="1"/>
  <c r="M356" i="1"/>
  <c r="O24" i="1"/>
  <c r="O149" i="1" s="1"/>
  <c r="O159" i="1" s="1"/>
  <c r="P356" i="1"/>
  <c r="W356" i="1"/>
  <c r="U24" i="1"/>
  <c r="U149" i="1" s="1"/>
  <c r="U159" i="1" s="1"/>
  <c r="P304" i="1"/>
  <c r="M406" i="1"/>
  <c r="M302" i="1"/>
  <c r="M116" i="1"/>
  <c r="M109" i="1"/>
  <c r="M119" i="1"/>
  <c r="K221" i="1"/>
  <c r="P207" i="1"/>
  <c r="M210" i="1"/>
  <c r="W111" i="1"/>
  <c r="M225" i="1"/>
  <c r="K204" i="1"/>
  <c r="R301" i="1"/>
  <c r="M113" i="1"/>
  <c r="W301" i="1"/>
  <c r="P387" i="1"/>
  <c r="W405" i="1"/>
  <c r="Y113" i="1"/>
  <c r="O110" i="1"/>
  <c r="Y180" i="1"/>
  <c r="K115" i="1"/>
  <c r="R24" i="1"/>
  <c r="R106" i="1" s="1"/>
  <c r="Y24" i="1"/>
  <c r="Y80" i="1" s="1"/>
  <c r="H301" i="1"/>
  <c r="R402" i="1"/>
  <c r="H224" i="1"/>
  <c r="K300" i="1"/>
  <c r="S221" i="1"/>
  <c r="I305" i="1"/>
  <c r="M298" i="1"/>
  <c r="AA383" i="1"/>
  <c r="W206" i="1"/>
  <c r="AA367" i="1"/>
  <c r="H119" i="1"/>
  <c r="P208" i="1"/>
  <c r="R203" i="1"/>
  <c r="U204" i="1"/>
  <c r="AA221" i="1"/>
  <c r="K114" i="1"/>
  <c r="Y205" i="1"/>
  <c r="W114" i="1"/>
  <c r="O204" i="1"/>
  <c r="M205" i="1"/>
  <c r="W207" i="1"/>
  <c r="U383" i="1"/>
  <c r="AB16" i="1"/>
  <c r="AC16" i="1" s="1"/>
  <c r="AB20" i="1"/>
  <c r="AC20" i="1" s="1"/>
  <c r="M24" i="1"/>
  <c r="M149" i="1" s="1"/>
  <c r="M159" i="1" s="1"/>
  <c r="S24" i="1"/>
  <c r="S293" i="1" s="1"/>
  <c r="AA24" i="1"/>
  <c r="AA149" i="1" s="1"/>
  <c r="AA159" i="1" s="1"/>
  <c r="AB156" i="1"/>
  <c r="AC156" i="1" s="1"/>
  <c r="AB339" i="1"/>
  <c r="AC339" i="1" s="1"/>
  <c r="AB340" i="1"/>
  <c r="AC340" i="1" s="1"/>
  <c r="AB342" i="1"/>
  <c r="AC342" i="1" s="1"/>
  <c r="AB343" i="1"/>
  <c r="AC343" i="1" s="1"/>
  <c r="AB345" i="1"/>
  <c r="AC345" i="1" s="1"/>
  <c r="AB351" i="1"/>
  <c r="AC351" i="1" s="1"/>
  <c r="AB352" i="1"/>
  <c r="AC352" i="1" s="1"/>
  <c r="AB353" i="1"/>
  <c r="AC353" i="1" s="1"/>
  <c r="AB354" i="1"/>
  <c r="AC354" i="1" s="1"/>
  <c r="U223" i="1"/>
  <c r="AA203" i="1"/>
  <c r="K386" i="1"/>
  <c r="P117" i="1"/>
  <c r="W386" i="1"/>
  <c r="AA404" i="1"/>
  <c r="U386" i="1"/>
  <c r="O221" i="1"/>
  <c r="O383" i="1"/>
  <c r="M222" i="1"/>
  <c r="M112" i="1"/>
  <c r="S304" i="1"/>
  <c r="U296" i="1"/>
  <c r="U110" i="1"/>
  <c r="U168" i="1"/>
  <c r="O180" i="1"/>
  <c r="K296" i="1"/>
  <c r="W24" i="1"/>
  <c r="W85" i="1" s="1"/>
  <c r="P388" i="1"/>
  <c r="K206" i="1"/>
  <c r="U114" i="1"/>
  <c r="O203" i="1"/>
  <c r="M385" i="1"/>
  <c r="K404" i="1"/>
  <c r="Y168" i="1"/>
  <c r="AB240" i="1"/>
  <c r="AC240" i="1" s="1"/>
  <c r="S425" i="1"/>
  <c r="AB17" i="1"/>
  <c r="AC17" i="1" s="1"/>
  <c r="AB19" i="1"/>
  <c r="AC19" i="1" s="1"/>
  <c r="AB22" i="1"/>
  <c r="AC22" i="1" s="1"/>
  <c r="H115" i="1"/>
  <c r="U404" i="1"/>
  <c r="S118" i="1"/>
  <c r="S402" i="1"/>
  <c r="S204" i="1"/>
  <c r="AA386" i="1"/>
  <c r="O384" i="1"/>
  <c r="O296" i="1"/>
  <c r="U387" i="1"/>
  <c r="R383" i="1"/>
  <c r="W304" i="1"/>
  <c r="K24" i="1"/>
  <c r="S119" i="1"/>
  <c r="M383" i="1"/>
  <c r="P402" i="1"/>
  <c r="H117" i="1"/>
  <c r="I297" i="1"/>
  <c r="AA116" i="1"/>
  <c r="R385" i="1"/>
  <c r="O388" i="1"/>
  <c r="H35" i="1"/>
  <c r="H371" i="1" s="1"/>
  <c r="K205" i="1"/>
  <c r="AA403" i="1"/>
  <c r="H407" i="1"/>
  <c r="S302" i="1"/>
  <c r="U299" i="1"/>
  <c r="AA440" i="1"/>
  <c r="R225" i="1"/>
  <c r="W388" i="1"/>
  <c r="K112" i="1"/>
  <c r="AB251" i="1"/>
  <c r="AC251" i="1" s="1"/>
  <c r="M367" i="1"/>
  <c r="R406" i="1"/>
  <c r="U305" i="1"/>
  <c r="R302" i="1"/>
  <c r="H296" i="1"/>
  <c r="I206" i="1"/>
  <c r="U403" i="1"/>
  <c r="O305" i="1"/>
  <c r="U117" i="1"/>
  <c r="H300" i="1"/>
  <c r="O304" i="1"/>
  <c r="S113" i="1"/>
  <c r="W222" i="1"/>
  <c r="P204" i="1"/>
  <c r="U208" i="1"/>
  <c r="Y304" i="1"/>
  <c r="M296" i="1"/>
  <c r="W113" i="1"/>
  <c r="O303" i="1"/>
  <c r="Y296" i="1"/>
  <c r="AA113" i="1"/>
  <c r="S390" i="1"/>
  <c r="I204" i="1"/>
  <c r="R117" i="1"/>
  <c r="H404" i="1"/>
  <c r="K111" i="1"/>
  <c r="Y246" i="1"/>
  <c r="K403" i="1"/>
  <c r="I223" i="1"/>
  <c r="S115" i="1"/>
  <c r="O406" i="1"/>
  <c r="W117" i="1"/>
  <c r="W303" i="1"/>
  <c r="H168" i="1"/>
  <c r="K168" i="1"/>
  <c r="W54" i="1"/>
  <c r="W310" i="1" s="1"/>
  <c r="K385" i="1"/>
  <c r="R111" i="1"/>
  <c r="P110" i="1"/>
  <c r="AA110" i="1"/>
  <c r="AA402" i="1"/>
  <c r="S387" i="1"/>
  <c r="S296" i="1"/>
  <c r="H116" i="1"/>
  <c r="H295" i="1"/>
  <c r="S110" i="1"/>
  <c r="O208" i="1"/>
  <c r="U206" i="1"/>
  <c r="Y208" i="1"/>
  <c r="I384" i="1"/>
  <c r="U221" i="1"/>
  <c r="U402" i="1"/>
  <c r="R296" i="1"/>
  <c r="AA405" i="1"/>
  <c r="U384" i="1"/>
  <c r="H302" i="1"/>
  <c r="O207" i="1"/>
  <c r="U367" i="1"/>
  <c r="Y367" i="1"/>
  <c r="P35" i="1"/>
  <c r="P294" i="1" s="1"/>
  <c r="M35" i="1"/>
  <c r="M183" i="1" s="1"/>
  <c r="S35" i="1"/>
  <c r="S377" i="1" s="1"/>
  <c r="AA180" i="1"/>
  <c r="H208" i="1"/>
  <c r="I221" i="1"/>
  <c r="H262" i="1"/>
  <c r="Y425" i="1"/>
  <c r="K180" i="1"/>
  <c r="K298" i="1"/>
  <c r="P296" i="1"/>
  <c r="AA296" i="1"/>
  <c r="AA384" i="1"/>
  <c r="R221" i="1"/>
  <c r="H112" i="1"/>
  <c r="S384" i="1"/>
  <c r="S203" i="1"/>
  <c r="Y295" i="1"/>
  <c r="AA297" i="1"/>
  <c r="P384" i="1"/>
  <c r="O407" i="1"/>
  <c r="O226" i="1"/>
  <c r="O387" i="1"/>
  <c r="I299" i="1"/>
  <c r="AA223" i="1"/>
  <c r="P210" i="1"/>
  <c r="O119" i="1"/>
  <c r="I296" i="1"/>
  <c r="U304" i="1"/>
  <c r="U118" i="1"/>
  <c r="R384" i="1"/>
  <c r="H298" i="1"/>
  <c r="R110" i="1"/>
  <c r="H385" i="1"/>
  <c r="P383" i="1"/>
  <c r="AA246" i="1"/>
  <c r="U262" i="1"/>
  <c r="W262" i="1"/>
  <c r="W246" i="1"/>
  <c r="AB50" i="1"/>
  <c r="AC50" i="1" s="1"/>
  <c r="AB28" i="1"/>
  <c r="AC28" i="1" s="1"/>
  <c r="S440" i="1"/>
  <c r="P180" i="1"/>
  <c r="U388" i="1"/>
  <c r="H206" i="1"/>
  <c r="I390" i="1"/>
  <c r="I210" i="1"/>
  <c r="P116" i="1"/>
  <c r="AA302" i="1"/>
  <c r="W298" i="1"/>
  <c r="AB433" i="1"/>
  <c r="AC433" i="1" s="1"/>
  <c r="AB421" i="1"/>
  <c r="AC421" i="1" s="1"/>
  <c r="AB242" i="1"/>
  <c r="AC242" i="1" s="1"/>
  <c r="W440" i="1"/>
  <c r="AA35" i="1"/>
  <c r="AA195" i="1" s="1"/>
  <c r="R119" i="1"/>
  <c r="U225" i="1"/>
  <c r="U407" i="1"/>
  <c r="Y114" i="1"/>
  <c r="P295" i="1"/>
  <c r="W224" i="1"/>
  <c r="H113" i="1"/>
  <c r="M207" i="1"/>
  <c r="I116" i="1"/>
  <c r="H305" i="1"/>
  <c r="Y221" i="1"/>
  <c r="P390" i="1"/>
  <c r="AA210" i="1"/>
  <c r="K224" i="1"/>
  <c r="S295" i="1"/>
  <c r="I205" i="1"/>
  <c r="H304" i="1"/>
  <c r="W205" i="1"/>
  <c r="R226" i="1"/>
  <c r="I298" i="1"/>
  <c r="M168" i="1"/>
  <c r="AA168" i="1"/>
  <c r="AB155" i="1"/>
  <c r="AC155" i="1" s="1"/>
  <c r="W168" i="1"/>
  <c r="P168" i="1"/>
  <c r="P203" i="1"/>
  <c r="AB253" i="1"/>
  <c r="AC253" i="1" s="1"/>
  <c r="AB32" i="1"/>
  <c r="AC32" i="1" s="1"/>
  <c r="S262" i="1"/>
  <c r="S180" i="1"/>
  <c r="M180" i="1"/>
  <c r="P262" i="1"/>
  <c r="W112" i="1"/>
  <c r="U303" i="1"/>
  <c r="P119" i="1"/>
  <c r="I385" i="1"/>
  <c r="R388" i="1"/>
  <c r="AB428" i="1"/>
  <c r="AC428" i="1" s="1"/>
  <c r="AB438" i="1"/>
  <c r="AC438" i="1" s="1"/>
  <c r="U119" i="1"/>
  <c r="M425" i="1"/>
  <c r="H388" i="1"/>
  <c r="M387" i="1"/>
  <c r="P225" i="1"/>
  <c r="H406" i="1"/>
  <c r="H297" i="1"/>
  <c r="U222" i="1"/>
  <c r="K301" i="1"/>
  <c r="S116" i="1"/>
  <c r="P305" i="1"/>
  <c r="W403" i="1"/>
  <c r="H387" i="1"/>
  <c r="H207" i="1"/>
  <c r="K226" i="1"/>
  <c r="K388" i="1"/>
  <c r="K208" i="1"/>
  <c r="K303" i="1"/>
  <c r="K407" i="1"/>
  <c r="Y406" i="1"/>
  <c r="Y305" i="1"/>
  <c r="Y225" i="1"/>
  <c r="R295" i="1"/>
  <c r="R109" i="1"/>
  <c r="U295" i="1"/>
  <c r="U109" i="1"/>
  <c r="Y440" i="1"/>
  <c r="R54" i="1"/>
  <c r="R89" i="1" s="1"/>
  <c r="H384" i="1"/>
  <c r="H221" i="1"/>
  <c r="H203" i="1"/>
  <c r="I387" i="1"/>
  <c r="I304" i="1"/>
  <c r="I207" i="1"/>
  <c r="AB257" i="1"/>
  <c r="AC257" i="1" s="1"/>
  <c r="K387" i="1"/>
  <c r="K118" i="1"/>
  <c r="K207" i="1"/>
  <c r="K110" i="1"/>
  <c r="K383" i="1"/>
  <c r="K203" i="1"/>
  <c r="K384" i="1"/>
  <c r="R425" i="1"/>
  <c r="U246" i="1"/>
  <c r="W305" i="1"/>
  <c r="W225" i="1"/>
  <c r="AA304" i="1"/>
  <c r="AA387" i="1"/>
  <c r="AA118" i="1"/>
  <c r="AA205" i="1"/>
  <c r="AA112" i="1"/>
  <c r="AA222" i="1"/>
  <c r="AA54" i="1"/>
  <c r="AA401" i="1" s="1"/>
  <c r="Y207" i="1"/>
  <c r="Y118" i="1"/>
  <c r="Y404" i="1"/>
  <c r="Y206" i="1"/>
  <c r="Y300" i="1"/>
  <c r="Y223" i="1"/>
  <c r="R390" i="1"/>
  <c r="R210" i="1"/>
  <c r="S385" i="1"/>
  <c r="S112" i="1"/>
  <c r="S298" i="1"/>
  <c r="S205" i="1"/>
  <c r="S403" i="1"/>
  <c r="S222" i="1"/>
  <c r="U116" i="1"/>
  <c r="U302" i="1"/>
  <c r="U54" i="1"/>
  <c r="U310" i="1" s="1"/>
  <c r="M203" i="1"/>
  <c r="M204" i="1"/>
  <c r="M110" i="1"/>
  <c r="M384" i="1"/>
  <c r="M221" i="1"/>
  <c r="R180" i="1"/>
  <c r="U440" i="1"/>
  <c r="Y115" i="1"/>
  <c r="Y405" i="1"/>
  <c r="S388" i="1"/>
  <c r="S303" i="1"/>
  <c r="O302" i="1"/>
  <c r="O116" i="1"/>
  <c r="M405" i="1"/>
  <c r="M115" i="1"/>
  <c r="Y262" i="1"/>
  <c r="AB15" i="1"/>
  <c r="AC15" i="1" s="1"/>
  <c r="H24" i="1"/>
  <c r="H80" i="1" s="1"/>
  <c r="W302" i="1"/>
  <c r="S226" i="1"/>
  <c r="K117" i="1"/>
  <c r="Y119" i="1"/>
  <c r="AB212" i="1"/>
  <c r="AC212" i="1" s="1"/>
  <c r="R262" i="1"/>
  <c r="H54" i="1"/>
  <c r="H401" i="1" s="1"/>
  <c r="AB41" i="1"/>
  <c r="AC41" i="1" s="1"/>
  <c r="S407" i="1"/>
  <c r="Y54" i="1"/>
  <c r="Y137" i="1" s="1"/>
  <c r="AB249" i="1"/>
  <c r="AC249" i="1" s="1"/>
  <c r="AB42" i="1"/>
  <c r="AC42" i="1" s="1"/>
  <c r="H204" i="1"/>
  <c r="Y301" i="1"/>
  <c r="M224" i="1"/>
  <c r="O210" i="1"/>
  <c r="O295" i="1"/>
  <c r="S208" i="1"/>
  <c r="Y297" i="1"/>
  <c r="H110" i="1"/>
  <c r="H402" i="1"/>
  <c r="AB21" i="1"/>
  <c r="AC21" i="1" s="1"/>
  <c r="Y224" i="1"/>
  <c r="K35" i="1"/>
  <c r="K372" i="1" s="1"/>
  <c r="W406" i="1"/>
  <c r="R403" i="1"/>
  <c r="AA385" i="1"/>
  <c r="AA207" i="1"/>
  <c r="R113" i="1"/>
  <c r="AA262" i="1"/>
  <c r="AB420" i="1"/>
  <c r="AC420" i="1" s="1"/>
  <c r="H210" i="1"/>
  <c r="AB48" i="1"/>
  <c r="AC48" i="1" s="1"/>
  <c r="O262" i="1"/>
  <c r="AB241" i="1"/>
  <c r="AC241" i="1" s="1"/>
  <c r="AB389" i="1"/>
  <c r="AC389" i="1" s="1"/>
  <c r="AB256" i="1"/>
  <c r="AC256" i="1" s="1"/>
  <c r="AB33" i="1"/>
  <c r="AC33" i="1" s="1"/>
  <c r="I114" i="1"/>
  <c r="I386" i="1"/>
  <c r="I300" i="1"/>
  <c r="I110" i="1"/>
  <c r="I203" i="1"/>
  <c r="I383" i="1"/>
  <c r="S367" i="1"/>
  <c r="AB429" i="1"/>
  <c r="AC429" i="1" s="1"/>
  <c r="K390" i="1"/>
  <c r="K116" i="1"/>
  <c r="K210" i="1"/>
  <c r="W404" i="1"/>
  <c r="W300" i="1"/>
  <c r="W221" i="1"/>
  <c r="W296" i="1"/>
  <c r="W402" i="1"/>
  <c r="W110" i="1"/>
  <c r="W384" i="1"/>
  <c r="AA406" i="1"/>
  <c r="AA225" i="1"/>
  <c r="AA119" i="1"/>
  <c r="AA303" i="1"/>
  <c r="AA117" i="1"/>
  <c r="AA226" i="1"/>
  <c r="AA208" i="1"/>
  <c r="AA388" i="1"/>
  <c r="AA115" i="1"/>
  <c r="AA301" i="1"/>
  <c r="R115" i="1"/>
  <c r="R405" i="1"/>
  <c r="S301" i="1"/>
  <c r="S224" i="1"/>
  <c r="AB51" i="1"/>
  <c r="AC51" i="1" s="1"/>
  <c r="H425" i="1"/>
  <c r="H222" i="1"/>
  <c r="H403" i="1"/>
  <c r="W226" i="1"/>
  <c r="W208" i="1"/>
  <c r="W109" i="1"/>
  <c r="W295" i="1"/>
  <c r="P226" i="1"/>
  <c r="P407" i="1"/>
  <c r="Y403" i="1"/>
  <c r="Y222" i="1"/>
  <c r="Y112" i="1"/>
  <c r="Y298" i="1"/>
  <c r="R207" i="1"/>
  <c r="R304" i="1"/>
  <c r="R118" i="1"/>
  <c r="S300" i="1"/>
  <c r="S223" i="1"/>
  <c r="AB260" i="1"/>
  <c r="AC260" i="1" s="1"/>
  <c r="AB254" i="1"/>
  <c r="AC254" i="1" s="1"/>
  <c r="AB250" i="1"/>
  <c r="AC250" i="1" s="1"/>
  <c r="O246" i="1"/>
  <c r="O425" i="1"/>
  <c r="O367" i="1"/>
  <c r="P367" i="1"/>
  <c r="R35" i="1"/>
  <c r="R191" i="1" s="1"/>
  <c r="AB341" i="1"/>
  <c r="AC341" i="1" s="1"/>
  <c r="AB344" i="1"/>
  <c r="AC344" i="1" s="1"/>
  <c r="W367" i="1"/>
  <c r="R246" i="1"/>
  <c r="K141" i="1"/>
  <c r="I168" i="1"/>
  <c r="AB163" i="1"/>
  <c r="AC163" i="1" s="1"/>
  <c r="AB154" i="1"/>
  <c r="AC154" i="1" s="1"/>
  <c r="AB164" i="1"/>
  <c r="AC164" i="1" s="1"/>
  <c r="O168" i="1"/>
  <c r="AB151" i="1"/>
  <c r="AC151" i="1" s="1"/>
  <c r="AB157" i="1"/>
  <c r="AC157" i="1" s="1"/>
  <c r="AB166" i="1"/>
  <c r="AC166" i="1" s="1"/>
  <c r="R168" i="1"/>
  <c r="AB165" i="1"/>
  <c r="AC165" i="1" s="1"/>
  <c r="I115" i="1"/>
  <c r="I224" i="1"/>
  <c r="I405" i="1"/>
  <c r="I301" i="1"/>
  <c r="K299" i="1"/>
  <c r="K113" i="1"/>
  <c r="K262" i="1"/>
  <c r="K246" i="1"/>
  <c r="M297" i="1"/>
  <c r="M111" i="1"/>
  <c r="M54" i="1"/>
  <c r="AB255" i="1"/>
  <c r="AC255" i="1" s="1"/>
  <c r="M262" i="1"/>
  <c r="AB434" i="1"/>
  <c r="AC434" i="1" s="1"/>
  <c r="M440" i="1"/>
  <c r="AB258" i="1"/>
  <c r="AC258" i="1" s="1"/>
  <c r="AB430" i="1"/>
  <c r="AC430" i="1" s="1"/>
  <c r="I440" i="1"/>
  <c r="I425" i="1"/>
  <c r="AB422" i="1"/>
  <c r="AC422" i="1" s="1"/>
  <c r="I262" i="1"/>
  <c r="AB243" i="1"/>
  <c r="AC243" i="1" s="1"/>
  <c r="I246" i="1"/>
  <c r="AB29" i="1"/>
  <c r="AC29" i="1" s="1"/>
  <c r="I35" i="1"/>
  <c r="I184" i="1" s="1"/>
  <c r="I208" i="1"/>
  <c r="I117" i="1"/>
  <c r="I388" i="1"/>
  <c r="I226" i="1"/>
  <c r="AB49" i="1"/>
  <c r="AC49" i="1" s="1"/>
  <c r="I303" i="1"/>
  <c r="S111" i="1"/>
  <c r="S54" i="1"/>
  <c r="S227" i="1" s="1"/>
  <c r="S297" i="1"/>
  <c r="U301" i="1"/>
  <c r="U115" i="1"/>
  <c r="U405" i="1"/>
  <c r="U297" i="1"/>
  <c r="U111" i="1"/>
  <c r="U35" i="1"/>
  <c r="AB30" i="1"/>
  <c r="AC30" i="1" s="1"/>
  <c r="M117" i="1"/>
  <c r="M226" i="1"/>
  <c r="M303" i="1"/>
  <c r="M388" i="1"/>
  <c r="M407" i="1"/>
  <c r="M404" i="1"/>
  <c r="M386" i="1"/>
  <c r="M300" i="1"/>
  <c r="M114" i="1"/>
  <c r="M223" i="1"/>
  <c r="M206" i="1"/>
  <c r="M208" i="1"/>
  <c r="I407" i="1"/>
  <c r="Y388" i="1"/>
  <c r="Y407" i="1"/>
  <c r="Y226" i="1"/>
  <c r="Y117" i="1"/>
  <c r="Y402" i="1"/>
  <c r="Y204" i="1"/>
  <c r="Y110" i="1"/>
  <c r="Y384" i="1"/>
  <c r="Y203" i="1"/>
  <c r="Y35" i="1"/>
  <c r="Y191" i="1" s="1"/>
  <c r="R386" i="1"/>
  <c r="R223" i="1"/>
  <c r="R206" i="1"/>
  <c r="R300" i="1"/>
  <c r="R114" i="1"/>
  <c r="S305" i="1"/>
  <c r="S406" i="1"/>
  <c r="AB52" i="1"/>
  <c r="AC52" i="1" s="1"/>
  <c r="H386" i="1"/>
  <c r="H223" i="1"/>
  <c r="AB40" i="1"/>
  <c r="AC40" i="1" s="1"/>
  <c r="AB209" i="1"/>
  <c r="AC209" i="1" s="1"/>
  <c r="AB435" i="1"/>
  <c r="AC435" i="1" s="1"/>
  <c r="M246" i="1"/>
  <c r="I225" i="1"/>
  <c r="I406" i="1"/>
  <c r="K440" i="1"/>
  <c r="AA109" i="1"/>
  <c r="AA295" i="1"/>
  <c r="Y116" i="1"/>
  <c r="Y210" i="1"/>
  <c r="Y302" i="1"/>
  <c r="Y390" i="1"/>
  <c r="R407" i="1"/>
  <c r="R208" i="1"/>
  <c r="AB152" i="1"/>
  <c r="AC152" i="1" s="1"/>
  <c r="K367" i="1"/>
  <c r="AB437" i="1"/>
  <c r="AC437" i="1" s="1"/>
  <c r="AB432" i="1"/>
  <c r="AC432" i="1" s="1"/>
  <c r="AB259" i="1"/>
  <c r="AC259" i="1" s="1"/>
  <c r="AB31" i="1"/>
  <c r="AC31" i="1" s="1"/>
  <c r="AB436" i="1"/>
  <c r="AC436" i="1" s="1"/>
  <c r="AB244" i="1"/>
  <c r="AC244" i="1" s="1"/>
  <c r="K225" i="1"/>
  <c r="K119" i="1"/>
  <c r="K305" i="1"/>
  <c r="R367" i="1"/>
  <c r="W118" i="1"/>
  <c r="AB18" i="1"/>
  <c r="AC18" i="1" s="1"/>
  <c r="AB338" i="1"/>
  <c r="AC338" i="1" s="1"/>
  <c r="AB350" i="1"/>
  <c r="AC350" i="1" s="1"/>
  <c r="AB423" i="1"/>
  <c r="AC423" i="1" s="1"/>
  <c r="H246" i="1"/>
  <c r="W383" i="1"/>
  <c r="W204" i="1"/>
  <c r="AA300" i="1"/>
  <c r="AA114" i="1"/>
  <c r="R205" i="1"/>
  <c r="R222" i="1"/>
  <c r="R298" i="1"/>
  <c r="S114" i="1"/>
  <c r="S206" i="1"/>
  <c r="U210" i="1"/>
  <c r="U390" i="1"/>
  <c r="U385" i="1"/>
  <c r="U298" i="1"/>
  <c r="U112" i="1"/>
  <c r="M118" i="1"/>
  <c r="M304" i="1"/>
  <c r="AB162" i="1"/>
  <c r="AC162" i="1" s="1"/>
  <c r="S168" i="1"/>
  <c r="AA425" i="1"/>
  <c r="I24" i="1"/>
  <c r="H356" i="1"/>
  <c r="U356" i="1"/>
  <c r="P24" i="1"/>
  <c r="R356" i="1"/>
  <c r="F44" i="15"/>
  <c r="O440" i="1"/>
  <c r="I54" i="1"/>
  <c r="I109" i="1"/>
  <c r="AB431" i="1"/>
  <c r="AC431" i="1" s="1"/>
  <c r="P440" i="1"/>
  <c r="P425" i="1"/>
  <c r="AB419" i="1"/>
  <c r="AC419" i="1" s="1"/>
  <c r="R440" i="1"/>
  <c r="O35" i="1"/>
  <c r="AB27" i="1"/>
  <c r="AC27" i="1" s="1"/>
  <c r="W116" i="1"/>
  <c r="W390" i="1"/>
  <c r="T427" i="2"/>
  <c r="T426" i="2"/>
  <c r="K421" i="2"/>
  <c r="K494" i="2" s="1"/>
  <c r="N13" i="15"/>
  <c r="J461" i="2"/>
  <c r="J484" i="2"/>
  <c r="J485" i="2" s="1"/>
  <c r="I461" i="2"/>
  <c r="I484" i="2"/>
  <c r="O96" i="15"/>
  <c r="F13" i="15" s="1"/>
  <c r="K436" i="2" s="1"/>
  <c r="K454" i="2" s="1"/>
  <c r="AB252" i="1"/>
  <c r="AC252" i="1" s="1"/>
  <c r="I112" i="1"/>
  <c r="I222" i="1"/>
  <c r="W35" i="1"/>
  <c r="AB153" i="1"/>
  <c r="AC153" i="1" s="1"/>
  <c r="W425" i="1"/>
  <c r="D9" i="9"/>
  <c r="F9" i="9" s="1"/>
  <c r="M11" i="15"/>
  <c r="I424" i="2"/>
  <c r="D9" i="8"/>
  <c r="F9" i="8" s="1"/>
  <c r="AB150" i="1"/>
  <c r="AC150" i="1" s="1"/>
  <c r="H440" i="1"/>
  <c r="P246" i="1"/>
  <c r="S246" i="1"/>
  <c r="K295" i="1"/>
  <c r="K109" i="1"/>
  <c r="K425" i="1"/>
  <c r="U425" i="1"/>
  <c r="U180" i="1"/>
  <c r="D10" i="9"/>
  <c r="F10" i="9" s="1"/>
  <c r="D10" i="8"/>
  <c r="F10" i="8" s="1"/>
  <c r="J424" i="2"/>
  <c r="H24" i="18" a="1"/>
  <c r="D32" i="18"/>
  <c r="W180" i="1"/>
  <c r="A48" i="15"/>
  <c r="S386" i="1"/>
  <c r="D11" i="9"/>
  <c r="F11" i="9" s="1"/>
  <c r="D11" i="8"/>
  <c r="F11" i="8" s="1"/>
  <c r="Z485" i="2"/>
  <c r="A88" i="15"/>
  <c r="D128" i="18"/>
  <c r="H120" i="18" a="1"/>
  <c r="F341" i="2" l="1"/>
  <c r="F344" i="2"/>
  <c r="F343" i="2"/>
  <c r="F360" i="2" s="1"/>
  <c r="J421" i="2"/>
  <c r="J494" i="2" s="1"/>
  <c r="C29" i="15"/>
  <c r="C30" i="15" s="1"/>
  <c r="U487" i="2"/>
  <c r="U440" i="2"/>
  <c r="K429" i="2"/>
  <c r="K427" i="2"/>
  <c r="T487" i="2"/>
  <c r="T440" i="2"/>
  <c r="T447" i="2" s="1"/>
  <c r="T468" i="2" s="1"/>
  <c r="T475" i="2" s="1"/>
  <c r="F427" i="2"/>
  <c r="F430" i="2" s="1"/>
  <c r="F429" i="2"/>
  <c r="K346" i="2"/>
  <c r="J346" i="2"/>
  <c r="AC346" i="2"/>
  <c r="Z346" i="2"/>
  <c r="AD347" i="2"/>
  <c r="AA346" i="2"/>
  <c r="Y347" i="2"/>
  <c r="O346" i="2"/>
  <c r="AH420" i="2"/>
  <c r="O347" i="2"/>
  <c r="F347" i="2"/>
  <c r="AB347" i="2"/>
  <c r="I421" i="2"/>
  <c r="I494" i="2" s="1"/>
  <c r="H346" i="2"/>
  <c r="AE346" i="2"/>
  <c r="T346" i="2"/>
  <c r="P346" i="2"/>
  <c r="M346" i="2"/>
  <c r="AD346" i="2"/>
  <c r="Q346" i="2"/>
  <c r="S346" i="2"/>
  <c r="AA313" i="2"/>
  <c r="I347" i="2"/>
  <c r="J347" i="2"/>
  <c r="AA347" i="2"/>
  <c r="U347" i="2"/>
  <c r="P347" i="2"/>
  <c r="U346" i="2"/>
  <c r="V346" i="2"/>
  <c r="G346" i="2"/>
  <c r="S347" i="2"/>
  <c r="M347" i="2"/>
  <c r="V347" i="2"/>
  <c r="L347" i="2"/>
  <c r="AF347" i="2"/>
  <c r="I346" i="2"/>
  <c r="X346" i="2"/>
  <c r="Y346" i="2"/>
  <c r="AF346" i="2"/>
  <c r="L346" i="2"/>
  <c r="R346" i="2"/>
  <c r="W346" i="2"/>
  <c r="N346" i="2"/>
  <c r="AB346" i="2"/>
  <c r="Q347" i="2"/>
  <c r="Z347" i="2"/>
  <c r="K347" i="2"/>
  <c r="AE347" i="2"/>
  <c r="T347" i="2"/>
  <c r="R347" i="2"/>
  <c r="G347" i="2"/>
  <c r="W347" i="2"/>
  <c r="AC347" i="2"/>
  <c r="N347" i="2"/>
  <c r="H347" i="2"/>
  <c r="X313" i="2"/>
  <c r="O494" i="2"/>
  <c r="O428" i="2"/>
  <c r="O415" i="2" s="1"/>
  <c r="M426" i="2"/>
  <c r="M429" i="2"/>
  <c r="I423" i="2"/>
  <c r="I401" i="2" s="1"/>
  <c r="N416" i="2"/>
  <c r="N430" i="2"/>
  <c r="O430" i="2"/>
  <c r="O416" i="2"/>
  <c r="G426" i="2"/>
  <c r="G427" i="2"/>
  <c r="G430" i="2" s="1"/>
  <c r="H454" i="2"/>
  <c r="H461" i="2" s="1"/>
  <c r="S436" i="2"/>
  <c r="S454" i="2" s="1"/>
  <c r="P436" i="2"/>
  <c r="P454" i="2" s="1"/>
  <c r="U436" i="2"/>
  <c r="U454" i="2" s="1"/>
  <c r="R436" i="2"/>
  <c r="R454" i="2" s="1"/>
  <c r="Q436" i="2"/>
  <c r="Q454" i="2" s="1"/>
  <c r="T436" i="2"/>
  <c r="T454" i="2" s="1"/>
  <c r="S124" i="15"/>
  <c r="J16" i="15" s="1"/>
  <c r="N433" i="2" s="1"/>
  <c r="AE313" i="2"/>
  <c r="F313" i="2"/>
  <c r="F409" i="2" s="1"/>
  <c r="O313" i="2"/>
  <c r="Y313" i="2"/>
  <c r="G313" i="2"/>
  <c r="G409" i="2" s="1"/>
  <c r="U313" i="2"/>
  <c r="AD313" i="2"/>
  <c r="M313" i="2"/>
  <c r="J313" i="2"/>
  <c r="K313" i="2"/>
  <c r="W313" i="2"/>
  <c r="AF313" i="2"/>
  <c r="Q313" i="2"/>
  <c r="AB313" i="2"/>
  <c r="H313" i="2"/>
  <c r="P313" i="2"/>
  <c r="Z313" i="2"/>
  <c r="L313" i="2"/>
  <c r="I313" i="2"/>
  <c r="S313" i="2"/>
  <c r="V313" i="2"/>
  <c r="N313" i="2"/>
  <c r="AC313" i="2"/>
  <c r="R313" i="2"/>
  <c r="T313" i="2"/>
  <c r="S104" i="15"/>
  <c r="J14" i="15" s="1"/>
  <c r="L433" i="2" s="1"/>
  <c r="O423" i="2"/>
  <c r="O401" i="2" s="1"/>
  <c r="O126" i="15"/>
  <c r="F16" i="15" s="1"/>
  <c r="N436" i="2" s="1"/>
  <c r="N454" i="2" s="1"/>
  <c r="O116" i="15"/>
  <c r="F15" i="15" s="1"/>
  <c r="M436" i="2" s="1"/>
  <c r="S94" i="15"/>
  <c r="J13" i="15" s="1"/>
  <c r="K433" i="2" s="1"/>
  <c r="P46" i="15"/>
  <c r="G8" i="15" s="1"/>
  <c r="F426" i="2"/>
  <c r="I53" i="18"/>
  <c r="P126" i="15"/>
  <c r="G16" i="15" s="1"/>
  <c r="P116" i="15"/>
  <c r="G15" i="15" s="1"/>
  <c r="S114" i="15"/>
  <c r="J15" i="15" s="1"/>
  <c r="M433" i="2" s="1"/>
  <c r="O46" i="15"/>
  <c r="F8" i="15" s="1"/>
  <c r="F436" i="2" s="1"/>
  <c r="F454" i="2" s="1"/>
  <c r="M25" i="15"/>
  <c r="O436" i="2"/>
  <c r="O454" i="2" s="1"/>
  <c r="O124" i="15"/>
  <c r="R124" i="15" s="1"/>
  <c r="I16" i="15" s="1"/>
  <c r="N434" i="2" s="1"/>
  <c r="N487" i="2" s="1"/>
  <c r="O122" i="15"/>
  <c r="Q122" i="15"/>
  <c r="H16" i="15" s="1"/>
  <c r="N435" i="2" s="1"/>
  <c r="O114" i="15"/>
  <c r="R114" i="15" s="1"/>
  <c r="I15" i="15" s="1"/>
  <c r="M434" i="2" s="1"/>
  <c r="Q112" i="15"/>
  <c r="H15" i="15" s="1"/>
  <c r="M435" i="2" s="1"/>
  <c r="O112" i="15"/>
  <c r="O104" i="15"/>
  <c r="R104" i="15" s="1"/>
  <c r="I14" i="15" s="1"/>
  <c r="L434" i="2" s="1"/>
  <c r="Q102" i="15"/>
  <c r="H14" i="15" s="1"/>
  <c r="L435" i="2" s="1"/>
  <c r="O102" i="15"/>
  <c r="Q82" i="15"/>
  <c r="H12" i="15" s="1"/>
  <c r="J435" i="2" s="1"/>
  <c r="G421" i="2"/>
  <c r="L436" i="2"/>
  <c r="L454" i="2" s="1"/>
  <c r="R440" i="2"/>
  <c r="R447" i="2" s="1"/>
  <c r="R468" i="2" s="1"/>
  <c r="R475" i="2" s="1"/>
  <c r="AE416" i="2"/>
  <c r="Z416" i="2"/>
  <c r="N15" i="15"/>
  <c r="M421" i="2"/>
  <c r="O54" i="15"/>
  <c r="R54" i="15" s="1"/>
  <c r="I9" i="15" s="1"/>
  <c r="G434" i="2" s="1"/>
  <c r="Q52" i="15"/>
  <c r="H9" i="15" s="1"/>
  <c r="G435" i="2" s="1"/>
  <c r="R427" i="2"/>
  <c r="U421" i="2"/>
  <c r="U494" i="2" s="1"/>
  <c r="S54" i="15"/>
  <c r="J9" i="15" s="1"/>
  <c r="G433" i="2" s="1"/>
  <c r="Q440" i="2"/>
  <c r="Q447" i="2" s="1"/>
  <c r="Q487" i="2"/>
  <c r="L421" i="2"/>
  <c r="T164" i="15"/>
  <c r="K20" i="15" s="1"/>
  <c r="R432" i="2" s="1"/>
  <c r="T134" i="15"/>
  <c r="K17" i="15" s="1"/>
  <c r="O432" i="2" s="1"/>
  <c r="Q92" i="15"/>
  <c r="H13" i="15" s="1"/>
  <c r="K435" i="2" s="1"/>
  <c r="I17" i="15"/>
  <c r="O434" i="2" s="1"/>
  <c r="O487" i="2" s="1"/>
  <c r="S421" i="2"/>
  <c r="T421" i="2"/>
  <c r="N22" i="15"/>
  <c r="T194" i="15"/>
  <c r="K23" i="15" s="1"/>
  <c r="U432" i="2" s="1"/>
  <c r="T154" i="15"/>
  <c r="K19" i="15" s="1"/>
  <c r="Q432" i="2" s="1"/>
  <c r="T184" i="15"/>
  <c r="K22" i="15" s="1"/>
  <c r="T432" i="2" s="1"/>
  <c r="S44" i="15"/>
  <c r="J8" i="15" s="1"/>
  <c r="F433" i="2" s="1"/>
  <c r="O52" i="15"/>
  <c r="K426" i="2"/>
  <c r="H425" i="2"/>
  <c r="E425" i="2"/>
  <c r="Z412" i="2" s="1"/>
  <c r="O92" i="15"/>
  <c r="J423" i="2"/>
  <c r="J401" i="2" s="1"/>
  <c r="H423" i="2"/>
  <c r="H401" i="2" s="1"/>
  <c r="O42" i="15"/>
  <c r="Q42" i="15"/>
  <c r="H8" i="15" s="1"/>
  <c r="F435" i="2" s="1"/>
  <c r="F416" i="1"/>
  <c r="F463" i="1" s="1"/>
  <c r="F465" i="1" s="1"/>
  <c r="T144" i="15"/>
  <c r="K18" i="15" s="1"/>
  <c r="P432" i="2" s="1"/>
  <c r="I18" i="15"/>
  <c r="P434" i="2" s="1"/>
  <c r="S487" i="2"/>
  <c r="R421" i="2"/>
  <c r="N20" i="15"/>
  <c r="N421" i="2"/>
  <c r="N16" i="15"/>
  <c r="Q421" i="2"/>
  <c r="N19" i="15"/>
  <c r="P423" i="2"/>
  <c r="P401" i="2" s="1"/>
  <c r="E424" i="2"/>
  <c r="L425" i="2"/>
  <c r="D25" i="15"/>
  <c r="D29" i="15" s="1"/>
  <c r="D30" i="15" s="1"/>
  <c r="Q427" i="2"/>
  <c r="Q426" i="2"/>
  <c r="Q430" i="2" s="1"/>
  <c r="P429" i="2"/>
  <c r="P416" i="2" s="1"/>
  <c r="H54" i="18"/>
  <c r="D54" i="18" s="1"/>
  <c r="I52" i="18"/>
  <c r="D53" i="18" s="1"/>
  <c r="D59" i="18" s="1"/>
  <c r="D62" i="18" s="1"/>
  <c r="D64" i="18" s="1"/>
  <c r="D65" i="18" s="1"/>
  <c r="D66" i="18" s="1"/>
  <c r="D141" i="18" s="1"/>
  <c r="O472" i="1" s="1"/>
  <c r="H52" i="18"/>
  <c r="D52" i="18" s="1"/>
  <c r="I54" i="18"/>
  <c r="H197" i="1"/>
  <c r="O337" i="1"/>
  <c r="O347" i="1" s="1"/>
  <c r="O358" i="1" s="1"/>
  <c r="O85" i="1"/>
  <c r="O80" i="1"/>
  <c r="O293" i="1"/>
  <c r="O106" i="1"/>
  <c r="U293" i="1"/>
  <c r="U106" i="1"/>
  <c r="U85" i="1"/>
  <c r="U337" i="1"/>
  <c r="U347" i="1" s="1"/>
  <c r="U358" i="1" s="1"/>
  <c r="U80" i="1"/>
  <c r="R337" i="1"/>
  <c r="R347" i="1" s="1"/>
  <c r="R358" i="1" s="1"/>
  <c r="W80" i="1"/>
  <c r="AA85" i="1"/>
  <c r="R80" i="1"/>
  <c r="W149" i="1"/>
  <c r="W159" i="1" s="1"/>
  <c r="R85" i="1"/>
  <c r="AA293" i="1"/>
  <c r="R293" i="1"/>
  <c r="AA337" i="1"/>
  <c r="AA347" i="1" s="1"/>
  <c r="AA358" i="1" s="1"/>
  <c r="R149" i="1"/>
  <c r="R159" i="1" s="1"/>
  <c r="R170" i="1" s="1"/>
  <c r="Y337" i="1"/>
  <c r="Y347" i="1" s="1"/>
  <c r="Y358" i="1" s="1"/>
  <c r="Y149" i="1"/>
  <c r="Y159" i="1" s="1"/>
  <c r="Y170" i="1" s="1"/>
  <c r="Y85" i="1"/>
  <c r="Y106" i="1"/>
  <c r="Y293" i="1"/>
  <c r="S149" i="1"/>
  <c r="S159" i="1" s="1"/>
  <c r="S170" i="1" s="1"/>
  <c r="M293" i="1"/>
  <c r="S187" i="1"/>
  <c r="W106" i="1"/>
  <c r="AA80" i="1"/>
  <c r="W337" i="1"/>
  <c r="W347" i="1" s="1"/>
  <c r="AA106" i="1"/>
  <c r="U170" i="1"/>
  <c r="W293" i="1"/>
  <c r="M80" i="1"/>
  <c r="S106" i="1"/>
  <c r="S337" i="1"/>
  <c r="S347" i="1" s="1"/>
  <c r="S358" i="1" s="1"/>
  <c r="M85" i="1"/>
  <c r="S80" i="1"/>
  <c r="M106" i="1"/>
  <c r="M337" i="1"/>
  <c r="M347" i="1" s="1"/>
  <c r="M358" i="1" s="1"/>
  <c r="S85" i="1"/>
  <c r="S192" i="1"/>
  <c r="H188" i="1"/>
  <c r="K85" i="1"/>
  <c r="K149" i="1"/>
  <c r="K159" i="1" s="1"/>
  <c r="K170" i="1" s="1"/>
  <c r="K337" i="1"/>
  <c r="K347" i="1" s="1"/>
  <c r="K358" i="1" s="1"/>
  <c r="K106" i="1"/>
  <c r="K80" i="1"/>
  <c r="K293" i="1"/>
  <c r="S370" i="1"/>
  <c r="K410" i="1"/>
  <c r="S372" i="1"/>
  <c r="H194" i="1"/>
  <c r="S184" i="1"/>
  <c r="H196" i="1"/>
  <c r="H85" i="1"/>
  <c r="R382" i="1"/>
  <c r="R220" i="1"/>
  <c r="Y392" i="1"/>
  <c r="M193" i="1"/>
  <c r="M188" i="1"/>
  <c r="M191" i="1"/>
  <c r="R137" i="1"/>
  <c r="S185" i="1"/>
  <c r="S190" i="1"/>
  <c r="S188" i="1"/>
  <c r="S376" i="1"/>
  <c r="H190" i="1"/>
  <c r="H189" i="1"/>
  <c r="H372" i="1"/>
  <c r="I371" i="1"/>
  <c r="S306" i="1"/>
  <c r="M196" i="1"/>
  <c r="S186" i="1"/>
  <c r="S194" i="1"/>
  <c r="K188" i="1"/>
  <c r="S193" i="1"/>
  <c r="S374" i="1"/>
  <c r="S189" i="1"/>
  <c r="S373" i="1"/>
  <c r="H185" i="1"/>
  <c r="H376" i="1"/>
  <c r="H375" i="1"/>
  <c r="H377" i="1"/>
  <c r="H195" i="1"/>
  <c r="H186" i="1"/>
  <c r="H191" i="1"/>
  <c r="H193" i="1"/>
  <c r="S294" i="1"/>
  <c r="S56" i="1"/>
  <c r="S9" i="1" s="1"/>
  <c r="S371" i="1"/>
  <c r="S375" i="1"/>
  <c r="S86" i="1"/>
  <c r="H187" i="1"/>
  <c r="H183" i="1"/>
  <c r="H184" i="1"/>
  <c r="H373" i="1"/>
  <c r="S195" i="1"/>
  <c r="S105" i="1"/>
  <c r="M192" i="1"/>
  <c r="Y227" i="1"/>
  <c r="S107" i="1"/>
  <c r="S197" i="1"/>
  <c r="S183" i="1"/>
  <c r="S196" i="1"/>
  <c r="U105" i="1"/>
  <c r="H370" i="1"/>
  <c r="H294" i="1"/>
  <c r="H107" i="1"/>
  <c r="H192" i="1"/>
  <c r="M187" i="1"/>
  <c r="H86" i="1"/>
  <c r="S191" i="1"/>
  <c r="H374" i="1"/>
  <c r="U227" i="1"/>
  <c r="AA375" i="1"/>
  <c r="H220" i="1"/>
  <c r="R370" i="1"/>
  <c r="AA108" i="1"/>
  <c r="AB168" i="1"/>
  <c r="AC168" i="1" s="1"/>
  <c r="U211" i="1"/>
  <c r="W202" i="1"/>
  <c r="W408" i="1"/>
  <c r="W227" i="1"/>
  <c r="P86" i="1"/>
  <c r="R374" i="1"/>
  <c r="S408" i="1"/>
  <c r="M170" i="1"/>
  <c r="U408" i="1"/>
  <c r="P371" i="1"/>
  <c r="R375" i="1"/>
  <c r="R188" i="1"/>
  <c r="P191" i="1"/>
  <c r="AA107" i="1"/>
  <c r="R376" i="1"/>
  <c r="S220" i="1"/>
  <c r="S229" i="1" s="1"/>
  <c r="AA183" i="1"/>
  <c r="U220" i="1"/>
  <c r="W391" i="1"/>
  <c r="W105" i="1"/>
  <c r="W392" i="1"/>
  <c r="K229" i="1"/>
  <c r="P187" i="1"/>
  <c r="K373" i="1"/>
  <c r="W382" i="1"/>
  <c r="P190" i="1"/>
  <c r="P185" i="1"/>
  <c r="R373" i="1"/>
  <c r="R377" i="1"/>
  <c r="R190" i="1"/>
  <c r="P107" i="1"/>
  <c r="U138" i="1"/>
  <c r="U137" i="1"/>
  <c r="U136" i="1"/>
  <c r="W108" i="1"/>
  <c r="O170" i="1"/>
  <c r="K215" i="1"/>
  <c r="AB304" i="1"/>
  <c r="AC304" i="1" s="1"/>
  <c r="P183" i="1"/>
  <c r="W211" i="1"/>
  <c r="P186" i="1"/>
  <c r="P373" i="1"/>
  <c r="W401" i="1"/>
  <c r="P195" i="1"/>
  <c r="R197" i="1"/>
  <c r="R187" i="1"/>
  <c r="R194" i="1"/>
  <c r="P196" i="1"/>
  <c r="AA190" i="1"/>
  <c r="U382" i="1"/>
  <c r="U391" i="1"/>
  <c r="P376" i="1"/>
  <c r="P375" i="1"/>
  <c r="AA306" i="1"/>
  <c r="R211" i="1"/>
  <c r="R56" i="1"/>
  <c r="R71" i="1" s="1"/>
  <c r="Y56" i="1"/>
  <c r="Y71" i="1" s="1"/>
  <c r="P188" i="1"/>
  <c r="P184" i="1"/>
  <c r="R392" i="1"/>
  <c r="M375" i="1"/>
  <c r="M86" i="1"/>
  <c r="H227" i="1"/>
  <c r="H408" i="1"/>
  <c r="H410" i="1" s="1"/>
  <c r="AA192" i="1"/>
  <c r="AA377" i="1"/>
  <c r="H149" i="1"/>
  <c r="H159" i="1" s="1"/>
  <c r="H170" i="1" s="1"/>
  <c r="AB262" i="1"/>
  <c r="AC262" i="1" s="1"/>
  <c r="Y310" i="1"/>
  <c r="P194" i="1"/>
  <c r="W137" i="1"/>
  <c r="M371" i="1"/>
  <c r="W87" i="1"/>
  <c r="W306" i="1"/>
  <c r="W213" i="1"/>
  <c r="M373" i="1"/>
  <c r="M195" i="1"/>
  <c r="P197" i="1"/>
  <c r="M197" i="1"/>
  <c r="M370" i="1"/>
  <c r="M294" i="1"/>
  <c r="H56" i="1"/>
  <c r="H58" i="1" s="1"/>
  <c r="AB296" i="1"/>
  <c r="AC296" i="1" s="1"/>
  <c r="M186" i="1"/>
  <c r="M374" i="1"/>
  <c r="M190" i="1"/>
  <c r="AB387" i="1"/>
  <c r="AC387" i="1" s="1"/>
  <c r="AB225" i="1"/>
  <c r="AC225" i="1" s="1"/>
  <c r="AA170" i="1"/>
  <c r="W220" i="1"/>
  <c r="W139" i="1"/>
  <c r="AA371" i="1"/>
  <c r="W89" i="1"/>
  <c r="W78" i="1"/>
  <c r="P192" i="1"/>
  <c r="P372" i="1"/>
  <c r="R78" i="1"/>
  <c r="AA310" i="1"/>
  <c r="AB110" i="1"/>
  <c r="AC110" i="1" s="1"/>
  <c r="P370" i="1"/>
  <c r="P374" i="1"/>
  <c r="R408" i="1"/>
  <c r="M377" i="1"/>
  <c r="M189" i="1"/>
  <c r="M185" i="1"/>
  <c r="AA86" i="1"/>
  <c r="M56" i="1"/>
  <c r="M71" i="1" s="1"/>
  <c r="M376" i="1"/>
  <c r="P377" i="1"/>
  <c r="W136" i="1"/>
  <c r="M372" i="1"/>
  <c r="M107" i="1"/>
  <c r="W138" i="1"/>
  <c r="M194" i="1"/>
  <c r="M184" i="1"/>
  <c r="P189" i="1"/>
  <c r="P193" i="1"/>
  <c r="AB425" i="1"/>
  <c r="AC425" i="1" s="1"/>
  <c r="I190" i="1"/>
  <c r="AA392" i="1"/>
  <c r="AA139" i="1"/>
  <c r="S139" i="1"/>
  <c r="S78" i="1"/>
  <c r="S213" i="1"/>
  <c r="AB383" i="1"/>
  <c r="AC383" i="1" s="1"/>
  <c r="AB305" i="1"/>
  <c r="AC305" i="1" s="1"/>
  <c r="AB406" i="1"/>
  <c r="AC406" i="1" s="1"/>
  <c r="K294" i="1"/>
  <c r="K370" i="1"/>
  <c r="AA196" i="1"/>
  <c r="AA197" i="1"/>
  <c r="AA376" i="1"/>
  <c r="AA370" i="1"/>
  <c r="AA372" i="1"/>
  <c r="AA189" i="1"/>
  <c r="AA294" i="1"/>
  <c r="K107" i="1"/>
  <c r="AA193" i="1"/>
  <c r="E441" i="2"/>
  <c r="E448" i="2" s="1"/>
  <c r="R136" i="1"/>
  <c r="R202" i="1"/>
  <c r="AA211" i="1"/>
  <c r="AA105" i="1"/>
  <c r="R186" i="1"/>
  <c r="R294" i="1"/>
  <c r="R189" i="1"/>
  <c r="R184" i="1"/>
  <c r="R183" i="1"/>
  <c r="R107" i="1"/>
  <c r="Y184" i="1"/>
  <c r="S138" i="1"/>
  <c r="S211" i="1"/>
  <c r="S310" i="1"/>
  <c r="S108" i="1"/>
  <c r="AB119" i="1"/>
  <c r="AC119" i="1" s="1"/>
  <c r="R105" i="1"/>
  <c r="AA185" i="1"/>
  <c r="AA191" i="1"/>
  <c r="AA187" i="1"/>
  <c r="AA186" i="1"/>
  <c r="AB303" i="1"/>
  <c r="AC303" i="1" s="1"/>
  <c r="AB117" i="1"/>
  <c r="AC117" i="1" s="1"/>
  <c r="K195" i="1"/>
  <c r="K185" i="1"/>
  <c r="U108" i="1"/>
  <c r="U202" i="1"/>
  <c r="U306" i="1"/>
  <c r="U139" i="1"/>
  <c r="U89" i="1"/>
  <c r="U213" i="1"/>
  <c r="AA188" i="1"/>
  <c r="K197" i="1"/>
  <c r="AA382" i="1"/>
  <c r="S202" i="1"/>
  <c r="S391" i="1"/>
  <c r="K374" i="1"/>
  <c r="K193" i="1"/>
  <c r="K187" i="1"/>
  <c r="R306" i="1"/>
  <c r="AA136" i="1"/>
  <c r="AA220" i="1"/>
  <c r="R372" i="1"/>
  <c r="R86" i="1"/>
  <c r="R371" i="1"/>
  <c r="R193" i="1"/>
  <c r="R195" i="1"/>
  <c r="Y377" i="1"/>
  <c r="S392" i="1"/>
  <c r="S89" i="1"/>
  <c r="S382" i="1"/>
  <c r="R139" i="1"/>
  <c r="AA194" i="1"/>
  <c r="AA374" i="1"/>
  <c r="AA56" i="1"/>
  <c r="AA71" i="1" s="1"/>
  <c r="AA184" i="1"/>
  <c r="K376" i="1"/>
  <c r="U87" i="1"/>
  <c r="U392" i="1"/>
  <c r="U78" i="1"/>
  <c r="U401" i="1"/>
  <c r="AA373" i="1"/>
  <c r="AB384" i="1"/>
  <c r="AC384" i="1" s="1"/>
  <c r="AB221" i="1"/>
  <c r="AC221" i="1" s="1"/>
  <c r="Y78" i="1"/>
  <c r="Y211" i="1"/>
  <c r="Y139" i="1"/>
  <c r="AB207" i="1"/>
  <c r="AC207" i="1" s="1"/>
  <c r="H293" i="1"/>
  <c r="Y202" i="1"/>
  <c r="Y87" i="1"/>
  <c r="K192" i="1"/>
  <c r="K196" i="1"/>
  <c r="K86" i="1"/>
  <c r="K191" i="1"/>
  <c r="K371" i="1"/>
  <c r="AA137" i="1"/>
  <c r="AA78" i="1"/>
  <c r="AA138" i="1"/>
  <c r="AA202" i="1"/>
  <c r="AA213" i="1"/>
  <c r="Y194" i="1"/>
  <c r="AB118" i="1"/>
  <c r="AC118" i="1" s="1"/>
  <c r="AB302" i="1"/>
  <c r="AC302" i="1" s="1"/>
  <c r="AB203" i="1"/>
  <c r="AC203" i="1" s="1"/>
  <c r="AB402" i="1"/>
  <c r="AC402" i="1" s="1"/>
  <c r="Y89" i="1"/>
  <c r="H337" i="1"/>
  <c r="H347" i="1" s="1"/>
  <c r="H358" i="1" s="1"/>
  <c r="Y105" i="1"/>
  <c r="K184" i="1"/>
  <c r="K186" i="1"/>
  <c r="K194" i="1"/>
  <c r="Y401" i="1"/>
  <c r="Y213" i="1"/>
  <c r="Y136" i="1"/>
  <c r="Y408" i="1"/>
  <c r="R192" i="1"/>
  <c r="R196" i="1"/>
  <c r="R185" i="1"/>
  <c r="K394" i="1"/>
  <c r="R87" i="1"/>
  <c r="R401" i="1"/>
  <c r="R138" i="1"/>
  <c r="R108" i="1"/>
  <c r="R213" i="1"/>
  <c r="R391" i="1"/>
  <c r="R227" i="1"/>
  <c r="R310" i="1"/>
  <c r="AB24" i="1"/>
  <c r="AC24" i="1" s="1"/>
  <c r="Y306" i="1"/>
  <c r="K190" i="1"/>
  <c r="K189" i="1"/>
  <c r="AA89" i="1"/>
  <c r="AA227" i="1"/>
  <c r="AA87" i="1"/>
  <c r="AA391" i="1"/>
  <c r="AA408" i="1"/>
  <c r="AA410" i="1" s="1"/>
  <c r="AB210" i="1"/>
  <c r="AC210" i="1" s="1"/>
  <c r="AB204" i="1"/>
  <c r="AC204" i="1" s="1"/>
  <c r="AB208" i="1"/>
  <c r="AC208" i="1" s="1"/>
  <c r="Y108" i="1"/>
  <c r="H106" i="1"/>
  <c r="Y220" i="1"/>
  <c r="AB388" i="1"/>
  <c r="AC388" i="1" s="1"/>
  <c r="K377" i="1"/>
  <c r="K56" i="1"/>
  <c r="K73" i="1" s="1"/>
  <c r="K375" i="1"/>
  <c r="K183" i="1"/>
  <c r="Y138" i="1"/>
  <c r="Y391" i="1"/>
  <c r="Y382" i="1"/>
  <c r="H306" i="1"/>
  <c r="H391" i="1"/>
  <c r="H136" i="1"/>
  <c r="H211" i="1"/>
  <c r="H310" i="1"/>
  <c r="H139" i="1"/>
  <c r="H392" i="1"/>
  <c r="H382" i="1"/>
  <c r="H137" i="1"/>
  <c r="H105" i="1"/>
  <c r="H89" i="1"/>
  <c r="H213" i="1"/>
  <c r="H78" i="1"/>
  <c r="H108" i="1"/>
  <c r="H202" i="1"/>
  <c r="H138" i="1"/>
  <c r="H87" i="1"/>
  <c r="Y197" i="1"/>
  <c r="Y189" i="1"/>
  <c r="Y107" i="1"/>
  <c r="Y188" i="1"/>
  <c r="Y190" i="1"/>
  <c r="Y374" i="1"/>
  <c r="Y187" i="1"/>
  <c r="Y193" i="1"/>
  <c r="Y375" i="1"/>
  <c r="Y192" i="1"/>
  <c r="Y372" i="1"/>
  <c r="Y185" i="1"/>
  <c r="AB390" i="1"/>
  <c r="AC390" i="1" s="1"/>
  <c r="Y294" i="1"/>
  <c r="Y186" i="1"/>
  <c r="Y371" i="1"/>
  <c r="Y183" i="1"/>
  <c r="Y376" i="1"/>
  <c r="P85" i="1"/>
  <c r="P337" i="1"/>
  <c r="P347" i="1" s="1"/>
  <c r="P358" i="1" s="1"/>
  <c r="P293" i="1"/>
  <c r="P80" i="1"/>
  <c r="P149" i="1"/>
  <c r="P159" i="1" s="1"/>
  <c r="P170" i="1" s="1"/>
  <c r="P106" i="1"/>
  <c r="AB356" i="1"/>
  <c r="AC356" i="1" s="1"/>
  <c r="AB407" i="1"/>
  <c r="AC407" i="1" s="1"/>
  <c r="M213" i="1"/>
  <c r="M408" i="1"/>
  <c r="M310" i="1"/>
  <c r="M391" i="1"/>
  <c r="M137" i="1"/>
  <c r="M401" i="1"/>
  <c r="M108" i="1"/>
  <c r="M306" i="1"/>
  <c r="M139" i="1"/>
  <c r="M211" i="1"/>
  <c r="M227" i="1"/>
  <c r="M382" i="1"/>
  <c r="M220" i="1"/>
  <c r="M392" i="1"/>
  <c r="M202" i="1"/>
  <c r="M78" i="1"/>
  <c r="M87" i="1"/>
  <c r="M89" i="1"/>
  <c r="M136" i="1"/>
  <c r="M105" i="1"/>
  <c r="M138" i="1"/>
  <c r="U374" i="1"/>
  <c r="U187" i="1"/>
  <c r="U370" i="1"/>
  <c r="U376" i="1"/>
  <c r="U197" i="1"/>
  <c r="U191" i="1"/>
  <c r="U193" i="1"/>
  <c r="U194" i="1"/>
  <c r="U375" i="1"/>
  <c r="U196" i="1"/>
  <c r="U188" i="1"/>
  <c r="U56" i="1"/>
  <c r="U86" i="1"/>
  <c r="U377" i="1"/>
  <c r="U183" i="1"/>
  <c r="U190" i="1"/>
  <c r="U195" i="1"/>
  <c r="U184" i="1"/>
  <c r="U373" i="1"/>
  <c r="U189" i="1"/>
  <c r="U371" i="1"/>
  <c r="U192" i="1"/>
  <c r="U107" i="1"/>
  <c r="U372" i="1"/>
  <c r="U186" i="1"/>
  <c r="U294" i="1"/>
  <c r="U185" i="1"/>
  <c r="AB116" i="1"/>
  <c r="AC116" i="1" s="1"/>
  <c r="Y195" i="1"/>
  <c r="Y196" i="1"/>
  <c r="Y370" i="1"/>
  <c r="Y86" i="1"/>
  <c r="Y373" i="1"/>
  <c r="I293" i="1"/>
  <c r="I337" i="1"/>
  <c r="I347" i="1" s="1"/>
  <c r="I358" i="1" s="1"/>
  <c r="I106" i="1"/>
  <c r="I85" i="1"/>
  <c r="I149" i="1"/>
  <c r="I159" i="1" s="1"/>
  <c r="I170" i="1" s="1"/>
  <c r="I80" i="1"/>
  <c r="S136" i="1"/>
  <c r="S87" i="1"/>
  <c r="S401" i="1"/>
  <c r="S137" i="1"/>
  <c r="AB226" i="1"/>
  <c r="AC226" i="1" s="1"/>
  <c r="I187" i="1"/>
  <c r="I370" i="1"/>
  <c r="I188" i="1"/>
  <c r="I186" i="1"/>
  <c r="I191" i="1"/>
  <c r="I377" i="1"/>
  <c r="I194" i="1"/>
  <c r="I86" i="1"/>
  <c r="I183" i="1"/>
  <c r="I197" i="1"/>
  <c r="I189" i="1"/>
  <c r="I374" i="1"/>
  <c r="I196" i="1"/>
  <c r="I192" i="1"/>
  <c r="I195" i="1"/>
  <c r="I376" i="1"/>
  <c r="I294" i="1"/>
  <c r="I107" i="1"/>
  <c r="I185" i="1"/>
  <c r="I373" i="1"/>
  <c r="I372" i="1"/>
  <c r="I193" i="1"/>
  <c r="I375" i="1"/>
  <c r="H121" i="18"/>
  <c r="I122" i="18"/>
  <c r="H122" i="18"/>
  <c r="D122" i="18" s="1"/>
  <c r="I121" i="18"/>
  <c r="H120" i="18"/>
  <c r="D120" i="18" s="1"/>
  <c r="I120" i="18"/>
  <c r="D121" i="18" s="1"/>
  <c r="D127" i="18" s="1"/>
  <c r="D130" i="18" s="1"/>
  <c r="D132" i="18" s="1"/>
  <c r="D133" i="18" s="1"/>
  <c r="I425" i="2"/>
  <c r="AG424" i="2"/>
  <c r="S447" i="2"/>
  <c r="AB109" i="1"/>
  <c r="AC109" i="1" s="1"/>
  <c r="D33" i="9"/>
  <c r="O44" i="15"/>
  <c r="R44" i="15" s="1"/>
  <c r="H24" i="18"/>
  <c r="D24" i="18" s="1"/>
  <c r="I26" i="18"/>
  <c r="I25" i="18"/>
  <c r="H26" i="18"/>
  <c r="D26" i="18" s="1"/>
  <c r="H25" i="18"/>
  <c r="I24" i="18"/>
  <c r="D25" i="18" s="1"/>
  <c r="D31" i="18" s="1"/>
  <c r="D34" i="18" s="1"/>
  <c r="D36" i="18" s="1"/>
  <c r="D37" i="18" s="1"/>
  <c r="O62" i="15"/>
  <c r="Q62" i="15"/>
  <c r="H10" i="15" s="1"/>
  <c r="H435" i="2" s="1"/>
  <c r="O94" i="15"/>
  <c r="R94" i="15" s="1"/>
  <c r="C203" i="15"/>
  <c r="I485" i="2"/>
  <c r="K423" i="2"/>
  <c r="I105" i="1"/>
  <c r="I213" i="1"/>
  <c r="I220" i="1"/>
  <c r="I306" i="1"/>
  <c r="I108" i="1"/>
  <c r="I139" i="1"/>
  <c r="I392" i="1"/>
  <c r="I138" i="1"/>
  <c r="I78" i="1"/>
  <c r="I89" i="1"/>
  <c r="I211" i="1"/>
  <c r="I401" i="1"/>
  <c r="I202" i="1"/>
  <c r="I87" i="1"/>
  <c r="I227" i="1"/>
  <c r="I137" i="1"/>
  <c r="I408" i="1"/>
  <c r="I56" i="1"/>
  <c r="I136" i="1"/>
  <c r="I391" i="1"/>
  <c r="I382" i="1"/>
  <c r="I310" i="1"/>
  <c r="S74" i="15"/>
  <c r="J11" i="15" s="1"/>
  <c r="AB440" i="1"/>
  <c r="AC440" i="1" s="1"/>
  <c r="F33" i="9"/>
  <c r="G9" i="9" s="1"/>
  <c r="I407" i="2" s="1"/>
  <c r="I408" i="2" s="1"/>
  <c r="W371" i="1"/>
  <c r="W192" i="1"/>
  <c r="W194" i="1"/>
  <c r="W372" i="1"/>
  <c r="W189" i="1"/>
  <c r="W376" i="1"/>
  <c r="W183" i="1"/>
  <c r="W188" i="1"/>
  <c r="W185" i="1"/>
  <c r="W193" i="1"/>
  <c r="W184" i="1"/>
  <c r="W191" i="1"/>
  <c r="W294" i="1"/>
  <c r="W86" i="1"/>
  <c r="W107" i="1"/>
  <c r="W186" i="1"/>
  <c r="W196" i="1"/>
  <c r="W190" i="1"/>
  <c r="W187" i="1"/>
  <c r="W370" i="1"/>
  <c r="W375" i="1"/>
  <c r="W377" i="1"/>
  <c r="W56" i="1"/>
  <c r="W374" i="1"/>
  <c r="W373" i="1"/>
  <c r="W197" i="1"/>
  <c r="W195" i="1"/>
  <c r="U447" i="2"/>
  <c r="U468" i="2" s="1"/>
  <c r="U475" i="2" s="1"/>
  <c r="T429" i="2"/>
  <c r="T416" i="2" s="1"/>
  <c r="O192" i="1"/>
  <c r="O372" i="1"/>
  <c r="O374" i="1"/>
  <c r="O186" i="1"/>
  <c r="O107" i="1"/>
  <c r="O184" i="1"/>
  <c r="O371" i="1"/>
  <c r="O187" i="1"/>
  <c r="O193" i="1"/>
  <c r="O197" i="1"/>
  <c r="O194" i="1"/>
  <c r="O195" i="1"/>
  <c r="O191" i="1"/>
  <c r="O185" i="1"/>
  <c r="O373" i="1"/>
  <c r="O370" i="1"/>
  <c r="O188" i="1"/>
  <c r="O375" i="1"/>
  <c r="O377" i="1"/>
  <c r="O183" i="1"/>
  <c r="O196" i="1"/>
  <c r="O376" i="1"/>
  <c r="AB35" i="1"/>
  <c r="AC35" i="1" s="1"/>
  <c r="O86" i="1"/>
  <c r="O189" i="1"/>
  <c r="O190" i="1"/>
  <c r="O294" i="1"/>
  <c r="J425" i="2"/>
  <c r="O72" i="15"/>
  <c r="Q72" i="15"/>
  <c r="H11" i="15" s="1"/>
  <c r="I435" i="2" s="1"/>
  <c r="AB246" i="1"/>
  <c r="AC246" i="1" s="1"/>
  <c r="AB295" i="1"/>
  <c r="AC295" i="1" s="1"/>
  <c r="D32" i="8"/>
  <c r="P341" i="2" l="1"/>
  <c r="P344" i="2"/>
  <c r="P343" i="2"/>
  <c r="O341" i="2"/>
  <c r="O344" i="2"/>
  <c r="O343" i="2"/>
  <c r="O360" i="2" s="1"/>
  <c r="H341" i="2"/>
  <c r="H344" i="2"/>
  <c r="H343" i="2"/>
  <c r="I341" i="2"/>
  <c r="I343" i="2"/>
  <c r="I344" i="2"/>
  <c r="J341" i="2"/>
  <c r="J343" i="2"/>
  <c r="J360" i="2" s="1"/>
  <c r="J344" i="2"/>
  <c r="I360" i="2"/>
  <c r="H360" i="2"/>
  <c r="E409" i="2"/>
  <c r="I427" i="2"/>
  <c r="I430" i="2" s="1"/>
  <c r="I429" i="2"/>
  <c r="H427" i="2"/>
  <c r="H430" i="2" s="1"/>
  <c r="H429" i="2"/>
  <c r="L427" i="2"/>
  <c r="L429" i="2"/>
  <c r="K401" i="2"/>
  <c r="P360" i="2"/>
  <c r="J427" i="2"/>
  <c r="J430" i="2" s="1"/>
  <c r="J429" i="2"/>
  <c r="AG346" i="2"/>
  <c r="AH346" i="2" s="1"/>
  <c r="AG347" i="2"/>
  <c r="AH347" i="2" s="1"/>
  <c r="AH345" i="2"/>
  <c r="N494" i="2"/>
  <c r="N428" i="2"/>
  <c r="N415" i="2" s="1"/>
  <c r="T412" i="2"/>
  <c r="M417" i="2"/>
  <c r="M416" i="2"/>
  <c r="L423" i="2"/>
  <c r="K415" i="2" s="1"/>
  <c r="L494" i="2"/>
  <c r="L440" i="2"/>
  <c r="L447" i="2" s="1"/>
  <c r="L487" i="2"/>
  <c r="K416" i="2"/>
  <c r="G423" i="2"/>
  <c r="G401" i="2" s="1"/>
  <c r="G494" i="2"/>
  <c r="G416" i="2"/>
  <c r="O412" i="2"/>
  <c r="F412" i="2"/>
  <c r="P412" i="2"/>
  <c r="G412" i="2"/>
  <c r="W412" i="2"/>
  <c r="X412" i="2"/>
  <c r="Y412" i="2"/>
  <c r="V412" i="2"/>
  <c r="AD412" i="2"/>
  <c r="AC412" i="2"/>
  <c r="AF412" i="2"/>
  <c r="S412" i="2"/>
  <c r="AA412" i="2"/>
  <c r="AB412" i="2"/>
  <c r="U412" i="2"/>
  <c r="AE412" i="2"/>
  <c r="N412" i="2"/>
  <c r="H484" i="2"/>
  <c r="H485" i="2" s="1"/>
  <c r="G440" i="2"/>
  <c r="G447" i="2" s="1"/>
  <c r="G468" i="2" s="1"/>
  <c r="G475" i="2" s="1"/>
  <c r="G487" i="2"/>
  <c r="AG409" i="2"/>
  <c r="AE316" i="2"/>
  <c r="AE338" i="2" s="1"/>
  <c r="R484" i="2"/>
  <c r="R485" i="2" s="1"/>
  <c r="R461" i="2"/>
  <c r="T461" i="2"/>
  <c r="T484" i="2"/>
  <c r="T485" i="2" s="1"/>
  <c r="P484" i="2"/>
  <c r="P485" i="2" s="1"/>
  <c r="P461" i="2"/>
  <c r="U484" i="2"/>
  <c r="U485" i="2" s="1"/>
  <c r="U461" i="2"/>
  <c r="Q461" i="2"/>
  <c r="Q484" i="2"/>
  <c r="Q485" i="2" s="1"/>
  <c r="S484" i="2"/>
  <c r="S485" i="2" s="1"/>
  <c r="S461" i="2"/>
  <c r="AG313" i="2"/>
  <c r="AH313" i="2" s="1"/>
  <c r="N440" i="2"/>
  <c r="N447" i="2" s="1"/>
  <c r="T124" i="15"/>
  <c r="K16" i="15" s="1"/>
  <c r="N432" i="2" s="1"/>
  <c r="T114" i="15"/>
  <c r="K15" i="15" s="1"/>
  <c r="M432" i="2" s="1"/>
  <c r="G25" i="15"/>
  <c r="T104" i="15"/>
  <c r="K14" i="15" s="1"/>
  <c r="L432" i="2" s="1"/>
  <c r="F25" i="15"/>
  <c r="E436" i="2" s="1"/>
  <c r="F416" i="2"/>
  <c r="E141" i="18"/>
  <c r="M484" i="2"/>
  <c r="M485" i="2" s="1"/>
  <c r="M461" i="2"/>
  <c r="O15" i="15"/>
  <c r="E40" i="4" s="1"/>
  <c r="O16" i="15"/>
  <c r="E41" i="4" s="1"/>
  <c r="O17" i="15"/>
  <c r="E42" i="4" s="1"/>
  <c r="AH424" i="2"/>
  <c r="O484" i="2"/>
  <c r="O485" i="2" s="1"/>
  <c r="O461" i="2"/>
  <c r="AG436" i="2"/>
  <c r="N484" i="2"/>
  <c r="N485" i="2" s="1"/>
  <c r="N461" i="2"/>
  <c r="M440" i="2"/>
  <c r="M447" i="2" s="1"/>
  <c r="M468" i="2" s="1"/>
  <c r="F461" i="2"/>
  <c r="F484" i="2"/>
  <c r="F485" i="2" s="1"/>
  <c r="AA9" i="1"/>
  <c r="S215" i="1"/>
  <c r="S231" i="1" s="1"/>
  <c r="O45" i="1"/>
  <c r="O46" i="1"/>
  <c r="M412" i="2"/>
  <c r="T54" i="15"/>
  <c r="K9" i="15" s="1"/>
  <c r="G432" i="2" s="1"/>
  <c r="O440" i="2"/>
  <c r="O447" i="2" s="1"/>
  <c r="O468" i="2" s="1"/>
  <c r="R412" i="2"/>
  <c r="R416" i="2"/>
  <c r="M423" i="2"/>
  <c r="M401" i="2" s="1"/>
  <c r="U423" i="2"/>
  <c r="U401" i="2" s="1"/>
  <c r="AG421" i="2"/>
  <c r="AG435" i="2"/>
  <c r="T494" i="2"/>
  <c r="T423" i="2"/>
  <c r="T401" i="2" s="1"/>
  <c r="S494" i="2"/>
  <c r="S423" i="2"/>
  <c r="S401" i="2" s="1"/>
  <c r="E426" i="2"/>
  <c r="K413" i="2" s="1"/>
  <c r="K412" i="2"/>
  <c r="H426" i="2"/>
  <c r="H25" i="15"/>
  <c r="E435" i="2" s="1"/>
  <c r="AF405" i="2" s="1"/>
  <c r="X316" i="2"/>
  <c r="X338" i="2" s="1"/>
  <c r="P440" i="2"/>
  <c r="P447" i="2" s="1"/>
  <c r="P468" i="2" s="1"/>
  <c r="P475" i="2" s="1"/>
  <c r="P487" i="2"/>
  <c r="G11" i="9"/>
  <c r="K407" i="2" s="1"/>
  <c r="K408" i="2" s="1"/>
  <c r="G12" i="9"/>
  <c r="L407" i="2" s="1"/>
  <c r="L408" i="2" s="1"/>
  <c r="G14" i="9"/>
  <c r="N407" i="2" s="1"/>
  <c r="N408" i="2" s="1"/>
  <c r="G16" i="9"/>
  <c r="G13" i="9"/>
  <c r="M407" i="2" s="1"/>
  <c r="M408" i="2" s="1"/>
  <c r="G15" i="9"/>
  <c r="O407" i="2" s="1"/>
  <c r="O408" i="2" s="1"/>
  <c r="Y316" i="2"/>
  <c r="Y338" i="2" s="1"/>
  <c r="T316" i="2"/>
  <c r="T338" i="2" s="1"/>
  <c r="S316" i="2"/>
  <c r="S338" i="2" s="1"/>
  <c r="W316" i="2"/>
  <c r="W338" i="2" s="1"/>
  <c r="AD316" i="2"/>
  <c r="AD338" i="2" s="1"/>
  <c r="P316" i="2"/>
  <c r="P338" i="2" s="1"/>
  <c r="AF316" i="2"/>
  <c r="AF338" i="2" s="1"/>
  <c r="AC316" i="2"/>
  <c r="AC338" i="2" s="1"/>
  <c r="AB316" i="2"/>
  <c r="AB338" i="2" s="1"/>
  <c r="V316" i="2"/>
  <c r="V338" i="2" s="1"/>
  <c r="Z316" i="2"/>
  <c r="Z338" i="2" s="1"/>
  <c r="U316" i="2"/>
  <c r="U338" i="2" s="1"/>
  <c r="R316" i="2"/>
  <c r="R338" i="2" s="1"/>
  <c r="Q316" i="2"/>
  <c r="Q338" i="2" s="1"/>
  <c r="AA316" i="2"/>
  <c r="AA338" i="2" s="1"/>
  <c r="L426" i="2"/>
  <c r="Q494" i="2"/>
  <c r="Q423" i="2"/>
  <c r="Q401" i="2" s="1"/>
  <c r="R494" i="2"/>
  <c r="R423" i="2"/>
  <c r="R401" i="2" s="1"/>
  <c r="N423" i="2"/>
  <c r="E421" i="2"/>
  <c r="O10" i="15"/>
  <c r="E35" i="4" s="1"/>
  <c r="O8" i="15"/>
  <c r="E33" i="4" s="1"/>
  <c r="O11" i="15"/>
  <c r="E36" i="4" s="1"/>
  <c r="O18" i="15"/>
  <c r="O25" i="15"/>
  <c r="O9" i="15"/>
  <c r="E34" i="4" s="1"/>
  <c r="N25" i="15"/>
  <c r="O22" i="15"/>
  <c r="O21" i="15"/>
  <c r="O14" i="15"/>
  <c r="E39" i="4" s="1"/>
  <c r="O23" i="15"/>
  <c r="O13" i="15"/>
  <c r="E38" i="4" s="1"/>
  <c r="O12" i="15"/>
  <c r="E37" i="4" s="1"/>
  <c r="O20" i="15"/>
  <c r="O19" i="15"/>
  <c r="AB417" i="2"/>
  <c r="AC417" i="2"/>
  <c r="S417" i="2"/>
  <c r="P417" i="2"/>
  <c r="AE417" i="2"/>
  <c r="AA417" i="2"/>
  <c r="U417" i="2"/>
  <c r="R417" i="2"/>
  <c r="AF417" i="2"/>
  <c r="G417" i="2"/>
  <c r="X417" i="2"/>
  <c r="W417" i="2"/>
  <c r="N417" i="2"/>
  <c r="Q417" i="2"/>
  <c r="Z417" i="2"/>
  <c r="O417" i="2"/>
  <c r="T417" i="2"/>
  <c r="AD417" i="2"/>
  <c r="V417" i="2"/>
  <c r="F417" i="2"/>
  <c r="Y417" i="2"/>
  <c r="G10" i="9"/>
  <c r="J407" i="2" s="1"/>
  <c r="J408" i="2" s="1"/>
  <c r="Q412" i="2"/>
  <c r="Q416" i="2"/>
  <c r="I364" i="1"/>
  <c r="U229" i="1"/>
  <c r="Y73" i="1"/>
  <c r="R229" i="1"/>
  <c r="M410" i="1"/>
  <c r="Y67" i="1"/>
  <c r="R410" i="1"/>
  <c r="Y410" i="1"/>
  <c r="S68" i="1"/>
  <c r="S69" i="1"/>
  <c r="K412" i="1"/>
  <c r="H229" i="1"/>
  <c r="S72" i="1"/>
  <c r="Y70" i="1"/>
  <c r="S379" i="1"/>
  <c r="S73" i="1"/>
  <c r="Y8" i="1"/>
  <c r="S410" i="1"/>
  <c r="AB106" i="1"/>
  <c r="AC106" i="1" s="1"/>
  <c r="AG441" i="2"/>
  <c r="AH441" i="2" s="1"/>
  <c r="H309" i="1"/>
  <c r="H379" i="1"/>
  <c r="H199" i="1"/>
  <c r="AA394" i="1"/>
  <c r="AA412" i="1" s="1"/>
  <c r="H8" i="1"/>
  <c r="R70" i="1"/>
  <c r="H77" i="1"/>
  <c r="H64" i="1"/>
  <c r="H73" i="1"/>
  <c r="H71" i="1"/>
  <c r="S199" i="1"/>
  <c r="S67" i="1"/>
  <c r="S77" i="1"/>
  <c r="W215" i="1"/>
  <c r="S58" i="1"/>
  <c r="S8" i="1"/>
  <c r="S71" i="1"/>
  <c r="S309" i="1"/>
  <c r="S10" i="1"/>
  <c r="S65" i="1"/>
  <c r="S66" i="1"/>
  <c r="Y58" i="1"/>
  <c r="Y65" i="1"/>
  <c r="M69" i="1"/>
  <c r="Y229" i="1"/>
  <c r="W229" i="1"/>
  <c r="S64" i="1"/>
  <c r="S70" i="1"/>
  <c r="S63" i="1"/>
  <c r="Y10" i="1"/>
  <c r="Y63" i="1"/>
  <c r="H66" i="1"/>
  <c r="H72" i="1"/>
  <c r="W410" i="1"/>
  <c r="U410" i="1"/>
  <c r="Y72" i="1"/>
  <c r="Y9" i="1"/>
  <c r="Y66" i="1"/>
  <c r="Y309" i="1"/>
  <c r="H67" i="1"/>
  <c r="H69" i="1"/>
  <c r="H68" i="1"/>
  <c r="H63" i="1"/>
  <c r="H70" i="1"/>
  <c r="K231" i="1"/>
  <c r="W394" i="1"/>
  <c r="Y68" i="1"/>
  <c r="Y64" i="1"/>
  <c r="Y69" i="1"/>
  <c r="Y77" i="1"/>
  <c r="H9" i="1"/>
  <c r="H65" i="1"/>
  <c r="H10" i="1"/>
  <c r="Y215" i="1"/>
  <c r="K58" i="1"/>
  <c r="AB293" i="1"/>
  <c r="AC293" i="1" s="1"/>
  <c r="U141" i="1"/>
  <c r="W141" i="1"/>
  <c r="P199" i="1"/>
  <c r="R10" i="1"/>
  <c r="M68" i="1"/>
  <c r="R394" i="1"/>
  <c r="R141" i="1"/>
  <c r="P379" i="1"/>
  <c r="M199" i="1"/>
  <c r="M379" i="1"/>
  <c r="R77" i="1"/>
  <c r="R9" i="1"/>
  <c r="M10" i="1"/>
  <c r="M66" i="1"/>
  <c r="R215" i="1"/>
  <c r="U394" i="1"/>
  <c r="AB195" i="1"/>
  <c r="AC195" i="1" s="1"/>
  <c r="AB187" i="1"/>
  <c r="AC187" i="1" s="1"/>
  <c r="AB186" i="1"/>
  <c r="AC186" i="1" s="1"/>
  <c r="R67" i="1"/>
  <c r="M77" i="1"/>
  <c r="R69" i="1"/>
  <c r="R66" i="1"/>
  <c r="M67" i="1"/>
  <c r="M72" i="1"/>
  <c r="K199" i="1"/>
  <c r="AA141" i="1"/>
  <c r="AA379" i="1"/>
  <c r="R8" i="1"/>
  <c r="R58" i="1"/>
  <c r="R72" i="1"/>
  <c r="R73" i="1"/>
  <c r="E469" i="2"/>
  <c r="E471" i="2" s="1"/>
  <c r="M65" i="1"/>
  <c r="M309" i="1"/>
  <c r="M9" i="1"/>
  <c r="S394" i="1"/>
  <c r="R379" i="1"/>
  <c r="U215" i="1"/>
  <c r="AA199" i="1"/>
  <c r="R199" i="1"/>
  <c r="R68" i="1"/>
  <c r="R63" i="1"/>
  <c r="AB80" i="1"/>
  <c r="AC80" i="1" s="1"/>
  <c r="M73" i="1"/>
  <c r="M64" i="1"/>
  <c r="K9" i="1"/>
  <c r="AA215" i="1"/>
  <c r="AB149" i="1"/>
  <c r="AC149" i="1" s="1"/>
  <c r="R309" i="1"/>
  <c r="R64" i="1"/>
  <c r="R65" i="1"/>
  <c r="M8" i="1"/>
  <c r="M63" i="1"/>
  <c r="M58" i="1"/>
  <c r="M70" i="1"/>
  <c r="H215" i="1"/>
  <c r="AA63" i="1"/>
  <c r="AA73" i="1"/>
  <c r="AA68" i="1"/>
  <c r="AA67" i="1"/>
  <c r="AA66" i="1"/>
  <c r="AA65" i="1"/>
  <c r="K66" i="1"/>
  <c r="AA64" i="1"/>
  <c r="AB371" i="1"/>
  <c r="AC371" i="1" s="1"/>
  <c r="E443" i="2"/>
  <c r="I199" i="1"/>
  <c r="AB189" i="1"/>
  <c r="AC189" i="1" s="1"/>
  <c r="AA77" i="1"/>
  <c r="K63" i="1"/>
  <c r="K71" i="1"/>
  <c r="AA58" i="1"/>
  <c r="AA229" i="1"/>
  <c r="AA8" i="1"/>
  <c r="AA69" i="1"/>
  <c r="AA72" i="1"/>
  <c r="K10" i="1"/>
  <c r="AA309" i="1"/>
  <c r="K379" i="1"/>
  <c r="AA10" i="1"/>
  <c r="K72" i="1"/>
  <c r="K77" i="1"/>
  <c r="H394" i="1"/>
  <c r="H412" i="1" s="1"/>
  <c r="H141" i="1"/>
  <c r="Y394" i="1"/>
  <c r="Y141" i="1"/>
  <c r="AA70" i="1"/>
  <c r="AB337" i="1"/>
  <c r="AC337" i="1" s="1"/>
  <c r="AB85" i="1"/>
  <c r="AC85" i="1" s="1"/>
  <c r="M229" i="1"/>
  <c r="Y199" i="1"/>
  <c r="Y379" i="1"/>
  <c r="K67" i="1"/>
  <c r="K68" i="1"/>
  <c r="K69" i="1"/>
  <c r="K70" i="1"/>
  <c r="K65" i="1"/>
  <c r="I379" i="1"/>
  <c r="S141" i="1"/>
  <c r="M394" i="1"/>
  <c r="K64" i="1"/>
  <c r="K309" i="1"/>
  <c r="K8" i="1"/>
  <c r="AB376" i="1"/>
  <c r="AC376" i="1" s="1"/>
  <c r="AB375" i="1"/>
  <c r="AC375" i="1" s="1"/>
  <c r="AB185" i="1"/>
  <c r="AC185" i="1" s="1"/>
  <c r="AB197" i="1"/>
  <c r="AC197" i="1" s="1"/>
  <c r="AB184" i="1"/>
  <c r="AC184" i="1" s="1"/>
  <c r="AB372" i="1"/>
  <c r="AC372" i="1" s="1"/>
  <c r="M141" i="1"/>
  <c r="M215" i="1"/>
  <c r="U199" i="1"/>
  <c r="U379" i="1"/>
  <c r="AB190" i="1"/>
  <c r="AC190" i="1" s="1"/>
  <c r="AB377" i="1"/>
  <c r="AC377" i="1" s="1"/>
  <c r="AB373" i="1"/>
  <c r="AC373" i="1" s="1"/>
  <c r="AB194" i="1"/>
  <c r="AC194" i="1" s="1"/>
  <c r="AB374" i="1"/>
  <c r="AC374" i="1" s="1"/>
  <c r="AB86" i="1"/>
  <c r="AC86" i="1" s="1"/>
  <c r="AB196" i="1"/>
  <c r="AC196" i="1" s="1"/>
  <c r="AB188" i="1"/>
  <c r="AC188" i="1" s="1"/>
  <c r="AB191" i="1"/>
  <c r="AC191" i="1" s="1"/>
  <c r="AB193" i="1"/>
  <c r="AC193" i="1" s="1"/>
  <c r="AB107" i="1"/>
  <c r="AC107" i="1" s="1"/>
  <c r="AB192" i="1"/>
  <c r="AC192" i="1" s="1"/>
  <c r="U68" i="1"/>
  <c r="U70" i="1"/>
  <c r="U69" i="1"/>
  <c r="U10" i="1"/>
  <c r="U67" i="1"/>
  <c r="U9" i="1"/>
  <c r="U58" i="1"/>
  <c r="U65" i="1"/>
  <c r="U8" i="1"/>
  <c r="U309" i="1"/>
  <c r="U66" i="1"/>
  <c r="U63" i="1"/>
  <c r="U71" i="1"/>
  <c r="U64" i="1"/>
  <c r="U72" i="1"/>
  <c r="U77" i="1"/>
  <c r="U73" i="1"/>
  <c r="F32" i="8"/>
  <c r="E203" i="15"/>
  <c r="E205" i="15" s="1"/>
  <c r="O74" i="15"/>
  <c r="R74" i="15" s="1"/>
  <c r="I314" i="2"/>
  <c r="I410" i="1"/>
  <c r="T94" i="15"/>
  <c r="K13" i="15" s="1"/>
  <c r="K432" i="2" s="1"/>
  <c r="I13" i="15"/>
  <c r="K434" i="2" s="1"/>
  <c r="K487" i="2" s="1"/>
  <c r="F203" i="15"/>
  <c r="F205" i="15" s="1"/>
  <c r="G203" i="15"/>
  <c r="G205" i="15" s="1"/>
  <c r="Q468" i="2"/>
  <c r="G8" i="9"/>
  <c r="H407" i="2" s="1"/>
  <c r="H408" i="2" s="1"/>
  <c r="G7" i="9"/>
  <c r="G407" i="2" s="1"/>
  <c r="G408" i="2" s="1"/>
  <c r="G6" i="9"/>
  <c r="E33" i="9"/>
  <c r="I433" i="2"/>
  <c r="I141" i="1"/>
  <c r="D38" i="18"/>
  <c r="D140" i="18" s="1"/>
  <c r="O471" i="1" s="1"/>
  <c r="O470" i="1" s="1"/>
  <c r="E140" i="18"/>
  <c r="J426" i="2"/>
  <c r="E450" i="2"/>
  <c r="AG448" i="2"/>
  <c r="AH448" i="2" s="1"/>
  <c r="W379" i="1"/>
  <c r="I73" i="1"/>
  <c r="I9" i="1"/>
  <c r="I65" i="1"/>
  <c r="I72" i="1"/>
  <c r="I58" i="1"/>
  <c r="I309" i="1"/>
  <c r="I66" i="1"/>
  <c r="I68" i="1"/>
  <c r="I63" i="1"/>
  <c r="I71" i="1"/>
  <c r="I67" i="1"/>
  <c r="I69" i="1"/>
  <c r="I8" i="1"/>
  <c r="I77" i="1"/>
  <c r="I64" i="1"/>
  <c r="I70" i="1"/>
  <c r="I10" i="1"/>
  <c r="I229" i="1"/>
  <c r="W358" i="1"/>
  <c r="AB347" i="1"/>
  <c r="AC347" i="1" s="1"/>
  <c r="F330" i="1"/>
  <c r="D134" i="18"/>
  <c r="D142" i="18" s="1"/>
  <c r="O473" i="1" s="1"/>
  <c r="E142" i="18"/>
  <c r="AB294" i="1"/>
  <c r="AC294" i="1" s="1"/>
  <c r="O199" i="1"/>
  <c r="AB183" i="1"/>
  <c r="AC183" i="1" s="1"/>
  <c r="O379" i="1"/>
  <c r="AB370" i="1"/>
  <c r="AC370" i="1" s="1"/>
  <c r="W170" i="1"/>
  <c r="AB159" i="1"/>
  <c r="AC159" i="1" s="1"/>
  <c r="W67" i="1"/>
  <c r="W70" i="1"/>
  <c r="W73" i="1"/>
  <c r="W77" i="1"/>
  <c r="W10" i="1"/>
  <c r="W63" i="1"/>
  <c r="W58" i="1"/>
  <c r="W65" i="1"/>
  <c r="W309" i="1"/>
  <c r="W68" i="1"/>
  <c r="W9" i="1"/>
  <c r="W69" i="1"/>
  <c r="W64" i="1"/>
  <c r="W66" i="1"/>
  <c r="W71" i="1"/>
  <c r="W72" i="1"/>
  <c r="W8" i="1"/>
  <c r="W199" i="1"/>
  <c r="I394" i="1"/>
  <c r="I215" i="1"/>
  <c r="C205" i="15"/>
  <c r="O64" i="15"/>
  <c r="R64" i="15" s="1"/>
  <c r="D203" i="15"/>
  <c r="D205" i="15" s="1"/>
  <c r="I8" i="15"/>
  <c r="T44" i="15"/>
  <c r="K8" i="15" s="1"/>
  <c r="S468" i="2"/>
  <c r="I426" i="2"/>
  <c r="AG425" i="2"/>
  <c r="AH425" i="2" s="1"/>
  <c r="T341" i="2" l="1"/>
  <c r="T344" i="2"/>
  <c r="T343" i="2"/>
  <c r="G341" i="2"/>
  <c r="G344" i="2"/>
  <c r="G343" i="2"/>
  <c r="G360" i="2" s="1"/>
  <c r="U341" i="2"/>
  <c r="U344" i="2"/>
  <c r="U343" i="2"/>
  <c r="K341" i="2"/>
  <c r="K344" i="2"/>
  <c r="K343" i="2"/>
  <c r="R341" i="2"/>
  <c r="R343" i="2"/>
  <c r="R360" i="2" s="1"/>
  <c r="R344" i="2"/>
  <c r="M341" i="2"/>
  <c r="M344" i="2"/>
  <c r="M343" i="2"/>
  <c r="S341" i="2"/>
  <c r="S343" i="2"/>
  <c r="S360" i="2" s="1"/>
  <c r="S344" i="2"/>
  <c r="Q341" i="2"/>
  <c r="Q343" i="2"/>
  <c r="Q360" i="2" s="1"/>
  <c r="Q344" i="2"/>
  <c r="U360" i="2"/>
  <c r="M360" i="2"/>
  <c r="K360" i="2"/>
  <c r="T360" i="2"/>
  <c r="L401" i="2"/>
  <c r="L415" i="2"/>
  <c r="P473" i="1"/>
  <c r="P47" i="1" s="1"/>
  <c r="P472" i="1"/>
  <c r="P46" i="1" s="1"/>
  <c r="P471" i="1"/>
  <c r="M415" i="2"/>
  <c r="AG428" i="2"/>
  <c r="AH428" i="2" s="1"/>
  <c r="L416" i="2"/>
  <c r="J417" i="2"/>
  <c r="H417" i="2"/>
  <c r="AH409" i="2"/>
  <c r="AH436" i="2"/>
  <c r="C35" i="15"/>
  <c r="C34" i="15"/>
  <c r="E35" i="15"/>
  <c r="E34" i="15"/>
  <c r="G35" i="15"/>
  <c r="G34" i="15"/>
  <c r="D35" i="15"/>
  <c r="D34" i="15"/>
  <c r="F35" i="15"/>
  <c r="F34" i="15"/>
  <c r="H413" i="2"/>
  <c r="X413" i="2"/>
  <c r="AA413" i="2"/>
  <c r="AD413" i="2"/>
  <c r="Y413" i="2"/>
  <c r="AC413" i="2"/>
  <c r="W413" i="2"/>
  <c r="Z413" i="2"/>
  <c r="AB413" i="2"/>
  <c r="AE413" i="2"/>
  <c r="AF413" i="2"/>
  <c r="V413" i="2"/>
  <c r="Q413" i="2"/>
  <c r="R413" i="2"/>
  <c r="S413" i="2"/>
  <c r="G413" i="2"/>
  <c r="U413" i="2"/>
  <c r="O413" i="2"/>
  <c r="N413" i="2"/>
  <c r="F413" i="2"/>
  <c r="T413" i="2"/>
  <c r="J413" i="2"/>
  <c r="I413" i="2"/>
  <c r="L413" i="2"/>
  <c r="M413" i="2"/>
  <c r="P413" i="2"/>
  <c r="O43" i="1"/>
  <c r="N314" i="2"/>
  <c r="N316" i="2" s="1"/>
  <c r="N338" i="2" s="1"/>
  <c r="O314" i="2"/>
  <c r="O316" i="2" s="1"/>
  <c r="O338" i="2" s="1"/>
  <c r="L314" i="2"/>
  <c r="L316" i="2" s="1"/>
  <c r="L338" i="2" s="1"/>
  <c r="M314" i="2"/>
  <c r="M316" i="2" s="1"/>
  <c r="M338" i="2" s="1"/>
  <c r="L484" i="2"/>
  <c r="L485" i="2" s="1"/>
  <c r="L461" i="2"/>
  <c r="O44" i="1"/>
  <c r="O206" i="1"/>
  <c r="O386" i="1"/>
  <c r="O114" i="1"/>
  <c r="O223" i="1"/>
  <c r="O300" i="1"/>
  <c r="O404" i="1"/>
  <c r="O113" i="1"/>
  <c r="O299" i="1"/>
  <c r="O47" i="1"/>
  <c r="X406" i="2"/>
  <c r="G406" i="2"/>
  <c r="P406" i="2"/>
  <c r="AH435" i="2"/>
  <c r="W405" i="2"/>
  <c r="H405" i="2"/>
  <c r="M406" i="2"/>
  <c r="AE405" i="2"/>
  <c r="Z406" i="2"/>
  <c r="I406" i="2"/>
  <c r="X405" i="2"/>
  <c r="V405" i="2"/>
  <c r="V406" i="2"/>
  <c r="R405" i="2"/>
  <c r="S405" i="2"/>
  <c r="N405" i="2"/>
  <c r="AA406" i="2"/>
  <c r="L405" i="2"/>
  <c r="AB406" i="2"/>
  <c r="J406" i="2"/>
  <c r="T406" i="2"/>
  <c r="AA405" i="2"/>
  <c r="F406" i="2"/>
  <c r="I405" i="2"/>
  <c r="Z405" i="2"/>
  <c r="G405" i="2"/>
  <c r="R406" i="2"/>
  <c r="AE406" i="2"/>
  <c r="O405" i="2"/>
  <c r="S406" i="2"/>
  <c r="K405" i="2"/>
  <c r="M405" i="2"/>
  <c r="U405" i="2"/>
  <c r="U406" i="2"/>
  <c r="AD405" i="2"/>
  <c r="AC405" i="2"/>
  <c r="Q406" i="2"/>
  <c r="L406" i="2"/>
  <c r="AF406" i="2"/>
  <c r="T405" i="2"/>
  <c r="AB405" i="2"/>
  <c r="K406" i="2"/>
  <c r="Y405" i="2"/>
  <c r="J405" i="2"/>
  <c r="AC406" i="2"/>
  <c r="Q405" i="2"/>
  <c r="W406" i="2"/>
  <c r="P405" i="2"/>
  <c r="AD406" i="2"/>
  <c r="H406" i="2"/>
  <c r="F405" i="2"/>
  <c r="O406" i="2"/>
  <c r="Y406" i="2"/>
  <c r="N406" i="2"/>
  <c r="H412" i="2"/>
  <c r="H416" i="2"/>
  <c r="AG494" i="2"/>
  <c r="AH494" i="2" s="1"/>
  <c r="K314" i="2"/>
  <c r="K414" i="1"/>
  <c r="K416" i="1" s="1"/>
  <c r="J314" i="2"/>
  <c r="G9" i="8"/>
  <c r="I414" i="2" s="1"/>
  <c r="G14" i="8"/>
  <c r="N414" i="2" s="1"/>
  <c r="G15" i="8"/>
  <c r="O414" i="2" s="1"/>
  <c r="G16" i="8"/>
  <c r="G12" i="8"/>
  <c r="L414" i="2" s="1"/>
  <c r="G13" i="8"/>
  <c r="M414" i="2" s="1"/>
  <c r="N401" i="2"/>
  <c r="AG423" i="2"/>
  <c r="AH423" i="2" s="1"/>
  <c r="AH421" i="2"/>
  <c r="L412" i="2"/>
  <c r="H177" i="1"/>
  <c r="I365" i="1"/>
  <c r="I367" i="1" s="1"/>
  <c r="I178" i="1"/>
  <c r="I177" i="1"/>
  <c r="I175" i="1"/>
  <c r="I176" i="1"/>
  <c r="U231" i="1"/>
  <c r="U235" i="1" s="1"/>
  <c r="R231" i="1"/>
  <c r="R237" i="1" s="1"/>
  <c r="R412" i="1"/>
  <c r="R414" i="1" s="1"/>
  <c r="R442" i="1" s="1"/>
  <c r="M412" i="1"/>
  <c r="M414" i="1" s="1"/>
  <c r="M416" i="1" s="1"/>
  <c r="Y412" i="1"/>
  <c r="Y414" i="1" s="1"/>
  <c r="Y442" i="1" s="1"/>
  <c r="Y452" i="1" s="1"/>
  <c r="S12" i="1"/>
  <c r="U412" i="1"/>
  <c r="U414" i="1" s="1"/>
  <c r="U416" i="1" s="1"/>
  <c r="Y231" i="1"/>
  <c r="Y233" i="1" s="1"/>
  <c r="Y264" i="1" s="1"/>
  <c r="Y454" i="1" s="1"/>
  <c r="H231" i="1"/>
  <c r="H233" i="1" s="1"/>
  <c r="H264" i="1" s="1"/>
  <c r="H277" i="1" s="1"/>
  <c r="S412" i="1"/>
  <c r="S414" i="1" s="1"/>
  <c r="S416" i="1" s="1"/>
  <c r="H414" i="1"/>
  <c r="H442" i="1" s="1"/>
  <c r="H449" i="1" s="1"/>
  <c r="H12" i="1"/>
  <c r="Y12" i="1"/>
  <c r="Y75" i="1"/>
  <c r="Y121" i="1" s="1"/>
  <c r="S75" i="1"/>
  <c r="S122" i="1" s="1"/>
  <c r="W231" i="1"/>
  <c r="W235" i="1" s="1"/>
  <c r="S233" i="1"/>
  <c r="S264" i="1" s="1"/>
  <c r="S456" i="1" s="1"/>
  <c r="H75" i="1"/>
  <c r="H308" i="1" s="1"/>
  <c r="R12" i="1"/>
  <c r="K237" i="1"/>
  <c r="W412" i="1"/>
  <c r="W414" i="1" s="1"/>
  <c r="W416" i="1" s="1"/>
  <c r="K233" i="1"/>
  <c r="K264" i="1" s="1"/>
  <c r="K275" i="1" s="1"/>
  <c r="K235" i="1"/>
  <c r="K12" i="1"/>
  <c r="AG469" i="2"/>
  <c r="AH469" i="2" s="1"/>
  <c r="M12" i="1"/>
  <c r="E476" i="2"/>
  <c r="AG476" i="2" s="1"/>
  <c r="AH476" i="2" s="1"/>
  <c r="R75" i="1"/>
  <c r="R279" i="1" s="1"/>
  <c r="M75" i="1"/>
  <c r="M120" i="1" s="1"/>
  <c r="AA414" i="1"/>
  <c r="AA12" i="1"/>
  <c r="E444" i="2"/>
  <c r="AD52" i="2" s="1"/>
  <c r="S235" i="1"/>
  <c r="AA231" i="1"/>
  <c r="AA235" i="1" s="1"/>
  <c r="S237" i="1"/>
  <c r="K75" i="1"/>
  <c r="K308" i="1" s="1"/>
  <c r="AA75" i="1"/>
  <c r="U12" i="1"/>
  <c r="AB379" i="1"/>
  <c r="AC379" i="1" s="1"/>
  <c r="M231" i="1"/>
  <c r="M235" i="1" s="1"/>
  <c r="E472" i="2"/>
  <c r="I316" i="2"/>
  <c r="I338" i="2" s="1"/>
  <c r="U75" i="1"/>
  <c r="AG426" i="2"/>
  <c r="AH426" i="2" s="1"/>
  <c r="I412" i="2"/>
  <c r="I416" i="2"/>
  <c r="AG427" i="2"/>
  <c r="AH427" i="2" s="1"/>
  <c r="S475" i="2"/>
  <c r="I412" i="1"/>
  <c r="W75" i="1"/>
  <c r="I12" i="1"/>
  <c r="I75" i="1"/>
  <c r="E451" i="2"/>
  <c r="L468" i="2"/>
  <c r="T64" i="15"/>
  <c r="K10" i="15" s="1"/>
  <c r="H432" i="2" s="1"/>
  <c r="I10" i="15"/>
  <c r="H434" i="2" s="1"/>
  <c r="H487" i="2" s="1"/>
  <c r="N468" i="2"/>
  <c r="I231" i="1"/>
  <c r="W12" i="1"/>
  <c r="AB170" i="1"/>
  <c r="AC170" i="1" s="1"/>
  <c r="G33" i="9"/>
  <c r="E407" i="2" s="1"/>
  <c r="F407" i="2"/>
  <c r="K440" i="2"/>
  <c r="G8" i="8"/>
  <c r="H414" i="2" s="1"/>
  <c r="E32" i="8"/>
  <c r="G6" i="8"/>
  <c r="G7" i="8"/>
  <c r="G414" i="2" s="1"/>
  <c r="G10" i="8"/>
  <c r="J414" i="2" s="1"/>
  <c r="G11" i="8"/>
  <c r="K414" i="2" s="1"/>
  <c r="M475" i="2"/>
  <c r="F432" i="2"/>
  <c r="O475" i="2"/>
  <c r="AB358" i="1"/>
  <c r="AC358" i="1" s="1"/>
  <c r="J412" i="2"/>
  <c r="J416" i="2"/>
  <c r="G314" i="2"/>
  <c r="I11" i="15"/>
  <c r="I434" i="2" s="1"/>
  <c r="T74" i="15"/>
  <c r="K11" i="15" s="1"/>
  <c r="I432" i="2" s="1"/>
  <c r="F434" i="2"/>
  <c r="K461" i="2"/>
  <c r="K484" i="2"/>
  <c r="AG454" i="2"/>
  <c r="AH454" i="2" s="1"/>
  <c r="H314" i="2"/>
  <c r="Q475" i="2"/>
  <c r="AB199" i="1"/>
  <c r="AC199" i="1" s="1"/>
  <c r="N341" i="2" l="1"/>
  <c r="N344" i="2"/>
  <c r="N343" i="2"/>
  <c r="L341" i="2"/>
  <c r="L344" i="2"/>
  <c r="AG344" i="2" s="1"/>
  <c r="AH344" i="2" s="1"/>
  <c r="L343" i="2"/>
  <c r="P44" i="1"/>
  <c r="P205" i="1" s="1"/>
  <c r="P470" i="1"/>
  <c r="AB471" i="1"/>
  <c r="AC471" i="1" s="1"/>
  <c r="AB473" i="1"/>
  <c r="AC473" i="1" s="1"/>
  <c r="AG415" i="2"/>
  <c r="AH415" i="2" s="1"/>
  <c r="N360" i="2"/>
  <c r="P405" i="1"/>
  <c r="P301" i="1"/>
  <c r="P224" i="1"/>
  <c r="P115" i="1"/>
  <c r="P206" i="1"/>
  <c r="AB206" i="1" s="1"/>
  <c r="AC206" i="1" s="1"/>
  <c r="P386" i="1"/>
  <c r="AB386" i="1" s="1"/>
  <c r="AC386" i="1" s="1"/>
  <c r="P300" i="1"/>
  <c r="AB300" i="1" s="1"/>
  <c r="AC300" i="1" s="1"/>
  <c r="AB46" i="1"/>
  <c r="AC46" i="1" s="1"/>
  <c r="P114" i="1"/>
  <c r="AB114" i="1" s="1"/>
  <c r="AC114" i="1" s="1"/>
  <c r="P223" i="1"/>
  <c r="AB223" i="1" s="1"/>
  <c r="AC223" i="1" s="1"/>
  <c r="P404" i="1"/>
  <c r="AB404" i="1" s="1"/>
  <c r="AC404" i="1" s="1"/>
  <c r="P45" i="1"/>
  <c r="P113" i="1" s="1"/>
  <c r="AB113" i="1" s="1"/>
  <c r="AC113" i="1" s="1"/>
  <c r="AB472" i="1"/>
  <c r="AC472" i="1" s="1"/>
  <c r="I440" i="2"/>
  <c r="I487" i="2"/>
  <c r="AG429" i="2"/>
  <c r="AH429" i="2" s="1"/>
  <c r="AG413" i="2"/>
  <c r="AH413" i="2" s="1"/>
  <c r="O111" i="1"/>
  <c r="O297" i="1"/>
  <c r="O222" i="1"/>
  <c r="O205" i="1"/>
  <c r="O112" i="1"/>
  <c r="O385" i="1"/>
  <c r="O403" i="1"/>
  <c r="O298" i="1"/>
  <c r="AB47" i="1"/>
  <c r="AC47" i="1" s="1"/>
  <c r="O301" i="1"/>
  <c r="O54" i="1"/>
  <c r="O224" i="1"/>
  <c r="O115" i="1"/>
  <c r="O405" i="1"/>
  <c r="AG401" i="2"/>
  <c r="AH401" i="2" s="1"/>
  <c r="K442" i="1"/>
  <c r="K274" i="1" s="1"/>
  <c r="AG406" i="2"/>
  <c r="AH406" i="2" s="1"/>
  <c r="AG405" i="2"/>
  <c r="AH405" i="2" s="1"/>
  <c r="AB177" i="1"/>
  <c r="AC177" i="1" s="1"/>
  <c r="H175" i="1"/>
  <c r="AB175" i="1" s="1"/>
  <c r="AC175" i="1" s="1"/>
  <c r="AB483" i="1"/>
  <c r="AC483" i="1" s="1"/>
  <c r="H178" i="1"/>
  <c r="AB178" i="1" s="1"/>
  <c r="AC178" i="1" s="1"/>
  <c r="H364" i="1"/>
  <c r="AB364" i="1" s="1"/>
  <c r="AC364" i="1" s="1"/>
  <c r="H176" i="1"/>
  <c r="AB176" i="1" s="1"/>
  <c r="AC176" i="1" s="1"/>
  <c r="H365" i="1"/>
  <c r="AB365" i="1" s="1"/>
  <c r="AC365" i="1" s="1"/>
  <c r="K316" i="2"/>
  <c r="K338" i="2" s="1"/>
  <c r="J316" i="2"/>
  <c r="J338" i="2" s="1"/>
  <c r="U237" i="1"/>
  <c r="U233" i="1"/>
  <c r="U264" i="1" s="1"/>
  <c r="U276" i="1" s="1"/>
  <c r="I180" i="1"/>
  <c r="R235" i="1"/>
  <c r="T52" i="2"/>
  <c r="Y235" i="1"/>
  <c r="H235" i="1"/>
  <c r="R233" i="1"/>
  <c r="R264" i="1" s="1"/>
  <c r="R454" i="1" s="1"/>
  <c r="Y308" i="1"/>
  <c r="Y237" i="1"/>
  <c r="H280" i="1"/>
  <c r="W233" i="1"/>
  <c r="W264" i="1" s="1"/>
  <c r="W456" i="1" s="1"/>
  <c r="Y458" i="1"/>
  <c r="S271" i="1"/>
  <c r="Y280" i="1"/>
  <c r="S275" i="1"/>
  <c r="Y122" i="1"/>
  <c r="S448" i="1"/>
  <c r="R459" i="1"/>
  <c r="Y279" i="1"/>
  <c r="Y120" i="1"/>
  <c r="S455" i="1"/>
  <c r="S454" i="1"/>
  <c r="S442" i="1"/>
  <c r="S270" i="1" s="1"/>
  <c r="S82" i="1"/>
  <c r="S142" i="1" s="1"/>
  <c r="Y459" i="1"/>
  <c r="Y88" i="1"/>
  <c r="Y91" i="1" s="1"/>
  <c r="Y99" i="1" s="1"/>
  <c r="S279" i="1"/>
  <c r="K448" i="1"/>
  <c r="S277" i="1"/>
  <c r="S269" i="1"/>
  <c r="S121" i="1"/>
  <c r="R307" i="1"/>
  <c r="Y307" i="1"/>
  <c r="S450" i="1"/>
  <c r="S276" i="1"/>
  <c r="W237" i="1"/>
  <c r="S307" i="1"/>
  <c r="K455" i="1"/>
  <c r="H448" i="1"/>
  <c r="H452" i="1"/>
  <c r="H270" i="1"/>
  <c r="S459" i="1"/>
  <c r="H458" i="1"/>
  <c r="Y82" i="1"/>
  <c r="Y130" i="1" s="1"/>
  <c r="N90" i="2"/>
  <c r="N523" i="2" s="1"/>
  <c r="K277" i="1"/>
  <c r="H120" i="1"/>
  <c r="H88" i="1"/>
  <c r="H91" i="1" s="1"/>
  <c r="H99" i="1" s="1"/>
  <c r="H453" i="1"/>
  <c r="R122" i="1"/>
  <c r="S120" i="1"/>
  <c r="K276" i="1"/>
  <c r="K450" i="1"/>
  <c r="H122" i="1"/>
  <c r="Y273" i="1"/>
  <c r="R120" i="1"/>
  <c r="S280" i="1"/>
  <c r="S308" i="1"/>
  <c r="S88" i="1"/>
  <c r="S91" i="1" s="1"/>
  <c r="S99" i="1" s="1"/>
  <c r="K269" i="1"/>
  <c r="K271" i="1"/>
  <c r="H82" i="1"/>
  <c r="E8" i="2" s="1"/>
  <c r="H459" i="1"/>
  <c r="H307" i="1"/>
  <c r="H312" i="1" s="1"/>
  <c r="E199" i="2" s="1"/>
  <c r="H276" i="1"/>
  <c r="S458" i="1"/>
  <c r="K456" i="1"/>
  <c r="K454" i="1"/>
  <c r="H121" i="1"/>
  <c r="K458" i="1"/>
  <c r="H274" i="1"/>
  <c r="H273" i="1"/>
  <c r="M459" i="1"/>
  <c r="R82" i="1"/>
  <c r="R130" i="1" s="1"/>
  <c r="U442" i="1"/>
  <c r="U452" i="1" s="1"/>
  <c r="M308" i="1"/>
  <c r="R458" i="1"/>
  <c r="R121" i="1"/>
  <c r="M458" i="1"/>
  <c r="K82" i="1"/>
  <c r="K131" i="1" s="1"/>
  <c r="M82" i="1"/>
  <c r="M142" i="1" s="1"/>
  <c r="M307" i="1"/>
  <c r="R88" i="1"/>
  <c r="R91" i="1" s="1"/>
  <c r="R99" i="1" s="1"/>
  <c r="R308" i="1"/>
  <c r="R280" i="1"/>
  <c r="M122" i="1"/>
  <c r="E478" i="2"/>
  <c r="H455" i="1"/>
  <c r="Y453" i="1"/>
  <c r="K280" i="1"/>
  <c r="H454" i="1"/>
  <c r="R13" i="2"/>
  <c r="AA90" i="2"/>
  <c r="K459" i="1"/>
  <c r="H275" i="1"/>
  <c r="R274" i="1"/>
  <c r="R273" i="1"/>
  <c r="R270" i="1"/>
  <c r="R452" i="1"/>
  <c r="S445" i="2"/>
  <c r="P13" i="2"/>
  <c r="Y271" i="1"/>
  <c r="Y449" i="1"/>
  <c r="G445" i="2"/>
  <c r="AF204" i="2"/>
  <c r="J52" i="2"/>
  <c r="O204" i="2"/>
  <c r="K88" i="1"/>
  <c r="K91" i="1" s="1"/>
  <c r="K99" i="1" s="1"/>
  <c r="R416" i="1"/>
  <c r="V204" i="2"/>
  <c r="Q90" i="2"/>
  <c r="Q523" i="2" s="1"/>
  <c r="Q552" i="2" s="1"/>
  <c r="W442" i="1"/>
  <c r="W452" i="1" s="1"/>
  <c r="H90" i="2"/>
  <c r="H523" i="2" s="1"/>
  <c r="H552" i="2" s="1"/>
  <c r="AE90" i="2"/>
  <c r="M13" i="2"/>
  <c r="AE445" i="2"/>
  <c r="K122" i="1"/>
  <c r="M442" i="1"/>
  <c r="M452" i="1" s="1"/>
  <c r="R453" i="1"/>
  <c r="AE204" i="2"/>
  <c r="AC90" i="2"/>
  <c r="Q204" i="2"/>
  <c r="T90" i="2"/>
  <c r="R204" i="2"/>
  <c r="S204" i="2"/>
  <c r="AC52" i="2"/>
  <c r="M52" i="2"/>
  <c r="M280" i="1"/>
  <c r="M88" i="1"/>
  <c r="M91" i="1" s="1"/>
  <c r="M99" i="1" s="1"/>
  <c r="M121" i="1"/>
  <c r="H269" i="1"/>
  <c r="H456" i="1"/>
  <c r="H450" i="1"/>
  <c r="AA237" i="1"/>
  <c r="R449" i="1"/>
  <c r="Z90" i="2"/>
  <c r="P52" i="2"/>
  <c r="I13" i="2"/>
  <c r="U52" i="2"/>
  <c r="Q445" i="2"/>
  <c r="AB13" i="2"/>
  <c r="I90" i="2"/>
  <c r="I523" i="2" s="1"/>
  <c r="K204" i="2"/>
  <c r="W90" i="2"/>
  <c r="M279" i="1"/>
  <c r="H271" i="1"/>
  <c r="M237" i="1"/>
  <c r="AA442" i="1"/>
  <c r="AA416" i="1"/>
  <c r="L90" i="2"/>
  <c r="L523" i="2" s="1"/>
  <c r="I52" i="2"/>
  <c r="AE52" i="2"/>
  <c r="U204" i="2"/>
  <c r="N445" i="2"/>
  <c r="O52" i="2"/>
  <c r="N13" i="2"/>
  <c r="AF13" i="2"/>
  <c r="O445" i="2"/>
  <c r="P445" i="2"/>
  <c r="Z445" i="2"/>
  <c r="W204" i="2"/>
  <c r="Y445" i="2"/>
  <c r="AA204" i="2"/>
  <c r="N204" i="2"/>
  <c r="J90" i="2"/>
  <c r="J523" i="2" s="1"/>
  <c r="J552" i="2" s="1"/>
  <c r="Y204" i="2"/>
  <c r="M233" i="1"/>
  <c r="M264" i="1" s="1"/>
  <c r="M277" i="1" s="1"/>
  <c r="G204" i="2"/>
  <c r="U13" i="2"/>
  <c r="AD13" i="2"/>
  <c r="L445" i="2"/>
  <c r="S52" i="2"/>
  <c r="Q13" i="2"/>
  <c r="Z52" i="2"/>
  <c r="T445" i="2"/>
  <c r="R445" i="2"/>
  <c r="AD90" i="2"/>
  <c r="X13" i="2"/>
  <c r="X204" i="2"/>
  <c r="Z13" i="2"/>
  <c r="AF445" i="2"/>
  <c r="AC13" i="2"/>
  <c r="X52" i="2"/>
  <c r="P204" i="2"/>
  <c r="AD445" i="2"/>
  <c r="M445" i="2"/>
  <c r="L52" i="2"/>
  <c r="X445" i="2"/>
  <c r="AA52" i="2"/>
  <c r="F90" i="2"/>
  <c r="F523" i="2" s="1"/>
  <c r="G13" i="2"/>
  <c r="N52" i="2"/>
  <c r="G52" i="2"/>
  <c r="M204" i="2"/>
  <c r="H204" i="2"/>
  <c r="V90" i="2"/>
  <c r="AD204" i="2"/>
  <c r="P90" i="2"/>
  <c r="P523" i="2" s="1"/>
  <c r="Y52" i="2"/>
  <c r="T204" i="2"/>
  <c r="J204" i="2"/>
  <c r="Y455" i="1"/>
  <c r="AA233" i="1"/>
  <c r="AA264" i="1" s="1"/>
  <c r="AA276" i="1" s="1"/>
  <c r="AE13" i="2"/>
  <c r="AA445" i="2"/>
  <c r="O90" i="2"/>
  <c r="O523" i="2" s="1"/>
  <c r="L204" i="2"/>
  <c r="M90" i="2"/>
  <c r="M523" i="2" s="1"/>
  <c r="Q52" i="2"/>
  <c r="K52" i="2"/>
  <c r="AF90" i="2"/>
  <c r="Y90" i="2"/>
  <c r="W13" i="2"/>
  <c r="AB204" i="2"/>
  <c r="U90" i="2"/>
  <c r="G90" i="2"/>
  <c r="G523" i="2" s="1"/>
  <c r="AC445" i="2"/>
  <c r="Y13" i="2"/>
  <c r="F52" i="2"/>
  <c r="K445" i="2"/>
  <c r="J13" i="2"/>
  <c r="AB445" i="2"/>
  <c r="H52" i="2"/>
  <c r="S13" i="2"/>
  <c r="H13" i="2"/>
  <c r="R52" i="2"/>
  <c r="R90" i="2"/>
  <c r="R523" i="2" s="1"/>
  <c r="R552" i="2" s="1"/>
  <c r="I204" i="2"/>
  <c r="L13" i="2"/>
  <c r="I445" i="2"/>
  <c r="F204" i="2"/>
  <c r="AA13" i="2"/>
  <c r="K13" i="2"/>
  <c r="S90" i="2"/>
  <c r="Z204" i="2"/>
  <c r="V13" i="2"/>
  <c r="AB90" i="2"/>
  <c r="V52" i="2"/>
  <c r="F445" i="2"/>
  <c r="V445" i="2"/>
  <c r="F13" i="2"/>
  <c r="X90" i="2"/>
  <c r="AB52" i="2"/>
  <c r="J445" i="2"/>
  <c r="K90" i="2"/>
  <c r="K523" i="2" s="1"/>
  <c r="W52" i="2"/>
  <c r="AC204" i="2"/>
  <c r="U445" i="2"/>
  <c r="AF52" i="2"/>
  <c r="W445" i="2"/>
  <c r="T13" i="2"/>
  <c r="O13" i="2"/>
  <c r="H445" i="2"/>
  <c r="Y450" i="1"/>
  <c r="AA121" i="1"/>
  <c r="AA308" i="1"/>
  <c r="AA307" i="1"/>
  <c r="AA458" i="1"/>
  <c r="AA88" i="1"/>
  <c r="AA91" i="1" s="1"/>
  <c r="AA99" i="1" s="1"/>
  <c r="AA280" i="1"/>
  <c r="AA459" i="1"/>
  <c r="AA279" i="1"/>
  <c r="AA120" i="1"/>
  <c r="AA122" i="1"/>
  <c r="Y274" i="1"/>
  <c r="W82" i="1"/>
  <c r="W130" i="1" s="1"/>
  <c r="K120" i="1"/>
  <c r="K121" i="1"/>
  <c r="Y270" i="1"/>
  <c r="K279" i="1"/>
  <c r="K307" i="1"/>
  <c r="K312" i="1" s="1"/>
  <c r="E204" i="2" s="1"/>
  <c r="Y416" i="1"/>
  <c r="AA82" i="1"/>
  <c r="Y276" i="1"/>
  <c r="Y275" i="1"/>
  <c r="Y277" i="1"/>
  <c r="Y456" i="1"/>
  <c r="Y448" i="1"/>
  <c r="Y269" i="1"/>
  <c r="U120" i="1"/>
  <c r="U279" i="1"/>
  <c r="U459" i="1"/>
  <c r="U307" i="1"/>
  <c r="U280" i="1"/>
  <c r="U308" i="1"/>
  <c r="U458" i="1"/>
  <c r="U88" i="1"/>
  <c r="U91" i="1" s="1"/>
  <c r="U99" i="1" s="1"/>
  <c r="U122" i="1"/>
  <c r="U121" i="1"/>
  <c r="U82" i="1"/>
  <c r="G316" i="2"/>
  <c r="N475" i="2"/>
  <c r="I203" i="15"/>
  <c r="I205" i="15" s="1"/>
  <c r="L475" i="2"/>
  <c r="I417" i="2"/>
  <c r="AG430" i="2"/>
  <c r="AH430" i="2" s="1"/>
  <c r="K485" i="2"/>
  <c r="AG484" i="2"/>
  <c r="AH484" i="2" s="1"/>
  <c r="F487" i="2"/>
  <c r="F440" i="2"/>
  <c r="H440" i="2"/>
  <c r="M242" i="2"/>
  <c r="G452" i="2"/>
  <c r="M128" i="2"/>
  <c r="V128" i="2"/>
  <c r="AE242" i="2"/>
  <c r="O242" i="2"/>
  <c r="X452" i="2"/>
  <c r="W166" i="2"/>
  <c r="U242" i="2"/>
  <c r="M452" i="2"/>
  <c r="H242" i="2"/>
  <c r="G166" i="2"/>
  <c r="P166" i="2"/>
  <c r="F452" i="2"/>
  <c r="AC280" i="2"/>
  <c r="P452" i="2"/>
  <c r="K166" i="2"/>
  <c r="I242" i="2"/>
  <c r="G128" i="2"/>
  <c r="J452" i="2"/>
  <c r="T452" i="2"/>
  <c r="AE128" i="2"/>
  <c r="H280" i="2"/>
  <c r="AC242" i="2"/>
  <c r="W280" i="2"/>
  <c r="Q452" i="2"/>
  <c r="AB242" i="2"/>
  <c r="S280" i="2"/>
  <c r="R128" i="2"/>
  <c r="V242" i="2"/>
  <c r="N166" i="2"/>
  <c r="I280" i="2"/>
  <c r="N280" i="2"/>
  <c r="O452" i="2"/>
  <c r="Y166" i="2"/>
  <c r="S242" i="2"/>
  <c r="Y280" i="2"/>
  <c r="U452" i="2"/>
  <c r="P280" i="2"/>
  <c r="AE166" i="2"/>
  <c r="H166" i="2"/>
  <c r="Y452" i="2"/>
  <c r="L452" i="2"/>
  <c r="Q128" i="2"/>
  <c r="Q242" i="2"/>
  <c r="V452" i="2"/>
  <c r="F166" i="2"/>
  <c r="O166" i="2"/>
  <c r="AD280" i="2"/>
  <c r="J166" i="2"/>
  <c r="K452" i="2"/>
  <c r="N242" i="2"/>
  <c r="AA452" i="2"/>
  <c r="G280" i="2"/>
  <c r="AA242" i="2"/>
  <c r="AA128" i="2"/>
  <c r="Y128" i="2"/>
  <c r="X242" i="2"/>
  <c r="R166" i="2"/>
  <c r="I166" i="2"/>
  <c r="P242" i="2"/>
  <c r="T280" i="2"/>
  <c r="Z452" i="2"/>
  <c r="T166" i="2"/>
  <c r="H128" i="2"/>
  <c r="AC166" i="2"/>
  <c r="T128" i="2"/>
  <c r="AF166" i="2"/>
  <c r="X128" i="2"/>
  <c r="R452" i="2"/>
  <c r="X280" i="2"/>
  <c r="W452" i="2"/>
  <c r="L242" i="2"/>
  <c r="X166" i="2"/>
  <c r="K280" i="2"/>
  <c r="AA166" i="2"/>
  <c r="G242" i="2"/>
  <c r="AB452" i="2"/>
  <c r="Z280" i="2"/>
  <c r="L166" i="2"/>
  <c r="J242" i="2"/>
  <c r="H452" i="2"/>
  <c r="N452" i="2"/>
  <c r="O128" i="2"/>
  <c r="AF242" i="2"/>
  <c r="U280" i="2"/>
  <c r="AE280" i="2"/>
  <c r="AF452" i="2"/>
  <c r="O280" i="2"/>
  <c r="Z166" i="2"/>
  <c r="K128" i="2"/>
  <c r="V280" i="2"/>
  <c r="AF128" i="2"/>
  <c r="M280" i="2"/>
  <c r="K242" i="2"/>
  <c r="AD166" i="2"/>
  <c r="AD128" i="2"/>
  <c r="AC128" i="2"/>
  <c r="AC452" i="2"/>
  <c r="AB128" i="2"/>
  <c r="J280" i="2"/>
  <c r="Q280" i="2"/>
  <c r="U128" i="2"/>
  <c r="W128" i="2"/>
  <c r="AA280" i="2"/>
  <c r="F242" i="2"/>
  <c r="AD452" i="2"/>
  <c r="U166" i="2"/>
  <c r="M166" i="2"/>
  <c r="T242" i="2"/>
  <c r="V166" i="2"/>
  <c r="S452" i="2"/>
  <c r="F128" i="2"/>
  <c r="S166" i="2"/>
  <c r="Q166" i="2"/>
  <c r="I452" i="2"/>
  <c r="AB280" i="2"/>
  <c r="S128" i="2"/>
  <c r="J128" i="2"/>
  <c r="AF280" i="2"/>
  <c r="P128" i="2"/>
  <c r="N128" i="2"/>
  <c r="Y242" i="2"/>
  <c r="F280" i="2"/>
  <c r="AE452" i="2"/>
  <c r="L280" i="2"/>
  <c r="Z128" i="2"/>
  <c r="AD242" i="2"/>
  <c r="I128" i="2"/>
  <c r="L128" i="2"/>
  <c r="Z242" i="2"/>
  <c r="R242" i="2"/>
  <c r="AB166" i="2"/>
  <c r="W242" i="2"/>
  <c r="R280" i="2"/>
  <c r="I82" i="1"/>
  <c r="W308" i="1"/>
  <c r="W121" i="1"/>
  <c r="W458" i="1"/>
  <c r="W279" i="1"/>
  <c r="W88" i="1"/>
  <c r="W91" i="1" s="1"/>
  <c r="W99" i="1" s="1"/>
  <c r="W120" i="1"/>
  <c r="W459" i="1"/>
  <c r="W280" i="1"/>
  <c r="W307" i="1"/>
  <c r="W122" i="1"/>
  <c r="I414" i="1"/>
  <c r="AG416" i="2"/>
  <c r="AH416" i="2" s="1"/>
  <c r="H316" i="2"/>
  <c r="AG461" i="2"/>
  <c r="AH461" i="2" s="1"/>
  <c r="G32" i="8"/>
  <c r="E414" i="2" s="1"/>
  <c r="F414" i="2"/>
  <c r="AG414" i="2" s="1"/>
  <c r="AG407" i="2"/>
  <c r="AH407" i="2" s="1"/>
  <c r="F408" i="2"/>
  <c r="I233" i="1"/>
  <c r="I235" i="1"/>
  <c r="AG412" i="2"/>
  <c r="AH412" i="2" s="1"/>
  <c r="K447" i="2"/>
  <c r="H203" i="15"/>
  <c r="I459" i="1"/>
  <c r="I280" i="1"/>
  <c r="I279" i="1"/>
  <c r="I122" i="1"/>
  <c r="I88" i="1"/>
  <c r="I120" i="1"/>
  <c r="I458" i="1"/>
  <c r="I307" i="1"/>
  <c r="I121" i="1"/>
  <c r="I308" i="1"/>
  <c r="AG343" i="2" l="1"/>
  <c r="AH343" i="2" s="1"/>
  <c r="AG341" i="2"/>
  <c r="AH341" i="2" s="1"/>
  <c r="L360" i="2"/>
  <c r="AG360" i="2" s="1"/>
  <c r="AH360" i="2" s="1"/>
  <c r="P403" i="1"/>
  <c r="P222" i="1"/>
  <c r="AB222" i="1" s="1"/>
  <c r="AC222" i="1" s="1"/>
  <c r="P385" i="1"/>
  <c r="AB385" i="1" s="1"/>
  <c r="AC385" i="1" s="1"/>
  <c r="P298" i="1"/>
  <c r="AB298" i="1" s="1"/>
  <c r="AC298" i="1" s="1"/>
  <c r="P112" i="1"/>
  <c r="AB112" i="1" s="1"/>
  <c r="AC112" i="1" s="1"/>
  <c r="AB44" i="1"/>
  <c r="AC44" i="1" s="1"/>
  <c r="P43" i="1"/>
  <c r="P54" i="1" s="1"/>
  <c r="P105" i="1" s="1"/>
  <c r="AB470" i="1"/>
  <c r="AC470" i="1" s="1"/>
  <c r="AB405" i="1"/>
  <c r="AC405" i="1" s="1"/>
  <c r="P299" i="1"/>
  <c r="AB299" i="1" s="1"/>
  <c r="AC299" i="1" s="1"/>
  <c r="AB224" i="1"/>
  <c r="AC224" i="1" s="1"/>
  <c r="AB115" i="1"/>
  <c r="AC115" i="1" s="1"/>
  <c r="AB301" i="1"/>
  <c r="AC301" i="1" s="1"/>
  <c r="AB403" i="1"/>
  <c r="AC403" i="1" s="1"/>
  <c r="AB45" i="1"/>
  <c r="AC45" i="1" s="1"/>
  <c r="AB205" i="1"/>
  <c r="AC205" i="1" s="1"/>
  <c r="G552" i="2"/>
  <c r="I552" i="2"/>
  <c r="I35" i="15"/>
  <c r="I34" i="15"/>
  <c r="O87" i="1"/>
  <c r="O408" i="1"/>
  <c r="O89" i="1"/>
  <c r="O139" i="1"/>
  <c r="O220" i="1"/>
  <c r="E455" i="2"/>
  <c r="O392" i="1"/>
  <c r="O391" i="1"/>
  <c r="O136" i="1"/>
  <c r="O78" i="1"/>
  <c r="O211" i="1"/>
  <c r="O213" i="1"/>
  <c r="O382" i="1"/>
  <c r="O108" i="1"/>
  <c r="O137" i="1"/>
  <c r="O138" i="1"/>
  <c r="O401" i="1"/>
  <c r="O56" i="1"/>
  <c r="O227" i="1"/>
  <c r="O202" i="1"/>
  <c r="O306" i="1"/>
  <c r="O105" i="1"/>
  <c r="O310" i="1"/>
  <c r="N552" i="2"/>
  <c r="K270" i="1"/>
  <c r="K453" i="1"/>
  <c r="K449" i="1"/>
  <c r="K273" i="1"/>
  <c r="K452" i="1"/>
  <c r="H180" i="1"/>
  <c r="H237" i="1" s="1"/>
  <c r="H367" i="1"/>
  <c r="H416" i="1" s="1"/>
  <c r="U275" i="1"/>
  <c r="U277" i="1"/>
  <c r="I237" i="1"/>
  <c r="U448" i="1"/>
  <c r="U456" i="1"/>
  <c r="U455" i="1"/>
  <c r="U454" i="1"/>
  <c r="U269" i="1"/>
  <c r="U450" i="1"/>
  <c r="U271" i="1"/>
  <c r="Y312" i="1"/>
  <c r="E226" i="2" s="1"/>
  <c r="W312" i="1"/>
  <c r="E223" i="2" s="1"/>
  <c r="R275" i="1"/>
  <c r="R271" i="1"/>
  <c r="R269" i="1"/>
  <c r="R277" i="1"/>
  <c r="R276" i="1"/>
  <c r="R455" i="1"/>
  <c r="R448" i="1"/>
  <c r="R456" i="1"/>
  <c r="R450" i="1"/>
  <c r="W454" i="1"/>
  <c r="W269" i="1"/>
  <c r="W448" i="1"/>
  <c r="S453" i="1"/>
  <c r="S274" i="1"/>
  <c r="S452" i="1"/>
  <c r="E13" i="2"/>
  <c r="H130" i="1"/>
  <c r="W276" i="1"/>
  <c r="W275" i="1"/>
  <c r="W455" i="1"/>
  <c r="W277" i="1"/>
  <c r="W450" i="1"/>
  <c r="W271" i="1"/>
  <c r="K142" i="1"/>
  <c r="K130" i="1"/>
  <c r="S130" i="1"/>
  <c r="S273" i="1"/>
  <c r="S449" i="1"/>
  <c r="R312" i="1"/>
  <c r="E215" i="2" s="1"/>
  <c r="S312" i="1"/>
  <c r="S98" i="1"/>
  <c r="S101" i="1" s="1"/>
  <c r="S104" i="1" s="1"/>
  <c r="S124" i="1" s="1"/>
  <c r="S126" i="1" s="1"/>
  <c r="S131" i="1"/>
  <c r="E25" i="2"/>
  <c r="F25" i="2" s="1"/>
  <c r="Y142" i="1"/>
  <c r="U453" i="1"/>
  <c r="E35" i="2"/>
  <c r="M35" i="2" s="1"/>
  <c r="Y93" i="1"/>
  <c r="E24" i="2"/>
  <c r="R24" i="2" s="1"/>
  <c r="U274" i="1"/>
  <c r="H142" i="1"/>
  <c r="H98" i="1"/>
  <c r="H101" i="1" s="1"/>
  <c r="H104" i="1" s="1"/>
  <c r="H124" i="1" s="1"/>
  <c r="H126" i="1" s="1"/>
  <c r="Y131" i="1"/>
  <c r="Y98" i="1"/>
  <c r="Y101" i="1" s="1"/>
  <c r="Y104" i="1" s="1"/>
  <c r="Y124" i="1" s="1"/>
  <c r="Y126" i="1" s="1"/>
  <c r="H131" i="1"/>
  <c r="H93" i="1"/>
  <c r="K98" i="1"/>
  <c r="K101" i="1" s="1"/>
  <c r="K104" i="1" s="1"/>
  <c r="K124" i="1" s="1"/>
  <c r="K126" i="1" s="1"/>
  <c r="K451" i="1" s="1"/>
  <c r="R98" i="1"/>
  <c r="R101" i="1" s="1"/>
  <c r="R104" i="1" s="1"/>
  <c r="R124" i="1" s="1"/>
  <c r="R126" i="1" s="1"/>
  <c r="R131" i="1"/>
  <c r="R142" i="1"/>
  <c r="R93" i="1"/>
  <c r="M274" i="1"/>
  <c r="W98" i="1"/>
  <c r="W101" i="1" s="1"/>
  <c r="M450" i="1"/>
  <c r="W449" i="1"/>
  <c r="S93" i="1"/>
  <c r="M449" i="1"/>
  <c r="M312" i="1"/>
  <c r="E207" i="2" s="1"/>
  <c r="U270" i="1"/>
  <c r="W142" i="1"/>
  <c r="U449" i="1"/>
  <c r="M131" i="1"/>
  <c r="M273" i="1"/>
  <c r="M130" i="1"/>
  <c r="E32" i="2"/>
  <c r="I32" i="2" s="1"/>
  <c r="U273" i="1"/>
  <c r="M454" i="1"/>
  <c r="AA456" i="1"/>
  <c r="P552" i="2"/>
  <c r="M98" i="1"/>
  <c r="M101" i="1" s="1"/>
  <c r="M104" i="1" s="1"/>
  <c r="M124" i="1" s="1"/>
  <c r="M126" i="1" s="1"/>
  <c r="E479" i="2"/>
  <c r="E16" i="2"/>
  <c r="W274" i="1"/>
  <c r="W453" i="1"/>
  <c r="W273" i="1"/>
  <c r="W270" i="1"/>
  <c r="AA448" i="1"/>
  <c r="M275" i="1"/>
  <c r="M271" i="1"/>
  <c r="M270" i="1"/>
  <c r="AA277" i="1"/>
  <c r="AA271" i="1"/>
  <c r="AA275" i="1"/>
  <c r="M276" i="1"/>
  <c r="K93" i="1"/>
  <c r="M453" i="1"/>
  <c r="AG445" i="2"/>
  <c r="AH445" i="2" s="1"/>
  <c r="AG204" i="2"/>
  <c r="AH204" i="2" s="1"/>
  <c r="AG52" i="2"/>
  <c r="AG13" i="2"/>
  <c r="AG90" i="2"/>
  <c r="M269" i="1"/>
  <c r="M456" i="1"/>
  <c r="M93" i="1"/>
  <c r="M448" i="1"/>
  <c r="M455" i="1"/>
  <c r="W131" i="1"/>
  <c r="AA450" i="1"/>
  <c r="AA454" i="1"/>
  <c r="AA269" i="1"/>
  <c r="AA455" i="1"/>
  <c r="AA274" i="1"/>
  <c r="AA452" i="1"/>
  <c r="AA453" i="1"/>
  <c r="AA273" i="1"/>
  <c r="AA270" i="1"/>
  <c r="AA449" i="1"/>
  <c r="AA312" i="1"/>
  <c r="E229" i="2" s="1"/>
  <c r="I229" i="2" s="1"/>
  <c r="AA130" i="1"/>
  <c r="AA142" i="1"/>
  <c r="E38" i="2"/>
  <c r="I38" i="2" s="1"/>
  <c r="AA93" i="1"/>
  <c r="AA131" i="1"/>
  <c r="AA98" i="1"/>
  <c r="AA101" i="1" s="1"/>
  <c r="AA104" i="1" s="1"/>
  <c r="AA124" i="1" s="1"/>
  <c r="AA126" i="1" s="1"/>
  <c r="I505" i="2"/>
  <c r="I514" i="2" s="1"/>
  <c r="J505" i="2"/>
  <c r="J514" i="2" s="1"/>
  <c r="K505" i="2"/>
  <c r="K514" i="2" s="1"/>
  <c r="G505" i="2"/>
  <c r="G514" i="2" s="1"/>
  <c r="M505" i="2"/>
  <c r="U312" i="1"/>
  <c r="E220" i="2" s="1"/>
  <c r="I220" i="2" s="1"/>
  <c r="L505" i="2"/>
  <c r="L514" i="2" s="1"/>
  <c r="N505" i="2"/>
  <c r="N543" i="2" s="1"/>
  <c r="U131" i="1"/>
  <c r="U142" i="1"/>
  <c r="U98" i="1"/>
  <c r="U101" i="1" s="1"/>
  <c r="U104" i="1" s="1"/>
  <c r="U124" i="1" s="1"/>
  <c r="U126" i="1" s="1"/>
  <c r="U272" i="1" s="1"/>
  <c r="E29" i="2"/>
  <c r="L29" i="2" s="1"/>
  <c r="U93" i="1"/>
  <c r="U130" i="1"/>
  <c r="O505" i="2"/>
  <c r="I312" i="1"/>
  <c r="I142" i="1"/>
  <c r="E9" i="2"/>
  <c r="I98" i="1"/>
  <c r="I131" i="1"/>
  <c r="I130" i="1"/>
  <c r="P505" i="2"/>
  <c r="AG128" i="2"/>
  <c r="F505" i="2"/>
  <c r="F514" i="2" s="1"/>
  <c r="H505" i="2"/>
  <c r="H514" i="2" s="1"/>
  <c r="R505" i="2"/>
  <c r="AG523" i="2"/>
  <c r="F552" i="2"/>
  <c r="AH414" i="2"/>
  <c r="I442" i="1"/>
  <c r="I416" i="1"/>
  <c r="AG166" i="2"/>
  <c r="H205" i="15"/>
  <c r="K468" i="2"/>
  <c r="I447" i="2"/>
  <c r="AG280" i="2"/>
  <c r="Q505" i="2"/>
  <c r="F447" i="2"/>
  <c r="AG485" i="2"/>
  <c r="AH485" i="2" s="1"/>
  <c r="AG417" i="2"/>
  <c r="AH417" i="2" s="1"/>
  <c r="W93" i="1"/>
  <c r="I264" i="1"/>
  <c r="F314" i="2"/>
  <c r="AG314" i="2" s="1"/>
  <c r="AH314" i="2" s="1"/>
  <c r="AG408" i="2"/>
  <c r="AH408" i="2" s="1"/>
  <c r="I91" i="1"/>
  <c r="I93" i="1" s="1"/>
  <c r="H338" i="2"/>
  <c r="AG242" i="2"/>
  <c r="AG452" i="2"/>
  <c r="AH452" i="2" s="1"/>
  <c r="H447" i="2"/>
  <c r="G338" i="2"/>
  <c r="P111" i="1" l="1"/>
  <c r="AB111" i="1" s="1"/>
  <c r="AC111" i="1" s="1"/>
  <c r="P297" i="1"/>
  <c r="AB297" i="1" s="1"/>
  <c r="AC297" i="1" s="1"/>
  <c r="AB43" i="1"/>
  <c r="AC43" i="1" s="1"/>
  <c r="M514" i="2"/>
  <c r="I543" i="2"/>
  <c r="I566" i="2" s="1"/>
  <c r="G543" i="2"/>
  <c r="G566" i="2" s="1"/>
  <c r="P78" i="1"/>
  <c r="AB78" i="1" s="1"/>
  <c r="AC78" i="1" s="1"/>
  <c r="P108" i="1"/>
  <c r="AB108" i="1" s="1"/>
  <c r="AC108" i="1" s="1"/>
  <c r="P382" i="1"/>
  <c r="AB382" i="1" s="1"/>
  <c r="AC382" i="1" s="1"/>
  <c r="P227" i="1"/>
  <c r="AB227" i="1" s="1"/>
  <c r="AC227" i="1" s="1"/>
  <c r="P139" i="1"/>
  <c r="AB139" i="1" s="1"/>
  <c r="AC139" i="1" s="1"/>
  <c r="P310" i="1"/>
  <c r="AB310" i="1" s="1"/>
  <c r="AC310" i="1" s="1"/>
  <c r="P211" i="1"/>
  <c r="AB211" i="1" s="1"/>
  <c r="AC211" i="1" s="1"/>
  <c r="P306" i="1"/>
  <c r="AB306" i="1" s="1"/>
  <c r="AC306" i="1" s="1"/>
  <c r="P220" i="1"/>
  <c r="AB220" i="1" s="1"/>
  <c r="AC220" i="1" s="1"/>
  <c r="P136" i="1"/>
  <c r="P202" i="1"/>
  <c r="AB202" i="1" s="1"/>
  <c r="AC202" i="1" s="1"/>
  <c r="AB105" i="1"/>
  <c r="AC105" i="1" s="1"/>
  <c r="AB54" i="1"/>
  <c r="AC54" i="1" s="1"/>
  <c r="P87" i="1"/>
  <c r="AB87" i="1" s="1"/>
  <c r="AC87" i="1" s="1"/>
  <c r="P138" i="1"/>
  <c r="AB138" i="1" s="1"/>
  <c r="AC138" i="1" s="1"/>
  <c r="P392" i="1"/>
  <c r="AB392" i="1" s="1"/>
  <c r="AC392" i="1" s="1"/>
  <c r="P401" i="1"/>
  <c r="P89" i="1"/>
  <c r="AB89" i="1" s="1"/>
  <c r="AC89" i="1" s="1"/>
  <c r="P213" i="1"/>
  <c r="AB213" i="1" s="1"/>
  <c r="AC213" i="1" s="1"/>
  <c r="P137" i="1"/>
  <c r="AB137" i="1" s="1"/>
  <c r="AC137" i="1" s="1"/>
  <c r="P56" i="1"/>
  <c r="P73" i="1" s="1"/>
  <c r="P408" i="1"/>
  <c r="AB408" i="1" s="1"/>
  <c r="AC408" i="1" s="1"/>
  <c r="P391" i="1"/>
  <c r="AB391" i="1" s="1"/>
  <c r="AC391" i="1" s="1"/>
  <c r="H543" i="2"/>
  <c r="H566" i="2" s="1"/>
  <c r="J543" i="2"/>
  <c r="J566" i="2" s="1"/>
  <c r="E216" i="2"/>
  <c r="T216" i="2" s="1"/>
  <c r="H35" i="15"/>
  <c r="H34" i="15"/>
  <c r="O65" i="1"/>
  <c r="O77" i="1"/>
  <c r="O63" i="1"/>
  <c r="O8" i="1"/>
  <c r="O309" i="1"/>
  <c r="O10" i="1"/>
  <c r="O69" i="1"/>
  <c r="O72" i="1"/>
  <c r="O68" i="1"/>
  <c r="O64" i="1"/>
  <c r="O9" i="1"/>
  <c r="O71" i="1"/>
  <c r="O67" i="1"/>
  <c r="O70" i="1"/>
  <c r="O58" i="1"/>
  <c r="O66" i="1"/>
  <c r="O73" i="1"/>
  <c r="O410" i="1"/>
  <c r="O394" i="1"/>
  <c r="O141" i="1"/>
  <c r="E457" i="2"/>
  <c r="E462" i="2"/>
  <c r="AG455" i="2"/>
  <c r="AH455" i="2" s="1"/>
  <c r="O215" i="1"/>
  <c r="O229" i="1"/>
  <c r="N566" i="2"/>
  <c r="AB367" i="1"/>
  <c r="AC367" i="1" s="1"/>
  <c r="AB180" i="1"/>
  <c r="AC180" i="1" s="1"/>
  <c r="AC24" i="2"/>
  <c r="AH13" i="2"/>
  <c r="AB25" i="2"/>
  <c r="R25" i="2"/>
  <c r="R26" i="2" s="1"/>
  <c r="AA35" i="2"/>
  <c r="T25" i="2"/>
  <c r="AD25" i="2"/>
  <c r="J25" i="2"/>
  <c r="X25" i="2"/>
  <c r="K25" i="2"/>
  <c r="AC25" i="2"/>
  <c r="N25" i="2"/>
  <c r="AF25" i="2"/>
  <c r="M25" i="2"/>
  <c r="J35" i="2"/>
  <c r="AC35" i="2"/>
  <c r="S35" i="2"/>
  <c r="I35" i="2"/>
  <c r="X35" i="2"/>
  <c r="P24" i="2"/>
  <c r="V25" i="2"/>
  <c r="W25" i="2"/>
  <c r="L25" i="2"/>
  <c r="AE25" i="2"/>
  <c r="Q25" i="2"/>
  <c r="S25" i="2"/>
  <c r="I24" i="2"/>
  <c r="P25" i="2"/>
  <c r="I25" i="2"/>
  <c r="AA25" i="2"/>
  <c r="Y25" i="2"/>
  <c r="Z25" i="2"/>
  <c r="O25" i="2"/>
  <c r="H25" i="2"/>
  <c r="Z24" i="2"/>
  <c r="U35" i="2"/>
  <c r="AE35" i="2"/>
  <c r="K24" i="2"/>
  <c r="O35" i="2"/>
  <c r="K35" i="2"/>
  <c r="E26" i="2"/>
  <c r="G24" i="2"/>
  <c r="V35" i="2"/>
  <c r="N35" i="2"/>
  <c r="F35" i="2"/>
  <c r="H24" i="2"/>
  <c r="AE24" i="2"/>
  <c r="F24" i="2"/>
  <c r="F26" i="2" s="1"/>
  <c r="AB35" i="2"/>
  <c r="Q35" i="2"/>
  <c r="AD35" i="2"/>
  <c r="W35" i="2"/>
  <c r="Y35" i="2"/>
  <c r="P35" i="2"/>
  <c r="AF24" i="2"/>
  <c r="Z220" i="2"/>
  <c r="V24" i="2"/>
  <c r="N24" i="2"/>
  <c r="AB24" i="2"/>
  <c r="Z35" i="2"/>
  <c r="H35" i="2"/>
  <c r="AF35" i="2"/>
  <c r="L35" i="2"/>
  <c r="R35" i="2"/>
  <c r="T35" i="2"/>
  <c r="G35" i="2"/>
  <c r="G25" i="2"/>
  <c r="U25" i="2"/>
  <c r="AB32" i="2"/>
  <c r="AD32" i="2"/>
  <c r="O24" i="2"/>
  <c r="AD24" i="2"/>
  <c r="T24" i="2"/>
  <c r="J24" i="2"/>
  <c r="AA24" i="2"/>
  <c r="U24" i="2"/>
  <c r="Y24" i="2"/>
  <c r="X24" i="2"/>
  <c r="Q24" i="2"/>
  <c r="W24" i="2"/>
  <c r="L24" i="2"/>
  <c r="S24" i="2"/>
  <c r="M24" i="2"/>
  <c r="R316" i="1"/>
  <c r="E291" i="2" s="1"/>
  <c r="L291" i="2" s="1"/>
  <c r="E63" i="2"/>
  <c r="K63" i="2" s="1"/>
  <c r="R278" i="1"/>
  <c r="R318" i="1"/>
  <c r="U32" i="2"/>
  <c r="M32" i="2"/>
  <c r="AF32" i="2"/>
  <c r="K326" i="1"/>
  <c r="Q32" i="2"/>
  <c r="G32" i="2"/>
  <c r="J32" i="2"/>
  <c r="Z32" i="2"/>
  <c r="N32" i="2"/>
  <c r="R314" i="1"/>
  <c r="E253" i="2" s="1"/>
  <c r="M253" i="2" s="1"/>
  <c r="S32" i="2"/>
  <c r="O32" i="2"/>
  <c r="X32" i="2"/>
  <c r="F32" i="2"/>
  <c r="R451" i="1"/>
  <c r="R457" i="1"/>
  <c r="AC32" i="2"/>
  <c r="P32" i="2"/>
  <c r="W32" i="2"/>
  <c r="R32" i="2"/>
  <c r="T32" i="2"/>
  <c r="AE32" i="2"/>
  <c r="K32" i="2"/>
  <c r="R326" i="1"/>
  <c r="R272" i="1"/>
  <c r="R322" i="1"/>
  <c r="H32" i="2"/>
  <c r="Y32" i="2"/>
  <c r="AA32" i="2"/>
  <c r="V32" i="2"/>
  <c r="L32" i="2"/>
  <c r="R281" i="1"/>
  <c r="R324" i="1"/>
  <c r="R320" i="1"/>
  <c r="K320" i="1"/>
  <c r="U457" i="1"/>
  <c r="K281" i="1"/>
  <c r="K322" i="1"/>
  <c r="K272" i="1"/>
  <c r="K314" i="1"/>
  <c r="E242" i="2" s="1"/>
  <c r="AH242" i="2" s="1"/>
  <c r="K316" i="1"/>
  <c r="E280" i="2" s="1"/>
  <c r="AH280" i="2" s="1"/>
  <c r="K318" i="1"/>
  <c r="K324" i="1"/>
  <c r="K278" i="1"/>
  <c r="E52" i="2"/>
  <c r="AH52" i="2" s="1"/>
  <c r="K457" i="1"/>
  <c r="K461" i="1" s="1"/>
  <c r="K463" i="1" s="1"/>
  <c r="K465" i="1" s="1"/>
  <c r="E166" i="2" s="1"/>
  <c r="AH166" i="2" s="1"/>
  <c r="U326" i="1"/>
  <c r="L220" i="2"/>
  <c r="U316" i="1"/>
  <c r="E296" i="2" s="1"/>
  <c r="AB296" i="2" s="1"/>
  <c r="AD220" i="2"/>
  <c r="U322" i="1"/>
  <c r="J220" i="2"/>
  <c r="AC220" i="2"/>
  <c r="E68" i="2"/>
  <c r="AB68" i="2" s="1"/>
  <c r="AF220" i="2"/>
  <c r="U451" i="1"/>
  <c r="T38" i="2"/>
  <c r="K38" i="2"/>
  <c r="AC38" i="2"/>
  <c r="AB38" i="2"/>
  <c r="N38" i="2"/>
  <c r="Z38" i="2"/>
  <c r="O38" i="2"/>
  <c r="AE38" i="2"/>
  <c r="U38" i="2"/>
  <c r="X38" i="2"/>
  <c r="M38" i="2"/>
  <c r="AD38" i="2"/>
  <c r="AF38" i="2"/>
  <c r="R38" i="2"/>
  <c r="F38" i="2"/>
  <c r="G38" i="2"/>
  <c r="V38" i="2"/>
  <c r="L38" i="2"/>
  <c r="Q38" i="2"/>
  <c r="Y38" i="2"/>
  <c r="H38" i="2"/>
  <c r="J38" i="2"/>
  <c r="W38" i="2"/>
  <c r="P38" i="2"/>
  <c r="AA38" i="2"/>
  <c r="S38" i="2"/>
  <c r="AA451" i="1"/>
  <c r="AA281" i="1"/>
  <c r="AA272" i="1"/>
  <c r="AA457" i="1"/>
  <c r="AA324" i="1"/>
  <c r="AA314" i="1"/>
  <c r="AA278" i="1"/>
  <c r="AA318" i="1"/>
  <c r="AA322" i="1"/>
  <c r="E77" i="2"/>
  <c r="AA320" i="1"/>
  <c r="AA326" i="1"/>
  <c r="AA316" i="1"/>
  <c r="E305" i="2" s="1"/>
  <c r="AC229" i="2"/>
  <c r="Q229" i="2"/>
  <c r="Y229" i="2"/>
  <c r="AE229" i="2"/>
  <c r="K229" i="2"/>
  <c r="T229" i="2"/>
  <c r="R229" i="2"/>
  <c r="N229" i="2"/>
  <c r="Z229" i="2"/>
  <c r="O229" i="2"/>
  <c r="X229" i="2"/>
  <c r="AF229" i="2"/>
  <c r="AD229" i="2"/>
  <c r="G229" i="2"/>
  <c r="M229" i="2"/>
  <c r="H229" i="2"/>
  <c r="U229" i="2"/>
  <c r="W229" i="2"/>
  <c r="L229" i="2"/>
  <c r="AA229" i="2"/>
  <c r="P229" i="2"/>
  <c r="V229" i="2"/>
  <c r="J229" i="2"/>
  <c r="S229" i="2"/>
  <c r="AB229" i="2"/>
  <c r="F229" i="2"/>
  <c r="Q29" i="2"/>
  <c r="V29" i="2"/>
  <c r="AD29" i="2"/>
  <c r="P29" i="2"/>
  <c r="V220" i="2"/>
  <c r="R220" i="2"/>
  <c r="N220" i="2"/>
  <c r="K29" i="2"/>
  <c r="U220" i="2"/>
  <c r="U281" i="1"/>
  <c r="U320" i="1"/>
  <c r="U318" i="1"/>
  <c r="U278" i="1"/>
  <c r="W29" i="2"/>
  <c r="AB220" i="2"/>
  <c r="U29" i="2"/>
  <c r="X29" i="2"/>
  <c r="AE220" i="2"/>
  <c r="O29" i="2"/>
  <c r="U324" i="1"/>
  <c r="U314" i="1"/>
  <c r="E258" i="2" s="1"/>
  <c r="I29" i="2"/>
  <c r="M220" i="2"/>
  <c r="S220" i="2"/>
  <c r="O220" i="2"/>
  <c r="Y220" i="2"/>
  <c r="AB29" i="2"/>
  <c r="Q220" i="2"/>
  <c r="F29" i="2"/>
  <c r="X220" i="2"/>
  <c r="T220" i="2"/>
  <c r="G220" i="2"/>
  <c r="R29" i="2"/>
  <c r="H220" i="2"/>
  <c r="AC29" i="2"/>
  <c r="P220" i="2"/>
  <c r="W220" i="2"/>
  <c r="AE29" i="2"/>
  <c r="H281" i="1"/>
  <c r="H451" i="1"/>
  <c r="H457" i="1"/>
  <c r="H322" i="1"/>
  <c r="E47" i="2"/>
  <c r="H318" i="1"/>
  <c r="H278" i="1"/>
  <c r="H320" i="1"/>
  <c r="H316" i="1"/>
  <c r="E275" i="2" s="1"/>
  <c r="H314" i="1"/>
  <c r="H324" i="1"/>
  <c r="H326" i="1"/>
  <c r="H272" i="1"/>
  <c r="M316" i="1"/>
  <c r="E283" i="2" s="1"/>
  <c r="M324" i="1"/>
  <c r="M278" i="1"/>
  <c r="M326" i="1"/>
  <c r="M451" i="1"/>
  <c r="E55" i="2"/>
  <c r="M272" i="1"/>
  <c r="M318" i="1"/>
  <c r="M281" i="1"/>
  <c r="M320" i="1"/>
  <c r="M457" i="1"/>
  <c r="M314" i="1"/>
  <c r="M322" i="1"/>
  <c r="AF29" i="2"/>
  <c r="Z29" i="2"/>
  <c r="AA220" i="2"/>
  <c r="K220" i="2"/>
  <c r="N29" i="2"/>
  <c r="AA29" i="2"/>
  <c r="G29" i="2"/>
  <c r="H29" i="2"/>
  <c r="F220" i="2"/>
  <c r="T29" i="2"/>
  <c r="Y29" i="2"/>
  <c r="S29" i="2"/>
  <c r="J29" i="2"/>
  <c r="M29" i="2"/>
  <c r="Y457" i="1"/>
  <c r="E74" i="2"/>
  <c r="Y326" i="1"/>
  <c r="Y314" i="1"/>
  <c r="Y451" i="1"/>
  <c r="Y316" i="1"/>
  <c r="E302" i="2" s="1"/>
  <c r="Y324" i="1"/>
  <c r="Y322" i="1"/>
  <c r="Y281" i="1"/>
  <c r="Y278" i="1"/>
  <c r="Y272" i="1"/>
  <c r="Y318" i="1"/>
  <c r="Y320" i="1"/>
  <c r="S320" i="1"/>
  <c r="S451" i="1"/>
  <c r="E64" i="2"/>
  <c r="S324" i="1"/>
  <c r="S272" i="1"/>
  <c r="S281" i="1"/>
  <c r="S314" i="1"/>
  <c r="S322" i="1"/>
  <c r="S278" i="1"/>
  <c r="S316" i="1"/>
  <c r="E292" i="2" s="1"/>
  <c r="S326" i="1"/>
  <c r="S318" i="1"/>
  <c r="S457" i="1"/>
  <c r="I223" i="2"/>
  <c r="X223" i="2"/>
  <c r="W223" i="2"/>
  <c r="G223" i="2"/>
  <c r="S223" i="2"/>
  <c r="K223" i="2"/>
  <c r="N223" i="2"/>
  <c r="F223" i="2"/>
  <c r="M223" i="2"/>
  <c r="T223" i="2"/>
  <c r="U223" i="2"/>
  <c r="AD223" i="2"/>
  <c r="R223" i="2"/>
  <c r="J223" i="2"/>
  <c r="O223" i="2"/>
  <c r="AC223" i="2"/>
  <c r="V223" i="2"/>
  <c r="AB223" i="2"/>
  <c r="AF223" i="2"/>
  <c r="P223" i="2"/>
  <c r="H223" i="2"/>
  <c r="Z223" i="2"/>
  <c r="Q223" i="2"/>
  <c r="AE223" i="2"/>
  <c r="Y223" i="2"/>
  <c r="AA223" i="2"/>
  <c r="L223" i="2"/>
  <c r="K203" i="15"/>
  <c r="K205" i="15" s="1"/>
  <c r="F316" i="2"/>
  <c r="F468" i="2"/>
  <c r="Q543" i="2"/>
  <c r="Q566" i="2" s="1"/>
  <c r="R543" i="2"/>
  <c r="R566" i="2" s="1"/>
  <c r="P543" i="2"/>
  <c r="P566" i="2" s="1"/>
  <c r="E10" i="2"/>
  <c r="W104" i="1"/>
  <c r="W124" i="1" s="1"/>
  <c r="W126" i="1" s="1"/>
  <c r="I468" i="2"/>
  <c r="AD215" i="2"/>
  <c r="W215" i="2"/>
  <c r="M215" i="2"/>
  <c r="X215" i="2"/>
  <c r="P215" i="2"/>
  <c r="H215" i="2"/>
  <c r="AF215" i="2"/>
  <c r="Q215" i="2"/>
  <c r="K215" i="2"/>
  <c r="S215" i="2"/>
  <c r="AA215" i="2"/>
  <c r="G215" i="2"/>
  <c r="T215" i="2"/>
  <c r="V215" i="2"/>
  <c r="Z215" i="2"/>
  <c r="I215" i="2"/>
  <c r="Y215" i="2"/>
  <c r="R215" i="2"/>
  <c r="AB215" i="2"/>
  <c r="U215" i="2"/>
  <c r="AC215" i="2"/>
  <c r="O215" i="2"/>
  <c r="F215" i="2"/>
  <c r="AE215" i="2"/>
  <c r="N215" i="2"/>
  <c r="L215" i="2"/>
  <c r="J215" i="2"/>
  <c r="I452" i="1"/>
  <c r="I274" i="1"/>
  <c r="I273" i="1"/>
  <c r="I453" i="1"/>
  <c r="I270" i="1"/>
  <c r="I449" i="1"/>
  <c r="J203" i="15"/>
  <c r="S84" i="15"/>
  <c r="J12" i="15" s="1"/>
  <c r="H468" i="2"/>
  <c r="I99" i="1"/>
  <c r="I454" i="1"/>
  <c r="I275" i="1"/>
  <c r="I269" i="1"/>
  <c r="I450" i="1"/>
  <c r="I277" i="1"/>
  <c r="I456" i="1"/>
  <c r="I455" i="1"/>
  <c r="I271" i="1"/>
  <c r="I448" i="1"/>
  <c r="I276" i="1"/>
  <c r="K475" i="2"/>
  <c r="AF226" i="2"/>
  <c r="U226" i="2"/>
  <c r="AD226" i="2"/>
  <c r="V226" i="2"/>
  <c r="P226" i="2"/>
  <c r="L226" i="2"/>
  <c r="X226" i="2"/>
  <c r="N226" i="2"/>
  <c r="Y226" i="2"/>
  <c r="W226" i="2"/>
  <c r="AA226" i="2"/>
  <c r="O226" i="2"/>
  <c r="AC226" i="2"/>
  <c r="S226" i="2"/>
  <c r="K226" i="2"/>
  <c r="AB226" i="2"/>
  <c r="G226" i="2"/>
  <c r="AE226" i="2"/>
  <c r="Z226" i="2"/>
  <c r="F226" i="2"/>
  <c r="Q226" i="2"/>
  <c r="R226" i="2"/>
  <c r="T226" i="2"/>
  <c r="M226" i="2"/>
  <c r="H226" i="2"/>
  <c r="I226" i="2"/>
  <c r="J226" i="2"/>
  <c r="AG505" i="2"/>
  <c r="E200" i="2"/>
  <c r="G591" i="2" l="1"/>
  <c r="G617" i="2"/>
  <c r="I617" i="2"/>
  <c r="I591" i="2"/>
  <c r="P64" i="1"/>
  <c r="AB64" i="1" s="1"/>
  <c r="AC64" i="1" s="1"/>
  <c r="P8" i="1"/>
  <c r="AB8" i="1" s="1"/>
  <c r="AC8" i="1" s="1"/>
  <c r="P9" i="1"/>
  <c r="AB9" i="1" s="1"/>
  <c r="AC9" i="1" s="1"/>
  <c r="AB73" i="1"/>
  <c r="AC73" i="1" s="1"/>
  <c r="AB56" i="1"/>
  <c r="AC56" i="1" s="1"/>
  <c r="P10" i="1"/>
  <c r="P68" i="1"/>
  <c r="AB68" i="1" s="1"/>
  <c r="AC68" i="1" s="1"/>
  <c r="P394" i="1"/>
  <c r="P141" i="1"/>
  <c r="AB141" i="1" s="1"/>
  <c r="AC141" i="1" s="1"/>
  <c r="P410" i="1"/>
  <c r="AB410" i="1" s="1"/>
  <c r="AC410" i="1" s="1"/>
  <c r="P229" i="1"/>
  <c r="AB229" i="1" s="1"/>
  <c r="AC229" i="1" s="1"/>
  <c r="AB136" i="1"/>
  <c r="AC136" i="1" s="1"/>
  <c r="P72" i="1"/>
  <c r="AB72" i="1" s="1"/>
  <c r="AC72" i="1" s="1"/>
  <c r="P69" i="1"/>
  <c r="AB69" i="1" s="1"/>
  <c r="AC69" i="1" s="1"/>
  <c r="P77" i="1"/>
  <c r="AB77" i="1" s="1"/>
  <c r="AC77" i="1" s="1"/>
  <c r="I216" i="2"/>
  <c r="I217" i="2" s="1"/>
  <c r="P58" i="1"/>
  <c r="AB58" i="1" s="1"/>
  <c r="AC58" i="1" s="1"/>
  <c r="U216" i="2"/>
  <c r="U217" i="2" s="1"/>
  <c r="AA216" i="2"/>
  <c r="AA217" i="2" s="1"/>
  <c r="AB401" i="1"/>
  <c r="AC401" i="1" s="1"/>
  <c r="P71" i="1"/>
  <c r="AB71" i="1" s="1"/>
  <c r="AC71" i="1" s="1"/>
  <c r="P65" i="1"/>
  <c r="AB65" i="1" s="1"/>
  <c r="AC65" i="1" s="1"/>
  <c r="P63" i="1"/>
  <c r="AB63" i="1" s="1"/>
  <c r="AC63" i="1" s="1"/>
  <c r="P67" i="1"/>
  <c r="AB67" i="1" s="1"/>
  <c r="AC67" i="1" s="1"/>
  <c r="P70" i="1"/>
  <c r="AB70" i="1" s="1"/>
  <c r="AC70" i="1" s="1"/>
  <c r="F216" i="2"/>
  <c r="F217" i="2" s="1"/>
  <c r="P309" i="1"/>
  <c r="AB309" i="1" s="1"/>
  <c r="AC309" i="1" s="1"/>
  <c r="P66" i="1"/>
  <c r="AB66" i="1" s="1"/>
  <c r="AC66" i="1" s="1"/>
  <c r="AE216" i="2"/>
  <c r="AE217" i="2" s="1"/>
  <c r="X216" i="2"/>
  <c r="X217" i="2" s="1"/>
  <c r="E217" i="2"/>
  <c r="Q216" i="2"/>
  <c r="Q217" i="2" s="1"/>
  <c r="Y216" i="2"/>
  <c r="Y217" i="2" s="1"/>
  <c r="AD216" i="2"/>
  <c r="AD217" i="2" s="1"/>
  <c r="AF216" i="2"/>
  <c r="AF217" i="2" s="1"/>
  <c r="P215" i="1"/>
  <c r="AB216" i="2"/>
  <c r="AB217" i="2" s="1"/>
  <c r="AC216" i="2"/>
  <c r="AC217" i="2" s="1"/>
  <c r="M216" i="2"/>
  <c r="M217" i="2" s="1"/>
  <c r="L216" i="2"/>
  <c r="L217" i="2" s="1"/>
  <c r="R216" i="2"/>
  <c r="R217" i="2" s="1"/>
  <c r="K216" i="2"/>
  <c r="K217" i="2" s="1"/>
  <c r="S216" i="2"/>
  <c r="S217" i="2" s="1"/>
  <c r="H216" i="2"/>
  <c r="H217" i="2" s="1"/>
  <c r="J216" i="2"/>
  <c r="J217" i="2" s="1"/>
  <c r="W216" i="2"/>
  <c r="W217" i="2" s="1"/>
  <c r="O216" i="2"/>
  <c r="O217" i="2" s="1"/>
  <c r="G216" i="2"/>
  <c r="G217" i="2" s="1"/>
  <c r="P216" i="2"/>
  <c r="P217" i="2" s="1"/>
  <c r="Z216" i="2"/>
  <c r="Z217" i="2" s="1"/>
  <c r="V216" i="2"/>
  <c r="V217" i="2" s="1"/>
  <c r="N216" i="2"/>
  <c r="N217" i="2" s="1"/>
  <c r="J617" i="2"/>
  <c r="J591" i="2"/>
  <c r="H591" i="2"/>
  <c r="H617" i="2"/>
  <c r="T217" i="2"/>
  <c r="S328" i="1"/>
  <c r="K35" i="15"/>
  <c r="K34" i="15"/>
  <c r="Y461" i="1"/>
  <c r="Y463" i="1" s="1"/>
  <c r="Y465" i="1" s="1"/>
  <c r="E188" i="2" s="1"/>
  <c r="AF188" i="2" s="1"/>
  <c r="O75" i="1"/>
  <c r="E464" i="2"/>
  <c r="AG462" i="2"/>
  <c r="AH462" i="2" s="1"/>
  <c r="X457" i="2"/>
  <c r="X458" i="2" s="1"/>
  <c r="S457" i="2"/>
  <c r="S458" i="2" s="1"/>
  <c r="AC457" i="2"/>
  <c r="AC458" i="2" s="1"/>
  <c r="AF457" i="2"/>
  <c r="AF458" i="2" s="1"/>
  <c r="AD457" i="2"/>
  <c r="AD458" i="2" s="1"/>
  <c r="Q457" i="2"/>
  <c r="Q458" i="2" s="1"/>
  <c r="I457" i="2"/>
  <c r="I458" i="2" s="1"/>
  <c r="AB457" i="2"/>
  <c r="AB458" i="2" s="1"/>
  <c r="V457" i="2"/>
  <c r="V458" i="2" s="1"/>
  <c r="U457" i="2"/>
  <c r="U458" i="2" s="1"/>
  <c r="R457" i="2"/>
  <c r="R458" i="2" s="1"/>
  <c r="AA457" i="2"/>
  <c r="AA458" i="2" s="1"/>
  <c r="L457" i="2"/>
  <c r="L458" i="2" s="1"/>
  <c r="Y457" i="2"/>
  <c r="Y458" i="2" s="1"/>
  <c r="H457" i="2"/>
  <c r="H458" i="2" s="1"/>
  <c r="G457" i="2"/>
  <c r="G458" i="2" s="1"/>
  <c r="N457" i="2"/>
  <c r="N458" i="2" s="1"/>
  <c r="Z457" i="2"/>
  <c r="Z458" i="2" s="1"/>
  <c r="E458" i="2"/>
  <c r="W457" i="2"/>
  <c r="W458" i="2" s="1"/>
  <c r="AE457" i="2"/>
  <c r="AE458" i="2" s="1"/>
  <c r="O457" i="2"/>
  <c r="O458" i="2" s="1"/>
  <c r="F457" i="2"/>
  <c r="J457" i="2"/>
  <c r="J458" i="2" s="1"/>
  <c r="T457" i="2"/>
  <c r="T458" i="2" s="1"/>
  <c r="P457" i="2"/>
  <c r="P458" i="2" s="1"/>
  <c r="M457" i="2"/>
  <c r="M458" i="2" s="1"/>
  <c r="K457" i="2"/>
  <c r="K458" i="2" s="1"/>
  <c r="O412" i="1"/>
  <c r="O231" i="1"/>
  <c r="O12" i="1"/>
  <c r="N591" i="2"/>
  <c r="N617" i="2"/>
  <c r="Z26" i="2"/>
  <c r="AB291" i="2"/>
  <c r="U291" i="2"/>
  <c r="S291" i="2"/>
  <c r="E293" i="2"/>
  <c r="R291" i="2"/>
  <c r="I291" i="2"/>
  <c r="M291" i="2"/>
  <c r="H291" i="2"/>
  <c r="AD291" i="2"/>
  <c r="J291" i="2"/>
  <c r="AA291" i="2"/>
  <c r="F291" i="2"/>
  <c r="AC26" i="2"/>
  <c r="Z291" i="2"/>
  <c r="V291" i="2"/>
  <c r="X291" i="2"/>
  <c r="T26" i="2"/>
  <c r="AE26" i="2"/>
  <c r="S26" i="2"/>
  <c r="X26" i="2"/>
  <c r="AF26" i="2"/>
  <c r="P253" i="2"/>
  <c r="AB26" i="2"/>
  <c r="G63" i="2"/>
  <c r="M26" i="2"/>
  <c r="AA26" i="2"/>
  <c r="K26" i="2"/>
  <c r="W63" i="2"/>
  <c r="E65" i="2"/>
  <c r="Z63" i="2"/>
  <c r="H26" i="2"/>
  <c r="J26" i="2"/>
  <c r="AC253" i="2"/>
  <c r="N253" i="2"/>
  <c r="AD26" i="2"/>
  <c r="Q26" i="2"/>
  <c r="V26" i="2"/>
  <c r="N26" i="2"/>
  <c r="O26" i="2"/>
  <c r="Y26" i="2"/>
  <c r="K283" i="1"/>
  <c r="K285" i="1" s="1"/>
  <c r="K129" i="1" s="1"/>
  <c r="K133" i="1" s="1"/>
  <c r="K144" i="1" s="1"/>
  <c r="E90" i="2" s="1"/>
  <c r="E523" i="2" s="1"/>
  <c r="AH523" i="2" s="1"/>
  <c r="AG25" i="2"/>
  <c r="AH25" i="2" s="1"/>
  <c r="I26" i="2"/>
  <c r="H253" i="2"/>
  <c r="V253" i="2"/>
  <c r="L26" i="2"/>
  <c r="P26" i="2"/>
  <c r="L253" i="2"/>
  <c r="Z253" i="2"/>
  <c r="W26" i="2"/>
  <c r="AG35" i="2"/>
  <c r="AH35" i="2" s="1"/>
  <c r="M63" i="2"/>
  <c r="V63" i="2"/>
  <c r="AF63" i="2"/>
  <c r="X63" i="2"/>
  <c r="AE63" i="2"/>
  <c r="AG24" i="2"/>
  <c r="AH24" i="2" s="1"/>
  <c r="G291" i="2"/>
  <c r="AC291" i="2"/>
  <c r="K291" i="2"/>
  <c r="O291" i="2"/>
  <c r="W291" i="2"/>
  <c r="AE291" i="2"/>
  <c r="N291" i="2"/>
  <c r="G26" i="2"/>
  <c r="AD63" i="2"/>
  <c r="U26" i="2"/>
  <c r="J63" i="2"/>
  <c r="U63" i="2"/>
  <c r="T63" i="2"/>
  <c r="AB63" i="2"/>
  <c r="T291" i="2"/>
  <c r="Y291" i="2"/>
  <c r="Q291" i="2"/>
  <c r="P291" i="2"/>
  <c r="AF291" i="2"/>
  <c r="R296" i="2"/>
  <c r="N63" i="2"/>
  <c r="Q63" i="2"/>
  <c r="AA63" i="2"/>
  <c r="H63" i="2"/>
  <c r="O63" i="2"/>
  <c r="Y63" i="2"/>
  <c r="I63" i="2"/>
  <c r="R63" i="2"/>
  <c r="F63" i="2"/>
  <c r="AC63" i="2"/>
  <c r="P63" i="2"/>
  <c r="L63" i="2"/>
  <c r="S63" i="2"/>
  <c r="G296" i="2"/>
  <c r="F253" i="2"/>
  <c r="J253" i="2"/>
  <c r="I253" i="2"/>
  <c r="AF253" i="2"/>
  <c r="K253" i="2"/>
  <c r="AD253" i="2"/>
  <c r="U253" i="2"/>
  <c r="O253" i="2"/>
  <c r="T253" i="2"/>
  <c r="Y253" i="2"/>
  <c r="X253" i="2"/>
  <c r="AB253" i="2"/>
  <c r="G253" i="2"/>
  <c r="S253" i="2"/>
  <c r="AG32" i="2"/>
  <c r="AH32" i="2" s="1"/>
  <c r="W253" i="2"/>
  <c r="R253" i="2"/>
  <c r="AA253" i="2"/>
  <c r="Q253" i="2"/>
  <c r="AE253" i="2"/>
  <c r="R461" i="1"/>
  <c r="R463" i="1" s="1"/>
  <c r="R465" i="1" s="1"/>
  <c r="E177" i="2" s="1"/>
  <c r="W177" i="2" s="1"/>
  <c r="AC296" i="2"/>
  <c r="R283" i="1"/>
  <c r="R285" i="1" s="1"/>
  <c r="R129" i="1" s="1"/>
  <c r="R133" i="1" s="1"/>
  <c r="R144" i="1" s="1"/>
  <c r="E101" i="2" s="1"/>
  <c r="V296" i="2"/>
  <c r="R328" i="1"/>
  <c r="U461" i="1"/>
  <c r="U463" i="1" s="1"/>
  <c r="U465" i="1" s="1"/>
  <c r="E182" i="2" s="1"/>
  <c r="W182" i="2" s="1"/>
  <c r="L68" i="2"/>
  <c r="G68" i="2"/>
  <c r="M68" i="2"/>
  <c r="U68" i="2"/>
  <c r="AF68" i="2"/>
  <c r="J68" i="2"/>
  <c r="J296" i="2"/>
  <c r="K296" i="2"/>
  <c r="K328" i="1"/>
  <c r="Y68" i="2"/>
  <c r="F68" i="2"/>
  <c r="I68" i="2"/>
  <c r="P296" i="2"/>
  <c r="N68" i="2"/>
  <c r="U296" i="2"/>
  <c r="W68" i="2"/>
  <c r="Z68" i="2"/>
  <c r="X68" i="2"/>
  <c r="S68" i="2"/>
  <c r="AA68" i="2"/>
  <c r="N296" i="2"/>
  <c r="AA296" i="2"/>
  <c r="T296" i="2"/>
  <c r="L296" i="2"/>
  <c r="AE68" i="2"/>
  <c r="I296" i="2"/>
  <c r="Q296" i="2"/>
  <c r="AE296" i="2"/>
  <c r="S296" i="2"/>
  <c r="O68" i="2"/>
  <c r="V68" i="2"/>
  <c r="AD296" i="2"/>
  <c r="M296" i="2"/>
  <c r="F296" i="2"/>
  <c r="U328" i="1"/>
  <c r="X296" i="2"/>
  <c r="AG229" i="2"/>
  <c r="AH229" i="2" s="1"/>
  <c r="AD68" i="2"/>
  <c r="P68" i="2"/>
  <c r="T68" i="2"/>
  <c r="AC68" i="2"/>
  <c r="W296" i="2"/>
  <c r="O296" i="2"/>
  <c r="AF296" i="2"/>
  <c r="Y296" i="2"/>
  <c r="Z296" i="2"/>
  <c r="H296" i="2"/>
  <c r="AA461" i="1"/>
  <c r="AA463" i="1" s="1"/>
  <c r="AA465" i="1" s="1"/>
  <c r="E191" i="2" s="1"/>
  <c r="AA191" i="2" s="1"/>
  <c r="M461" i="1"/>
  <c r="M463" i="1" s="1"/>
  <c r="M465" i="1" s="1"/>
  <c r="E169" i="2" s="1"/>
  <c r="H283" i="1"/>
  <c r="H285" i="1" s="1"/>
  <c r="E123" i="2" s="1"/>
  <c r="AG38" i="2"/>
  <c r="AH38" i="2" s="1"/>
  <c r="H68" i="2"/>
  <c r="Q68" i="2"/>
  <c r="K68" i="2"/>
  <c r="R68" i="2"/>
  <c r="I77" i="2"/>
  <c r="Q77" i="2"/>
  <c r="AB77" i="2"/>
  <c r="Y77" i="2"/>
  <c r="AA77" i="2"/>
  <c r="L77" i="2"/>
  <c r="M77" i="2"/>
  <c r="AC77" i="2"/>
  <c r="T77" i="2"/>
  <c r="W77" i="2"/>
  <c r="F77" i="2"/>
  <c r="K77" i="2"/>
  <c r="O77" i="2"/>
  <c r="H77" i="2"/>
  <c r="G77" i="2"/>
  <c r="AD77" i="2"/>
  <c r="AF77" i="2"/>
  <c r="N77" i="2"/>
  <c r="V77" i="2"/>
  <c r="P77" i="2"/>
  <c r="S77" i="2"/>
  <c r="U77" i="2"/>
  <c r="Z77" i="2"/>
  <c r="AE77" i="2"/>
  <c r="X77" i="2"/>
  <c r="R77" i="2"/>
  <c r="J77" i="2"/>
  <c r="E267" i="2"/>
  <c r="AA328" i="1"/>
  <c r="O305" i="2"/>
  <c r="AE305" i="2"/>
  <c r="K305" i="2"/>
  <c r="N305" i="2"/>
  <c r="T305" i="2"/>
  <c r="Y305" i="2"/>
  <c r="I305" i="2"/>
  <c r="X305" i="2"/>
  <c r="V305" i="2"/>
  <c r="G305" i="2"/>
  <c r="AB305" i="2"/>
  <c r="AC305" i="2"/>
  <c r="R305" i="2"/>
  <c r="H305" i="2"/>
  <c r="L305" i="2"/>
  <c r="S305" i="2"/>
  <c r="U305" i="2"/>
  <c r="P305" i="2"/>
  <c r="W305" i="2"/>
  <c r="M305" i="2"/>
  <c r="F305" i="2"/>
  <c r="AF305" i="2"/>
  <c r="Q305" i="2"/>
  <c r="J305" i="2"/>
  <c r="AA305" i="2"/>
  <c r="Z305" i="2"/>
  <c r="AD305" i="2"/>
  <c r="U283" i="1"/>
  <c r="U285" i="1" s="1"/>
  <c r="E144" i="2" s="1"/>
  <c r="AA283" i="1"/>
  <c r="AA285" i="1" s="1"/>
  <c r="I101" i="1"/>
  <c r="I104" i="1" s="1"/>
  <c r="AG29" i="2"/>
  <c r="AH29" i="2" s="1"/>
  <c r="AG220" i="2"/>
  <c r="AH220" i="2" s="1"/>
  <c r="M283" i="1"/>
  <c r="M285" i="1" s="1"/>
  <c r="Y283" i="1"/>
  <c r="Y285" i="1" s="1"/>
  <c r="Y287" i="1" s="1"/>
  <c r="E237" i="2"/>
  <c r="H328" i="1"/>
  <c r="H461" i="1"/>
  <c r="H463" i="1" s="1"/>
  <c r="H465" i="1" s="1"/>
  <c r="E161" i="2" s="1"/>
  <c r="E245" i="2"/>
  <c r="M328" i="1"/>
  <c r="W278" i="1"/>
  <c r="W451" i="1"/>
  <c r="W314" i="1"/>
  <c r="W457" i="1"/>
  <c r="W281" i="1"/>
  <c r="W272" i="1"/>
  <c r="W320" i="1"/>
  <c r="W318" i="1"/>
  <c r="W324" i="1"/>
  <c r="W322" i="1"/>
  <c r="E71" i="2"/>
  <c r="W326" i="1"/>
  <c r="W316" i="1"/>
  <c r="E299" i="2" s="1"/>
  <c r="F338" i="2"/>
  <c r="AG316" i="2"/>
  <c r="AH316" i="2" s="1"/>
  <c r="E264" i="2"/>
  <c r="Y328" i="1"/>
  <c r="AG215" i="2"/>
  <c r="AH215" i="2" s="1"/>
  <c r="R591" i="2"/>
  <c r="R617" i="2"/>
  <c r="E254" i="2"/>
  <c r="F64" i="2"/>
  <c r="AC64" i="2"/>
  <c r="P64" i="2"/>
  <c r="S64" i="2"/>
  <c r="AF64" i="2"/>
  <c r="Y64" i="2"/>
  <c r="T64" i="2"/>
  <c r="Z64" i="2"/>
  <c r="L64" i="2"/>
  <c r="W64" i="2"/>
  <c r="V64" i="2"/>
  <c r="M64" i="2"/>
  <c r="K64" i="2"/>
  <c r="K65" i="2" s="1"/>
  <c r="X64" i="2"/>
  <c r="AE64" i="2"/>
  <c r="O64" i="2"/>
  <c r="AB64" i="2"/>
  <c r="J64" i="2"/>
  <c r="U64" i="2"/>
  <c r="I64" i="2"/>
  <c r="Q64" i="2"/>
  <c r="AA64" i="2"/>
  <c r="R64" i="2"/>
  <c r="G64" i="2"/>
  <c r="AD64" i="2"/>
  <c r="H64" i="2"/>
  <c r="N64" i="2"/>
  <c r="AB258" i="2"/>
  <c r="AE258" i="2"/>
  <c r="O258" i="2"/>
  <c r="Q258" i="2"/>
  <c r="R258" i="2"/>
  <c r="AF258" i="2"/>
  <c r="X258" i="2"/>
  <c r="M258" i="2"/>
  <c r="Y258" i="2"/>
  <c r="L258" i="2"/>
  <c r="V258" i="2"/>
  <c r="AC258" i="2"/>
  <c r="I258" i="2"/>
  <c r="AA258" i="2"/>
  <c r="T258" i="2"/>
  <c r="Z258" i="2"/>
  <c r="W258" i="2"/>
  <c r="U258" i="2"/>
  <c r="P258" i="2"/>
  <c r="K258" i="2"/>
  <c r="F258" i="2"/>
  <c r="G258" i="2"/>
  <c r="H258" i="2"/>
  <c r="J258" i="2"/>
  <c r="N258" i="2"/>
  <c r="AD258" i="2"/>
  <c r="S258" i="2"/>
  <c r="H475" i="2"/>
  <c r="E201" i="2"/>
  <c r="AG226" i="2"/>
  <c r="AH226" i="2" s="1"/>
  <c r="J433" i="2"/>
  <c r="AG433" i="2" s="1"/>
  <c r="J25" i="15"/>
  <c r="E433" i="2" s="1"/>
  <c r="I475" i="2"/>
  <c r="AC292" i="2"/>
  <c r="I292" i="2"/>
  <c r="N292" i="2"/>
  <c r="T292" i="2"/>
  <c r="AB292" i="2"/>
  <c r="G292" i="2"/>
  <c r="AF292" i="2"/>
  <c r="M292" i="2"/>
  <c r="Q292" i="2"/>
  <c r="W292" i="2"/>
  <c r="K292" i="2"/>
  <c r="V292" i="2"/>
  <c r="J292" i="2"/>
  <c r="X292" i="2"/>
  <c r="Y292" i="2"/>
  <c r="AA292" i="2"/>
  <c r="H292" i="2"/>
  <c r="AD292" i="2"/>
  <c r="Z292" i="2"/>
  <c r="O292" i="2"/>
  <c r="AE292" i="2"/>
  <c r="R292" i="2"/>
  <c r="S292" i="2"/>
  <c r="U292" i="2"/>
  <c r="L292" i="2"/>
  <c r="L293" i="2" s="1"/>
  <c r="P292" i="2"/>
  <c r="F292" i="2"/>
  <c r="S461" i="1"/>
  <c r="S463" i="1" s="1"/>
  <c r="S465" i="1" s="1"/>
  <c r="E178" i="2" s="1"/>
  <c r="U302" i="2"/>
  <c r="X302" i="2"/>
  <c r="AD302" i="2"/>
  <c r="Y302" i="2"/>
  <c r="W302" i="2"/>
  <c r="AF302" i="2"/>
  <c r="S302" i="2"/>
  <c r="N302" i="2"/>
  <c r="AC302" i="2"/>
  <c r="AB302" i="2"/>
  <c r="P302" i="2"/>
  <c r="L302" i="2"/>
  <c r="AA302" i="2"/>
  <c r="K302" i="2"/>
  <c r="Z302" i="2"/>
  <c r="O302" i="2"/>
  <c r="V302" i="2"/>
  <c r="G302" i="2"/>
  <c r="AE302" i="2"/>
  <c r="F302" i="2"/>
  <c r="Q302" i="2"/>
  <c r="R302" i="2"/>
  <c r="T302" i="2"/>
  <c r="M302" i="2"/>
  <c r="H302" i="2"/>
  <c r="I302" i="2"/>
  <c r="J302" i="2"/>
  <c r="AA74" i="2"/>
  <c r="X74" i="2"/>
  <c r="AD74" i="2"/>
  <c r="U74" i="2"/>
  <c r="N74" i="2"/>
  <c r="Z74" i="2"/>
  <c r="S74" i="2"/>
  <c r="AB74" i="2"/>
  <c r="L74" i="2"/>
  <c r="Y74" i="2"/>
  <c r="AC74" i="2"/>
  <c r="AE74" i="2"/>
  <c r="W74" i="2"/>
  <c r="AF74" i="2"/>
  <c r="O74" i="2"/>
  <c r="K74" i="2"/>
  <c r="P74" i="2"/>
  <c r="V74" i="2"/>
  <c r="G74" i="2"/>
  <c r="F74" i="2"/>
  <c r="R74" i="2"/>
  <c r="Q74" i="2"/>
  <c r="M74" i="2"/>
  <c r="H74" i="2"/>
  <c r="T74" i="2"/>
  <c r="J74" i="2"/>
  <c r="I74" i="2"/>
  <c r="F475" i="2"/>
  <c r="L203" i="15"/>
  <c r="L205" i="15" s="1"/>
  <c r="F543" i="2"/>
  <c r="F566" i="2" s="1"/>
  <c r="AG514" i="2"/>
  <c r="J205" i="15"/>
  <c r="P591" i="2"/>
  <c r="P617" i="2"/>
  <c r="Q591" i="2"/>
  <c r="Q617" i="2"/>
  <c r="AG223" i="2"/>
  <c r="AH223" i="2" s="1"/>
  <c r="S283" i="1"/>
  <c r="S285" i="1" s="1"/>
  <c r="AE177" i="2" l="1"/>
  <c r="E503" i="2"/>
  <c r="E512" i="2" s="1"/>
  <c r="P12" i="1"/>
  <c r="AB12" i="1" s="1"/>
  <c r="AC12" i="1" s="1"/>
  <c r="P412" i="1"/>
  <c r="P414" i="1" s="1"/>
  <c r="P416" i="1" s="1"/>
  <c r="AB394" i="1"/>
  <c r="AC394" i="1" s="1"/>
  <c r="AB10" i="1"/>
  <c r="AC10" i="1" s="1"/>
  <c r="P231" i="1"/>
  <c r="P235" i="1" s="1"/>
  <c r="P75" i="1"/>
  <c r="P307" i="1" s="1"/>
  <c r="AG216" i="2"/>
  <c r="AH216" i="2" s="1"/>
  <c r="AB215" i="1"/>
  <c r="AC215" i="1" s="1"/>
  <c r="J35" i="15"/>
  <c r="J34" i="15"/>
  <c r="L35" i="15"/>
  <c r="L34" i="15"/>
  <c r="AA188" i="2"/>
  <c r="F188" i="2"/>
  <c r="U188" i="2"/>
  <c r="H188" i="2"/>
  <c r="V188" i="2"/>
  <c r="N188" i="2"/>
  <c r="J188" i="2"/>
  <c r="Z188" i="2"/>
  <c r="R188" i="2"/>
  <c r="AD188" i="2"/>
  <c r="W188" i="2"/>
  <c r="T188" i="2"/>
  <c r="G188" i="2"/>
  <c r="X188" i="2"/>
  <c r="M188" i="2"/>
  <c r="K188" i="2"/>
  <c r="AE188" i="2"/>
  <c r="AB188" i="2"/>
  <c r="P188" i="2"/>
  <c r="O188" i="2"/>
  <c r="I188" i="2"/>
  <c r="Q188" i="2"/>
  <c r="L188" i="2"/>
  <c r="Y188" i="2"/>
  <c r="S188" i="2"/>
  <c r="AC188" i="2"/>
  <c r="K459" i="2"/>
  <c r="E465" i="2"/>
  <c r="X464" i="2"/>
  <c r="X465" i="2" s="1"/>
  <c r="H464" i="2"/>
  <c r="H465" i="2" s="1"/>
  <c r="AD464" i="2"/>
  <c r="AD465" i="2" s="1"/>
  <c r="AB464" i="2"/>
  <c r="AB465" i="2" s="1"/>
  <c r="R464" i="2"/>
  <c r="R465" i="2" s="1"/>
  <c r="J464" i="2"/>
  <c r="J465" i="2" s="1"/>
  <c r="AC464" i="2"/>
  <c r="AC465" i="2" s="1"/>
  <c r="O464" i="2"/>
  <c r="O465" i="2" s="1"/>
  <c r="G464" i="2"/>
  <c r="G465" i="2" s="1"/>
  <c r="K464" i="2"/>
  <c r="K465" i="2" s="1"/>
  <c r="AE464" i="2"/>
  <c r="AE465" i="2" s="1"/>
  <c r="V464" i="2"/>
  <c r="V465" i="2" s="1"/>
  <c r="P464" i="2"/>
  <c r="P465" i="2" s="1"/>
  <c r="AA464" i="2"/>
  <c r="AA465" i="2" s="1"/>
  <c r="U464" i="2"/>
  <c r="U465" i="2" s="1"/>
  <c r="F464" i="2"/>
  <c r="M464" i="2"/>
  <c r="M465" i="2" s="1"/>
  <c r="Z464" i="2"/>
  <c r="Z465" i="2" s="1"/>
  <c r="S464" i="2"/>
  <c r="S465" i="2" s="1"/>
  <c r="L464" i="2"/>
  <c r="L465" i="2" s="1"/>
  <c r="Y464" i="2"/>
  <c r="Y465" i="2" s="1"/>
  <c r="AF464" i="2"/>
  <c r="AF465" i="2" s="1"/>
  <c r="I464" i="2"/>
  <c r="I465" i="2" s="1"/>
  <c r="N464" i="2"/>
  <c r="N465" i="2" s="1"/>
  <c r="T464" i="2"/>
  <c r="T465" i="2" s="1"/>
  <c r="W464" i="2"/>
  <c r="W465" i="2" s="1"/>
  <c r="Q464" i="2"/>
  <c r="Q465" i="2" s="1"/>
  <c r="O82" i="1"/>
  <c r="O235" i="1"/>
  <c r="O237" i="1"/>
  <c r="O233" i="1"/>
  <c r="F458" i="2"/>
  <c r="AG457" i="2"/>
  <c r="AH457" i="2" s="1"/>
  <c r="O459" i="2"/>
  <c r="AF459" i="2"/>
  <c r="AA459" i="2"/>
  <c r="T459" i="2"/>
  <c r="V459" i="2"/>
  <c r="Q459" i="2"/>
  <c r="M459" i="2"/>
  <c r="AE459" i="2"/>
  <c r="L459" i="2"/>
  <c r="S459" i="2"/>
  <c r="X459" i="2"/>
  <c r="Z459" i="2"/>
  <c r="R459" i="2"/>
  <c r="G459" i="2"/>
  <c r="P459" i="2"/>
  <c r="AD459" i="2"/>
  <c r="J459" i="2"/>
  <c r="AB459" i="2"/>
  <c r="AC459" i="2"/>
  <c r="U459" i="2"/>
  <c r="Y459" i="2"/>
  <c r="N459" i="2"/>
  <c r="I459" i="2"/>
  <c r="W459" i="2"/>
  <c r="H459" i="2"/>
  <c r="O414" i="1"/>
  <c r="O121" i="1"/>
  <c r="O280" i="1"/>
  <c r="O458" i="1"/>
  <c r="O279" i="1"/>
  <c r="O307" i="1"/>
  <c r="O122" i="1"/>
  <c r="O88" i="1"/>
  <c r="O459" i="1"/>
  <c r="O308" i="1"/>
  <c r="O120" i="1"/>
  <c r="M293" i="2"/>
  <c r="AD293" i="2"/>
  <c r="R293" i="2"/>
  <c r="H293" i="2"/>
  <c r="S293" i="2"/>
  <c r="AH433" i="2"/>
  <c r="AB293" i="2"/>
  <c r="I293" i="2"/>
  <c r="U293" i="2"/>
  <c r="AA293" i="2"/>
  <c r="V293" i="2"/>
  <c r="F293" i="2"/>
  <c r="J293" i="2"/>
  <c r="Z293" i="2"/>
  <c r="X293" i="2"/>
  <c r="K330" i="1"/>
  <c r="G65" i="2"/>
  <c r="W65" i="2"/>
  <c r="Z65" i="2"/>
  <c r="K287" i="1"/>
  <c r="E128" i="2"/>
  <c r="E505" i="2" s="1"/>
  <c r="E514" i="2" s="1"/>
  <c r="E139" i="2"/>
  <c r="S139" i="2" s="1"/>
  <c r="AD65" i="2"/>
  <c r="AB65" i="2"/>
  <c r="AF65" i="2"/>
  <c r="AF293" i="2"/>
  <c r="AH90" i="2"/>
  <c r="Y182" i="2"/>
  <c r="AA182" i="2"/>
  <c r="Y293" i="2"/>
  <c r="K293" i="2"/>
  <c r="N293" i="2"/>
  <c r="I65" i="2"/>
  <c r="M65" i="2"/>
  <c r="O293" i="2"/>
  <c r="AC177" i="2"/>
  <c r="P293" i="2"/>
  <c r="W293" i="2"/>
  <c r="G293" i="2"/>
  <c r="U65" i="2"/>
  <c r="AE65" i="2"/>
  <c r="V65" i="2"/>
  <c r="T65" i="2"/>
  <c r="P65" i="2"/>
  <c r="AG217" i="2"/>
  <c r="AH217" i="2" s="1"/>
  <c r="Q293" i="2"/>
  <c r="AA65" i="2"/>
  <c r="AB182" i="2"/>
  <c r="K182" i="2"/>
  <c r="AB177" i="2"/>
  <c r="AG26" i="2"/>
  <c r="AH26" i="2" s="1"/>
  <c r="AG291" i="2"/>
  <c r="AH291" i="2" s="1"/>
  <c r="AE293" i="2"/>
  <c r="AC293" i="2"/>
  <c r="T293" i="2"/>
  <c r="J65" i="2"/>
  <c r="X65" i="2"/>
  <c r="Y65" i="2"/>
  <c r="AC65" i="2"/>
  <c r="O65" i="2"/>
  <c r="AG63" i="2"/>
  <c r="AH63" i="2" s="1"/>
  <c r="N65" i="2"/>
  <c r="AD177" i="2"/>
  <c r="U177" i="2"/>
  <c r="S65" i="2"/>
  <c r="H65" i="2"/>
  <c r="J177" i="2"/>
  <c r="Q65" i="2"/>
  <c r="L65" i="2"/>
  <c r="F177" i="2"/>
  <c r="Z177" i="2"/>
  <c r="L177" i="2"/>
  <c r="AG253" i="2"/>
  <c r="AH253" i="2" s="1"/>
  <c r="R65" i="2"/>
  <c r="S177" i="2"/>
  <c r="O177" i="2"/>
  <c r="R330" i="1"/>
  <c r="AF177" i="2"/>
  <c r="H177" i="2"/>
  <c r="I177" i="2"/>
  <c r="X177" i="2"/>
  <c r="K177" i="2"/>
  <c r="Y177" i="2"/>
  <c r="M177" i="2"/>
  <c r="G177" i="2"/>
  <c r="Q177" i="2"/>
  <c r="R177" i="2"/>
  <c r="P177" i="2"/>
  <c r="V177" i="2"/>
  <c r="AA177" i="2"/>
  <c r="N177" i="2"/>
  <c r="T177" i="2"/>
  <c r="R287" i="1"/>
  <c r="AD182" i="2"/>
  <c r="AC182" i="2"/>
  <c r="S182" i="2"/>
  <c r="P182" i="2"/>
  <c r="Q182" i="2"/>
  <c r="V182" i="2"/>
  <c r="H182" i="2"/>
  <c r="G182" i="2"/>
  <c r="U182" i="2"/>
  <c r="R182" i="2"/>
  <c r="M182" i="2"/>
  <c r="AE182" i="2"/>
  <c r="X182" i="2"/>
  <c r="I182" i="2"/>
  <c r="N182" i="2"/>
  <c r="Z182" i="2"/>
  <c r="AF182" i="2"/>
  <c r="J182" i="2"/>
  <c r="O182" i="2"/>
  <c r="L182" i="2"/>
  <c r="F182" i="2"/>
  <c r="T182" i="2"/>
  <c r="K191" i="2"/>
  <c r="H191" i="2"/>
  <c r="AB191" i="2"/>
  <c r="O191" i="2"/>
  <c r="F191" i="2"/>
  <c r="J191" i="2"/>
  <c r="AC191" i="2"/>
  <c r="AG296" i="2"/>
  <c r="AH296" i="2" s="1"/>
  <c r="AG68" i="2"/>
  <c r="AH68" i="2" s="1"/>
  <c r="H330" i="1"/>
  <c r="M191" i="2"/>
  <c r="T191" i="2"/>
  <c r="AE191" i="2"/>
  <c r="Z191" i="2"/>
  <c r="U287" i="1"/>
  <c r="W461" i="1"/>
  <c r="W463" i="1" s="1"/>
  <c r="W465" i="1" s="1"/>
  <c r="E185" i="2" s="1"/>
  <c r="K185" i="2" s="1"/>
  <c r="AD191" i="2"/>
  <c r="G191" i="2"/>
  <c r="S191" i="2"/>
  <c r="H287" i="1"/>
  <c r="W191" i="2"/>
  <c r="AF191" i="2"/>
  <c r="X191" i="2"/>
  <c r="U191" i="2"/>
  <c r="I191" i="2"/>
  <c r="L191" i="2"/>
  <c r="P191" i="2"/>
  <c r="R191" i="2"/>
  <c r="Q191" i="2"/>
  <c r="N191" i="2"/>
  <c r="Y191" i="2"/>
  <c r="V191" i="2"/>
  <c r="U330" i="1"/>
  <c r="H129" i="1"/>
  <c r="H133" i="1" s="1"/>
  <c r="H144" i="1" s="1"/>
  <c r="E85" i="2" s="1"/>
  <c r="E521" i="2" s="1"/>
  <c r="AA287" i="1"/>
  <c r="E153" i="2"/>
  <c r="AA129" i="1"/>
  <c r="AA133" i="1" s="1"/>
  <c r="AA144" i="1" s="1"/>
  <c r="E115" i="2" s="1"/>
  <c r="U129" i="1"/>
  <c r="U133" i="1" s="1"/>
  <c r="U144" i="1" s="1"/>
  <c r="E106" i="2" s="1"/>
  <c r="AA106" i="2" s="1"/>
  <c r="AG305" i="2"/>
  <c r="AH305" i="2" s="1"/>
  <c r="I267" i="2"/>
  <c r="Q267" i="2"/>
  <c r="U267" i="2"/>
  <c r="T267" i="2"/>
  <c r="V267" i="2"/>
  <c r="G267" i="2"/>
  <c r="M267" i="2"/>
  <c r="AC267" i="2"/>
  <c r="F267" i="2"/>
  <c r="W267" i="2"/>
  <c r="H267" i="2"/>
  <c r="R267" i="2"/>
  <c r="Z267" i="2"/>
  <c r="AB267" i="2"/>
  <c r="P267" i="2"/>
  <c r="N267" i="2"/>
  <c r="AF267" i="2"/>
  <c r="AD267" i="2"/>
  <c r="AE267" i="2"/>
  <c r="K267" i="2"/>
  <c r="J267" i="2"/>
  <c r="O267" i="2"/>
  <c r="Y267" i="2"/>
  <c r="L267" i="2"/>
  <c r="X267" i="2"/>
  <c r="S267" i="2"/>
  <c r="AA267" i="2"/>
  <c r="AG77" i="2"/>
  <c r="AH77" i="2" s="1"/>
  <c r="AA330" i="1"/>
  <c r="E150" i="2"/>
  <c r="AF150" i="2" s="1"/>
  <c r="Y330" i="1"/>
  <c r="Y129" i="1"/>
  <c r="Y133" i="1" s="1"/>
  <c r="Y144" i="1" s="1"/>
  <c r="E112" i="2" s="1"/>
  <c r="N112" i="2" s="1"/>
  <c r="E488" i="2"/>
  <c r="E490" i="2" s="1"/>
  <c r="E131" i="2"/>
  <c r="M129" i="1"/>
  <c r="M133" i="1" s="1"/>
  <c r="M144" i="1" s="1"/>
  <c r="E93" i="2" s="1"/>
  <c r="M287" i="1"/>
  <c r="M330" i="1"/>
  <c r="AG258" i="2"/>
  <c r="AH258" i="2" s="1"/>
  <c r="AG292" i="2"/>
  <c r="AH292" i="2" s="1"/>
  <c r="T144" i="2"/>
  <c r="W144" i="2"/>
  <c r="Y144" i="2"/>
  <c r="O144" i="2"/>
  <c r="AA144" i="2"/>
  <c r="P144" i="2"/>
  <c r="F144" i="2"/>
  <c r="Z144" i="2"/>
  <c r="AC144" i="2"/>
  <c r="X144" i="2"/>
  <c r="AE144" i="2"/>
  <c r="L144" i="2"/>
  <c r="Q144" i="2"/>
  <c r="I144" i="2"/>
  <c r="H144" i="2"/>
  <c r="R144" i="2"/>
  <c r="S144" i="2"/>
  <c r="V144" i="2"/>
  <c r="J144" i="2"/>
  <c r="AD144" i="2"/>
  <c r="AF144" i="2"/>
  <c r="N144" i="2"/>
  <c r="G144" i="2"/>
  <c r="K144" i="2"/>
  <c r="U144" i="2"/>
  <c r="M144" i="2"/>
  <c r="AB144" i="2"/>
  <c r="AD254" i="2"/>
  <c r="AD255" i="2" s="1"/>
  <c r="AF254" i="2"/>
  <c r="AF255" i="2" s="1"/>
  <c r="AC254" i="2"/>
  <c r="AC255" i="2" s="1"/>
  <c r="Z254" i="2"/>
  <c r="Z255" i="2" s="1"/>
  <c r="Q254" i="2"/>
  <c r="Q255" i="2" s="1"/>
  <c r="K254" i="2"/>
  <c r="K255" i="2" s="1"/>
  <c r="AE254" i="2"/>
  <c r="AE255" i="2" s="1"/>
  <c r="T254" i="2"/>
  <c r="T255" i="2" s="1"/>
  <c r="R254" i="2"/>
  <c r="R255" i="2" s="1"/>
  <c r="H254" i="2"/>
  <c r="H255" i="2" s="1"/>
  <c r="U254" i="2"/>
  <c r="U255" i="2" s="1"/>
  <c r="P254" i="2"/>
  <c r="P255" i="2" s="1"/>
  <c r="L254" i="2"/>
  <c r="L255" i="2" s="1"/>
  <c r="F254" i="2"/>
  <c r="X254" i="2"/>
  <c r="X255" i="2" s="1"/>
  <c r="G254" i="2"/>
  <c r="G255" i="2" s="1"/>
  <c r="V254" i="2"/>
  <c r="V255" i="2" s="1"/>
  <c r="AA254" i="2"/>
  <c r="AA255" i="2" s="1"/>
  <c r="Y254" i="2"/>
  <c r="Y255" i="2" s="1"/>
  <c r="AB254" i="2"/>
  <c r="AB255" i="2" s="1"/>
  <c r="I254" i="2"/>
  <c r="I255" i="2" s="1"/>
  <c r="J254" i="2"/>
  <c r="J255" i="2" s="1"/>
  <c r="N254" i="2"/>
  <c r="N255" i="2" s="1"/>
  <c r="M254" i="2"/>
  <c r="M255" i="2" s="1"/>
  <c r="O254" i="2"/>
  <c r="O255" i="2" s="1"/>
  <c r="S254" i="2"/>
  <c r="S255" i="2" s="1"/>
  <c r="W254" i="2"/>
  <c r="W255" i="2" s="1"/>
  <c r="E255" i="2"/>
  <c r="I124" i="1"/>
  <c r="W283" i="1"/>
  <c r="W285" i="1" s="1"/>
  <c r="E261" i="2"/>
  <c r="W328" i="1"/>
  <c r="AG64" i="2"/>
  <c r="AH64" i="2" s="1"/>
  <c r="AG338" i="2"/>
  <c r="O299" i="2"/>
  <c r="K299" i="2"/>
  <c r="AE299" i="2"/>
  <c r="N299" i="2"/>
  <c r="T299" i="2"/>
  <c r="AC299" i="2"/>
  <c r="AD299" i="2"/>
  <c r="I299" i="2"/>
  <c r="G299" i="2"/>
  <c r="L299" i="2"/>
  <c r="U299" i="2"/>
  <c r="M299" i="2"/>
  <c r="H299" i="2"/>
  <c r="Q299" i="2"/>
  <c r="J299" i="2"/>
  <c r="X299" i="2"/>
  <c r="W299" i="2"/>
  <c r="AB299" i="2"/>
  <c r="R299" i="2"/>
  <c r="Z299" i="2"/>
  <c r="Y299" i="2"/>
  <c r="AA299" i="2"/>
  <c r="S299" i="2"/>
  <c r="V299" i="2"/>
  <c r="P299" i="2"/>
  <c r="F299" i="2"/>
  <c r="AF299" i="2"/>
  <c r="S129" i="1"/>
  <c r="S133" i="1" s="1"/>
  <c r="S144" i="1" s="1"/>
  <c r="E102" i="2" s="1"/>
  <c r="E103" i="2" s="1"/>
  <c r="E140" i="2"/>
  <c r="S287" i="1"/>
  <c r="S330" i="1"/>
  <c r="F591" i="2"/>
  <c r="F617" i="2"/>
  <c r="AG74" i="2"/>
  <c r="AH74" i="2" s="1"/>
  <c r="AG302" i="2"/>
  <c r="AH302" i="2" s="1"/>
  <c r="AB264" i="2"/>
  <c r="U264" i="2"/>
  <c r="AF264" i="2"/>
  <c r="X264" i="2"/>
  <c r="V264" i="2"/>
  <c r="AD264" i="2"/>
  <c r="Z264" i="2"/>
  <c r="W264" i="2"/>
  <c r="K264" i="2"/>
  <c r="AC264" i="2"/>
  <c r="N264" i="2"/>
  <c r="P264" i="2"/>
  <c r="L264" i="2"/>
  <c r="AE264" i="2"/>
  <c r="AA264" i="2"/>
  <c r="O264" i="2"/>
  <c r="G264" i="2"/>
  <c r="S264" i="2"/>
  <c r="Y264" i="2"/>
  <c r="F264" i="2"/>
  <c r="Q264" i="2"/>
  <c r="R264" i="2"/>
  <c r="T264" i="2"/>
  <c r="M264" i="2"/>
  <c r="H264" i="2"/>
  <c r="J264" i="2"/>
  <c r="I264" i="2"/>
  <c r="M203" i="15"/>
  <c r="Y101" i="2"/>
  <c r="AE101" i="2"/>
  <c r="L101" i="2"/>
  <c r="AB101" i="2"/>
  <c r="AF101" i="2"/>
  <c r="T101" i="2"/>
  <c r="X101" i="2"/>
  <c r="H101" i="2"/>
  <c r="V101" i="2"/>
  <c r="O101" i="2"/>
  <c r="AC101" i="2"/>
  <c r="P101" i="2"/>
  <c r="W101" i="2"/>
  <c r="AA101" i="2"/>
  <c r="G101" i="2"/>
  <c r="S101" i="2"/>
  <c r="U101" i="2"/>
  <c r="F101" i="2"/>
  <c r="AD101" i="2"/>
  <c r="J101" i="2"/>
  <c r="Z101" i="2"/>
  <c r="N101" i="2"/>
  <c r="M101" i="2"/>
  <c r="R101" i="2"/>
  <c r="Q101" i="2"/>
  <c r="I101" i="2"/>
  <c r="K101" i="2"/>
  <c r="Z178" i="2"/>
  <c r="AE178" i="2"/>
  <c r="AF178" i="2"/>
  <c r="V178" i="2"/>
  <c r="G178" i="2"/>
  <c r="Q178" i="2"/>
  <c r="F178" i="2"/>
  <c r="W178" i="2"/>
  <c r="W179" i="2" s="1"/>
  <c r="U178" i="2"/>
  <c r="R178" i="2"/>
  <c r="M178" i="2"/>
  <c r="Y178" i="2"/>
  <c r="N178" i="2"/>
  <c r="AC178" i="2"/>
  <c r="O178" i="2"/>
  <c r="J178" i="2"/>
  <c r="K178" i="2"/>
  <c r="AA178" i="2"/>
  <c r="AD178" i="2"/>
  <c r="X178" i="2"/>
  <c r="P178" i="2"/>
  <c r="T178" i="2"/>
  <c r="AB178" i="2"/>
  <c r="L178" i="2"/>
  <c r="S178" i="2"/>
  <c r="H178" i="2"/>
  <c r="I178" i="2"/>
  <c r="E179" i="2"/>
  <c r="F65" i="2"/>
  <c r="X71" i="2"/>
  <c r="F71" i="2"/>
  <c r="V71" i="2"/>
  <c r="AE71" i="2"/>
  <c r="G71" i="2"/>
  <c r="L71" i="2"/>
  <c r="S71" i="2"/>
  <c r="AF71" i="2"/>
  <c r="N71" i="2"/>
  <c r="U71" i="2"/>
  <c r="K71" i="2"/>
  <c r="P71" i="2"/>
  <c r="AD71" i="2"/>
  <c r="T71" i="2"/>
  <c r="AC71" i="2"/>
  <c r="W71" i="2"/>
  <c r="H71" i="2"/>
  <c r="Z71" i="2"/>
  <c r="AB71" i="2"/>
  <c r="I71" i="2"/>
  <c r="J71" i="2"/>
  <c r="O71" i="2"/>
  <c r="Y71" i="2"/>
  <c r="AA71" i="2"/>
  <c r="Q71" i="2"/>
  <c r="M71" i="2"/>
  <c r="R71" i="2"/>
  <c r="AE179" i="2" l="1"/>
  <c r="P233" i="1"/>
  <c r="P264" i="1" s="1"/>
  <c r="P275" i="1" s="1"/>
  <c r="P442" i="1"/>
  <c r="P273" i="1" s="1"/>
  <c r="AB412" i="1"/>
  <c r="AC412" i="1" s="1"/>
  <c r="P82" i="1"/>
  <c r="P98" i="1" s="1"/>
  <c r="AB235" i="1"/>
  <c r="AC235" i="1" s="1"/>
  <c r="P237" i="1"/>
  <c r="AB237" i="1" s="1"/>
  <c r="AC237" i="1" s="1"/>
  <c r="AB231" i="1"/>
  <c r="AC231" i="1" s="1"/>
  <c r="P88" i="1"/>
  <c r="P91" i="1" s="1"/>
  <c r="P99" i="1" s="1"/>
  <c r="AB75" i="1"/>
  <c r="AC75" i="1" s="1"/>
  <c r="P121" i="1"/>
  <c r="AB121" i="1" s="1"/>
  <c r="AC121" i="1" s="1"/>
  <c r="P458" i="1"/>
  <c r="AB458" i="1" s="1"/>
  <c r="AC458" i="1" s="1"/>
  <c r="P280" i="1"/>
  <c r="AB280" i="1" s="1"/>
  <c r="AC280" i="1" s="1"/>
  <c r="P279" i="1"/>
  <c r="AB279" i="1" s="1"/>
  <c r="AC279" i="1" s="1"/>
  <c r="P308" i="1"/>
  <c r="P312" i="1" s="1"/>
  <c r="E211" i="2" s="1"/>
  <c r="X211" i="2" s="1"/>
  <c r="P459" i="1"/>
  <c r="AB459" i="1" s="1"/>
  <c r="AC459" i="1" s="1"/>
  <c r="P122" i="1"/>
  <c r="AB122" i="1" s="1"/>
  <c r="AC122" i="1" s="1"/>
  <c r="P120" i="1"/>
  <c r="AB120" i="1" s="1"/>
  <c r="AC120" i="1" s="1"/>
  <c r="AB139" i="2"/>
  <c r="AD150" i="2"/>
  <c r="AG188" i="2"/>
  <c r="AH188" i="2" s="1"/>
  <c r="AH505" i="2"/>
  <c r="F465" i="2"/>
  <c r="AG465" i="2" s="1"/>
  <c r="AH465" i="2" s="1"/>
  <c r="AG464" i="2"/>
  <c r="AH464" i="2" s="1"/>
  <c r="O91" i="1"/>
  <c r="O416" i="1"/>
  <c r="AB416" i="1" s="1"/>
  <c r="AC416" i="1" s="1"/>
  <c r="O442" i="1"/>
  <c r="AB414" i="1"/>
  <c r="AC414" i="1" s="1"/>
  <c r="AB307" i="1"/>
  <c r="AC307" i="1" s="1"/>
  <c r="O312" i="1"/>
  <c r="O264" i="1"/>
  <c r="O130" i="1"/>
  <c r="O131" i="1"/>
  <c r="O142" i="1"/>
  <c r="E19" i="2"/>
  <c r="O19" i="2" s="1"/>
  <c r="O98" i="1"/>
  <c r="M466" i="2"/>
  <c r="J466" i="2"/>
  <c r="AB466" i="2"/>
  <c r="R466" i="2"/>
  <c r="P466" i="2"/>
  <c r="X466" i="2"/>
  <c r="G466" i="2"/>
  <c r="Y466" i="2"/>
  <c r="Z466" i="2"/>
  <c r="AC466" i="2"/>
  <c r="O466" i="2"/>
  <c r="W466" i="2"/>
  <c r="Q466" i="2"/>
  <c r="K466" i="2"/>
  <c r="H466" i="2"/>
  <c r="U466" i="2"/>
  <c r="V466" i="2"/>
  <c r="AA466" i="2"/>
  <c r="AF466" i="2"/>
  <c r="AE466" i="2"/>
  <c r="S466" i="2"/>
  <c r="N466" i="2"/>
  <c r="T466" i="2"/>
  <c r="I466" i="2"/>
  <c r="AD466" i="2"/>
  <c r="L466" i="2"/>
  <c r="F459" i="2"/>
  <c r="AG458" i="2"/>
  <c r="AH458" i="2" s="1"/>
  <c r="AH514" i="2"/>
  <c r="P139" i="2"/>
  <c r="X139" i="2"/>
  <c r="L139" i="2"/>
  <c r="I139" i="2"/>
  <c r="Q139" i="2"/>
  <c r="U139" i="2"/>
  <c r="H106" i="2"/>
  <c r="H179" i="2"/>
  <c r="R179" i="2"/>
  <c r="O139" i="2"/>
  <c r="AF139" i="2"/>
  <c r="H139" i="2"/>
  <c r="E141" i="2"/>
  <c r="W139" i="2"/>
  <c r="G139" i="2"/>
  <c r="AA139" i="2"/>
  <c r="M139" i="2"/>
  <c r="O179" i="2"/>
  <c r="Z139" i="2"/>
  <c r="J139" i="2"/>
  <c r="R139" i="2"/>
  <c r="N139" i="2"/>
  <c r="AE139" i="2"/>
  <c r="AD139" i="2"/>
  <c r="AH128" i="2"/>
  <c r="F139" i="2"/>
  <c r="T139" i="2"/>
  <c r="AC139" i="2"/>
  <c r="K139" i="2"/>
  <c r="Y139" i="2"/>
  <c r="V139" i="2"/>
  <c r="AF106" i="2"/>
  <c r="I179" i="2"/>
  <c r="AB179" i="2"/>
  <c r="M179" i="2"/>
  <c r="P179" i="2"/>
  <c r="AC179" i="2"/>
  <c r="G179" i="2"/>
  <c r="AG293" i="2"/>
  <c r="AH293" i="2" s="1"/>
  <c r="L185" i="2"/>
  <c r="Z179" i="2"/>
  <c r="S179" i="2"/>
  <c r="K179" i="2"/>
  <c r="N179" i="2"/>
  <c r="U179" i="2"/>
  <c r="Y179" i="2"/>
  <c r="X179" i="2"/>
  <c r="J179" i="2"/>
  <c r="V179" i="2"/>
  <c r="AD179" i="2"/>
  <c r="AF179" i="2"/>
  <c r="AE106" i="2"/>
  <c r="L179" i="2"/>
  <c r="S112" i="2"/>
  <c r="AG177" i="2"/>
  <c r="AH177" i="2" s="1"/>
  <c r="Z106" i="2"/>
  <c r="AG65" i="2"/>
  <c r="AH65" i="2" s="1"/>
  <c r="W106" i="2"/>
  <c r="T179" i="2"/>
  <c r="AA179" i="2"/>
  <c r="Q179" i="2"/>
  <c r="AB112" i="2"/>
  <c r="F106" i="2"/>
  <c r="P106" i="2"/>
  <c r="R112" i="2"/>
  <c r="AC150" i="2"/>
  <c r="U185" i="2"/>
  <c r="AG182" i="2"/>
  <c r="AH182" i="2" s="1"/>
  <c r="Z185" i="2"/>
  <c r="S185" i="2"/>
  <c r="H185" i="2"/>
  <c r="V185" i="2"/>
  <c r="AE185" i="2"/>
  <c r="M150" i="2"/>
  <c r="P150" i="2"/>
  <c r="Z150" i="2"/>
  <c r="R150" i="2"/>
  <c r="N150" i="2"/>
  <c r="O185" i="2"/>
  <c r="W185" i="2"/>
  <c r="AF185" i="2"/>
  <c r="AG191" i="2"/>
  <c r="AH191" i="2" s="1"/>
  <c r="Q185" i="2"/>
  <c r="T185" i="2"/>
  <c r="X185" i="2"/>
  <c r="AA185" i="2"/>
  <c r="J185" i="2"/>
  <c r="R185" i="2"/>
  <c r="AC185" i="2"/>
  <c r="Y185" i="2"/>
  <c r="AD185" i="2"/>
  <c r="N185" i="2"/>
  <c r="F112" i="2"/>
  <c r="V112" i="2"/>
  <c r="AB185" i="2"/>
  <c r="G185" i="2"/>
  <c r="I185" i="2"/>
  <c r="M185" i="2"/>
  <c r="P185" i="2"/>
  <c r="F185" i="2"/>
  <c r="Z112" i="2"/>
  <c r="I112" i="2"/>
  <c r="L112" i="2"/>
  <c r="O112" i="2"/>
  <c r="AF112" i="2"/>
  <c r="T112" i="2"/>
  <c r="X112" i="2"/>
  <c r="AE112" i="2"/>
  <c r="AD106" i="2"/>
  <c r="S106" i="2"/>
  <c r="G106" i="2"/>
  <c r="H150" i="2"/>
  <c r="L150" i="2"/>
  <c r="S150" i="2"/>
  <c r="AG267" i="2"/>
  <c r="AH267" i="2" s="1"/>
  <c r="I115" i="2"/>
  <c r="AA115" i="2"/>
  <c r="AC115" i="2"/>
  <c r="K115" i="2"/>
  <c r="AB115" i="2"/>
  <c r="G115" i="2"/>
  <c r="M115" i="2"/>
  <c r="Q115" i="2"/>
  <c r="T115" i="2"/>
  <c r="S115" i="2"/>
  <c r="J115" i="2"/>
  <c r="L115" i="2"/>
  <c r="O115" i="2"/>
  <c r="V115" i="2"/>
  <c r="AE115" i="2"/>
  <c r="AF115" i="2"/>
  <c r="P115" i="2"/>
  <c r="X115" i="2"/>
  <c r="F115" i="2"/>
  <c r="U115" i="2"/>
  <c r="H115" i="2"/>
  <c r="Y115" i="2"/>
  <c r="W115" i="2"/>
  <c r="Z115" i="2"/>
  <c r="AD115" i="2"/>
  <c r="R115" i="2"/>
  <c r="N115" i="2"/>
  <c r="Q106" i="2"/>
  <c r="J106" i="2"/>
  <c r="U106" i="2"/>
  <c r="AB106" i="2"/>
  <c r="K106" i="2"/>
  <c r="M106" i="2"/>
  <c r="J150" i="2"/>
  <c r="T150" i="2"/>
  <c r="G150" i="2"/>
  <c r="AA150" i="2"/>
  <c r="K150" i="2"/>
  <c r="W150" i="2"/>
  <c r="V150" i="2"/>
  <c r="I153" i="2"/>
  <c r="S153" i="2"/>
  <c r="U153" i="2"/>
  <c r="F153" i="2"/>
  <c r="L153" i="2"/>
  <c r="G153" i="2"/>
  <c r="AB153" i="2"/>
  <c r="J153" i="2"/>
  <c r="Z153" i="2"/>
  <c r="P153" i="2"/>
  <c r="M153" i="2"/>
  <c r="R153" i="2"/>
  <c r="AD153" i="2"/>
  <c r="K153" i="2"/>
  <c r="N153" i="2"/>
  <c r="Y153" i="2"/>
  <c r="T153" i="2"/>
  <c r="AC153" i="2"/>
  <c r="AF153" i="2"/>
  <c r="AE153" i="2"/>
  <c r="W153" i="2"/>
  <c r="O153" i="2"/>
  <c r="AA153" i="2"/>
  <c r="X153" i="2"/>
  <c r="V153" i="2"/>
  <c r="Q153" i="2"/>
  <c r="H153" i="2"/>
  <c r="X106" i="2"/>
  <c r="AC106" i="2"/>
  <c r="O106" i="2"/>
  <c r="R106" i="2"/>
  <c r="AB150" i="2"/>
  <c r="U150" i="2"/>
  <c r="O150" i="2"/>
  <c r="L106" i="2"/>
  <c r="T106" i="2"/>
  <c r="Y106" i="2"/>
  <c r="N106" i="2"/>
  <c r="V106" i="2"/>
  <c r="I106" i="2"/>
  <c r="I150" i="2"/>
  <c r="Q150" i="2"/>
  <c r="F150" i="2"/>
  <c r="X150" i="2"/>
  <c r="AE150" i="2"/>
  <c r="Y150" i="2"/>
  <c r="J112" i="2"/>
  <c r="H112" i="2"/>
  <c r="W112" i="2"/>
  <c r="Y112" i="2"/>
  <c r="K112" i="2"/>
  <c r="P112" i="2"/>
  <c r="U112" i="2"/>
  <c r="M112" i="2"/>
  <c r="Q112" i="2"/>
  <c r="G112" i="2"/>
  <c r="AC112" i="2"/>
  <c r="AA112" i="2"/>
  <c r="AD112" i="2"/>
  <c r="E491" i="2"/>
  <c r="AG488" i="2"/>
  <c r="AH488" i="2" s="1"/>
  <c r="M205" i="15"/>
  <c r="AG264" i="2"/>
  <c r="AH264" i="2" s="1"/>
  <c r="R102" i="2"/>
  <c r="R103" i="2" s="1"/>
  <c r="F102" i="2"/>
  <c r="F103" i="2" s="1"/>
  <c r="AA102" i="2"/>
  <c r="AA103" i="2" s="1"/>
  <c r="Q102" i="2"/>
  <c r="Q103" i="2" s="1"/>
  <c r="AE102" i="2"/>
  <c r="AE103" i="2" s="1"/>
  <c r="S102" i="2"/>
  <c r="G102" i="2"/>
  <c r="G103" i="2" s="1"/>
  <c r="AC102" i="2"/>
  <c r="AC103" i="2" s="1"/>
  <c r="H102" i="2"/>
  <c r="H103" i="2" s="1"/>
  <c r="K102" i="2"/>
  <c r="Y102" i="2"/>
  <c r="Y103" i="2" s="1"/>
  <c r="O102" i="2"/>
  <c r="O103" i="2" s="1"/>
  <c r="L102" i="2"/>
  <c r="V102" i="2"/>
  <c r="AB102" i="2"/>
  <c r="AB103" i="2" s="1"/>
  <c r="M102" i="2"/>
  <c r="M103" i="2" s="1"/>
  <c r="AF102" i="2"/>
  <c r="AF103" i="2" s="1"/>
  <c r="AD102" i="2"/>
  <c r="X102" i="2"/>
  <c r="J102" i="2"/>
  <c r="J103" i="2" s="1"/>
  <c r="N102" i="2"/>
  <c r="Z102" i="2"/>
  <c r="I102" i="2"/>
  <c r="U102" i="2"/>
  <c r="U103" i="2" s="1"/>
  <c r="T102" i="2"/>
  <c r="T103" i="2" s="1"/>
  <c r="P102" i="2"/>
  <c r="W102" i="2"/>
  <c r="W103" i="2" s="1"/>
  <c r="I126" i="1"/>
  <c r="AG101" i="2"/>
  <c r="AH101" i="2" s="1"/>
  <c r="N203" i="15"/>
  <c r="N205" i="15" s="1"/>
  <c r="R84" i="15"/>
  <c r="AH338" i="2"/>
  <c r="AG71" i="2"/>
  <c r="AH71" i="2" s="1"/>
  <c r="AG299" i="2"/>
  <c r="AH299" i="2" s="1"/>
  <c r="Z261" i="2"/>
  <c r="U261" i="2"/>
  <c r="X261" i="2"/>
  <c r="K261" i="2"/>
  <c r="AD261" i="2"/>
  <c r="AF261" i="2"/>
  <c r="P261" i="2"/>
  <c r="L261" i="2"/>
  <c r="N261" i="2"/>
  <c r="AC261" i="2"/>
  <c r="M261" i="2"/>
  <c r="S261" i="2"/>
  <c r="I261" i="2"/>
  <c r="Y261" i="2"/>
  <c r="AA261" i="2"/>
  <c r="G261" i="2"/>
  <c r="T261" i="2"/>
  <c r="R261" i="2"/>
  <c r="Q261" i="2"/>
  <c r="F261" i="2"/>
  <c r="AE261" i="2"/>
  <c r="V261" i="2"/>
  <c r="J261" i="2"/>
  <c r="H261" i="2"/>
  <c r="AB261" i="2"/>
  <c r="O261" i="2"/>
  <c r="W261" i="2"/>
  <c r="AG144" i="2"/>
  <c r="AH144" i="2" s="1"/>
  <c r="AG178" i="2"/>
  <c r="AH178" i="2" s="1"/>
  <c r="F179" i="2"/>
  <c r="I140" i="2"/>
  <c r="Z140" i="2"/>
  <c r="AA140" i="2"/>
  <c r="AD140" i="2"/>
  <c r="H140" i="2"/>
  <c r="R140" i="2"/>
  <c r="N140" i="2"/>
  <c r="V140" i="2"/>
  <c r="T140" i="2"/>
  <c r="L140" i="2"/>
  <c r="O140" i="2"/>
  <c r="K140" i="2"/>
  <c r="J140" i="2"/>
  <c r="M140" i="2"/>
  <c r="F140" i="2"/>
  <c r="G140" i="2"/>
  <c r="AC140" i="2"/>
  <c r="W140" i="2"/>
  <c r="AE140" i="2"/>
  <c r="AF140" i="2"/>
  <c r="P140" i="2"/>
  <c r="U140" i="2"/>
  <c r="S140" i="2"/>
  <c r="S141" i="2" s="1"/>
  <c r="Y140" i="2"/>
  <c r="X140" i="2"/>
  <c r="Q140" i="2"/>
  <c r="AB140" i="2"/>
  <c r="W287" i="1"/>
  <c r="W129" i="1"/>
  <c r="W133" i="1" s="1"/>
  <c r="W144" i="1" s="1"/>
  <c r="E109" i="2" s="1"/>
  <c r="W330" i="1"/>
  <c r="E147" i="2"/>
  <c r="AG254" i="2"/>
  <c r="AH254" i="2" s="1"/>
  <c r="F255" i="2"/>
  <c r="AG255" i="2" s="1"/>
  <c r="AH255" i="2" s="1"/>
  <c r="P277" i="1" l="1"/>
  <c r="P455" i="1"/>
  <c r="P456" i="1"/>
  <c r="AB233" i="1"/>
  <c r="AC233" i="1" s="1"/>
  <c r="P450" i="1"/>
  <c r="P271" i="1"/>
  <c r="P269" i="1"/>
  <c r="P448" i="1"/>
  <c r="P454" i="1"/>
  <c r="P276" i="1"/>
  <c r="P101" i="1"/>
  <c r="P104" i="1" s="1"/>
  <c r="AB82" i="1"/>
  <c r="AC82" i="1" s="1"/>
  <c r="P131" i="1"/>
  <c r="AB131" i="1" s="1"/>
  <c r="AC131" i="1" s="1"/>
  <c r="P452" i="1"/>
  <c r="P274" i="1"/>
  <c r="P130" i="1"/>
  <c r="AB130" i="1" s="1"/>
  <c r="AC130" i="1" s="1"/>
  <c r="P142" i="1"/>
  <c r="AB142" i="1" s="1"/>
  <c r="AC142" i="1" s="1"/>
  <c r="E20" i="2"/>
  <c r="K20" i="2" s="1"/>
  <c r="P449" i="1"/>
  <c r="P453" i="1"/>
  <c r="M211" i="2"/>
  <c r="P270" i="1"/>
  <c r="G211" i="2"/>
  <c r="AE211" i="2"/>
  <c r="AF211" i="2"/>
  <c r="I211" i="2"/>
  <c r="L211" i="2"/>
  <c r="P211" i="2"/>
  <c r="R211" i="2"/>
  <c r="AA211" i="2"/>
  <c r="J211" i="2"/>
  <c r="P93" i="1"/>
  <c r="O211" i="2"/>
  <c r="K211" i="2"/>
  <c r="U211" i="2"/>
  <c r="F211" i="2"/>
  <c r="N211" i="2"/>
  <c r="V211" i="2"/>
  <c r="Q211" i="2"/>
  <c r="Z211" i="2"/>
  <c r="Y211" i="2"/>
  <c r="S211" i="2"/>
  <c r="W211" i="2"/>
  <c r="T211" i="2"/>
  <c r="H211" i="2"/>
  <c r="AC211" i="2"/>
  <c r="AD211" i="2"/>
  <c r="AB211" i="2"/>
  <c r="AB308" i="1"/>
  <c r="AC308" i="1" s="1"/>
  <c r="AB88" i="1"/>
  <c r="AC88" i="1" s="1"/>
  <c r="P124" i="1"/>
  <c r="P126" i="1" s="1"/>
  <c r="P322" i="1" s="1"/>
  <c r="N35" i="15"/>
  <c r="N34" i="15"/>
  <c r="M35" i="15"/>
  <c r="M34" i="15"/>
  <c r="F466" i="2"/>
  <c r="AG466" i="2" s="1"/>
  <c r="AH466" i="2" s="1"/>
  <c r="AD19" i="2"/>
  <c r="Y19" i="2"/>
  <c r="AA19" i="2"/>
  <c r="Q19" i="2"/>
  <c r="AC19" i="2"/>
  <c r="Z19" i="2"/>
  <c r="O99" i="1"/>
  <c r="AB99" i="1" s="1"/>
  <c r="AC99" i="1" s="1"/>
  <c r="AB91" i="1"/>
  <c r="AC91" i="1" s="1"/>
  <c r="P19" i="2"/>
  <c r="I19" i="2"/>
  <c r="O455" i="1"/>
  <c r="O450" i="1"/>
  <c r="O456" i="1"/>
  <c r="O277" i="1"/>
  <c r="O276" i="1"/>
  <c r="O269" i="1"/>
  <c r="O271" i="1"/>
  <c r="O275" i="1"/>
  <c r="AB275" i="1" s="1"/>
  <c r="AC275" i="1" s="1"/>
  <c r="O448" i="1"/>
  <c r="O454" i="1"/>
  <c r="AB264" i="1"/>
  <c r="AC264" i="1" s="1"/>
  <c r="G19" i="2"/>
  <c r="N19" i="2"/>
  <c r="O273" i="1"/>
  <c r="AB273" i="1" s="1"/>
  <c r="AC273" i="1" s="1"/>
  <c r="O449" i="1"/>
  <c r="O453" i="1"/>
  <c r="O274" i="1"/>
  <c r="O452" i="1"/>
  <c r="O270" i="1"/>
  <c r="AB442" i="1"/>
  <c r="AC442" i="1" s="1"/>
  <c r="H19" i="2"/>
  <c r="K19" i="2"/>
  <c r="J19" i="2"/>
  <c r="M19" i="2"/>
  <c r="AE19" i="2"/>
  <c r="W19" i="2"/>
  <c r="R19" i="2"/>
  <c r="O93" i="1"/>
  <c r="S19" i="2"/>
  <c r="E210" i="2"/>
  <c r="F210" i="2" s="1"/>
  <c r="AB312" i="1"/>
  <c r="AC312" i="1" s="1"/>
  <c r="T19" i="2"/>
  <c r="U19" i="2"/>
  <c r="AG459" i="2"/>
  <c r="AH459" i="2" s="1"/>
  <c r="F19" i="2"/>
  <c r="X19" i="2"/>
  <c r="V19" i="2"/>
  <c r="AB98" i="1"/>
  <c r="AC98" i="1" s="1"/>
  <c r="AF19" i="2"/>
  <c r="AB19" i="2"/>
  <c r="L19" i="2"/>
  <c r="U141" i="2"/>
  <c r="G141" i="2"/>
  <c r="Q141" i="2"/>
  <c r="M141" i="2"/>
  <c r="R141" i="2"/>
  <c r="AG139" i="2"/>
  <c r="AH139" i="2" s="1"/>
  <c r="AE141" i="2"/>
  <c r="W141" i="2"/>
  <c r="F141" i="2"/>
  <c r="O141" i="2"/>
  <c r="N141" i="2"/>
  <c r="J141" i="2"/>
  <c r="H141" i="2"/>
  <c r="V141" i="2"/>
  <c r="Z141" i="2"/>
  <c r="AG179" i="2"/>
  <c r="AH179" i="2" s="1"/>
  <c r="AG185" i="2"/>
  <c r="AH185" i="2" s="1"/>
  <c r="AG150" i="2"/>
  <c r="AH150" i="2" s="1"/>
  <c r="AG106" i="2"/>
  <c r="AH106" i="2" s="1"/>
  <c r="AG112" i="2"/>
  <c r="AH112" i="2" s="1"/>
  <c r="AG153" i="2"/>
  <c r="AH153" i="2" s="1"/>
  <c r="AG115" i="2"/>
  <c r="AH115" i="2" s="1"/>
  <c r="I12" i="15"/>
  <c r="T84" i="15"/>
  <c r="K12" i="15" s="1"/>
  <c r="AD103" i="2"/>
  <c r="P141" i="2"/>
  <c r="X141" i="2"/>
  <c r="AC141" i="2"/>
  <c r="O203" i="15"/>
  <c r="AG102" i="2"/>
  <c r="AH102" i="2" s="1"/>
  <c r="AG140" i="2"/>
  <c r="AH140" i="2" s="1"/>
  <c r="P103" i="2"/>
  <c r="K103" i="2"/>
  <c r="AG261" i="2"/>
  <c r="AH261" i="2" s="1"/>
  <c r="I141" i="2"/>
  <c r="I278" i="1"/>
  <c r="I451" i="1"/>
  <c r="I314" i="1"/>
  <c r="I272" i="1"/>
  <c r="I316" i="1"/>
  <c r="I326" i="1"/>
  <c r="I281" i="1"/>
  <c r="I322" i="1"/>
  <c r="I320" i="1"/>
  <c r="I457" i="1"/>
  <c r="E48" i="2"/>
  <c r="I318" i="1"/>
  <c r="I324" i="1"/>
  <c r="AA141" i="2"/>
  <c r="L103" i="2"/>
  <c r="N103" i="2"/>
  <c r="K141" i="2"/>
  <c r="S109" i="2"/>
  <c r="N109" i="2"/>
  <c r="K109" i="2"/>
  <c r="T109" i="2"/>
  <c r="X109" i="2"/>
  <c r="L109" i="2"/>
  <c r="AF109" i="2"/>
  <c r="AD109" i="2"/>
  <c r="AE109" i="2"/>
  <c r="R109" i="2"/>
  <c r="AB109" i="2"/>
  <c r="O109" i="2"/>
  <c r="I109" i="2"/>
  <c r="M109" i="2"/>
  <c r="H109" i="2"/>
  <c r="AA109" i="2"/>
  <c r="U109" i="2"/>
  <c r="P109" i="2"/>
  <c r="AC109" i="2"/>
  <c r="J109" i="2"/>
  <c r="Y109" i="2"/>
  <c r="F109" i="2"/>
  <c r="G109" i="2"/>
  <c r="Z109" i="2"/>
  <c r="V109" i="2"/>
  <c r="W109" i="2"/>
  <c r="Q109" i="2"/>
  <c r="AB147" i="2"/>
  <c r="K147" i="2"/>
  <c r="U147" i="2"/>
  <c r="X147" i="2"/>
  <c r="I147" i="2"/>
  <c r="AD147" i="2"/>
  <c r="F147" i="2"/>
  <c r="N147" i="2"/>
  <c r="AF147" i="2"/>
  <c r="AC147" i="2"/>
  <c r="L147" i="2"/>
  <c r="AE147" i="2"/>
  <c r="J147" i="2"/>
  <c r="Q147" i="2"/>
  <c r="G147" i="2"/>
  <c r="W147" i="2"/>
  <c r="O147" i="2"/>
  <c r="AA147" i="2"/>
  <c r="Y147" i="2"/>
  <c r="T147" i="2"/>
  <c r="M147" i="2"/>
  <c r="V147" i="2"/>
  <c r="Z147" i="2"/>
  <c r="S147" i="2"/>
  <c r="R147" i="2"/>
  <c r="H147" i="2"/>
  <c r="P147" i="2"/>
  <c r="AD141" i="2"/>
  <c r="S103" i="2"/>
  <c r="T141" i="2"/>
  <c r="Z103" i="2"/>
  <c r="AB141" i="2"/>
  <c r="L141" i="2"/>
  <c r="V103" i="2"/>
  <c r="Y141" i="2"/>
  <c r="AF141" i="2"/>
  <c r="X103" i="2"/>
  <c r="I103" i="2"/>
  <c r="AB276" i="1" l="1"/>
  <c r="AC276" i="1" s="1"/>
  <c r="AB455" i="1"/>
  <c r="AC455" i="1" s="1"/>
  <c r="AB277" i="1"/>
  <c r="AC277" i="1" s="1"/>
  <c r="AB454" i="1"/>
  <c r="AC454" i="1" s="1"/>
  <c r="AB450" i="1"/>
  <c r="AC450" i="1" s="1"/>
  <c r="AB456" i="1"/>
  <c r="AC456" i="1" s="1"/>
  <c r="AB274" i="1"/>
  <c r="AC274" i="1" s="1"/>
  <c r="AE20" i="2"/>
  <c r="AE21" i="2" s="1"/>
  <c r="AB271" i="1"/>
  <c r="AC271" i="1" s="1"/>
  <c r="AB452" i="1"/>
  <c r="AC452" i="1" s="1"/>
  <c r="K21" i="2"/>
  <c r="AF20" i="2"/>
  <c r="AF21" i="2" s="1"/>
  <c r="H20" i="2"/>
  <c r="H21" i="2" s="1"/>
  <c r="M20" i="2"/>
  <c r="M21" i="2" s="1"/>
  <c r="J20" i="2"/>
  <c r="J21" i="2" s="1"/>
  <c r="Y20" i="2"/>
  <c r="Y21" i="2" s="1"/>
  <c r="S20" i="2"/>
  <c r="S21" i="2" s="1"/>
  <c r="AB270" i="1"/>
  <c r="AC270" i="1" s="1"/>
  <c r="AA20" i="2"/>
  <c r="AA21" i="2" s="1"/>
  <c r="W20" i="2"/>
  <c r="W21" i="2" s="1"/>
  <c r="AC20" i="2"/>
  <c r="AC21" i="2" s="1"/>
  <c r="X20" i="2"/>
  <c r="X21" i="2" s="1"/>
  <c r="R20" i="2"/>
  <c r="R21" i="2" s="1"/>
  <c r="P20" i="2"/>
  <c r="P21" i="2" s="1"/>
  <c r="E21" i="2"/>
  <c r="E40" i="2" s="1"/>
  <c r="G20" i="2"/>
  <c r="G21" i="2" s="1"/>
  <c r="T20" i="2"/>
  <c r="T21" i="2" s="1"/>
  <c r="L20" i="2"/>
  <c r="L21" i="2" s="1"/>
  <c r="I20" i="2"/>
  <c r="I21" i="2" s="1"/>
  <c r="AB20" i="2"/>
  <c r="AB21" i="2" s="1"/>
  <c r="V20" i="2"/>
  <c r="V21" i="2" s="1"/>
  <c r="O20" i="2"/>
  <c r="O21" i="2" s="1"/>
  <c r="Q20" i="2"/>
  <c r="Q21" i="2" s="1"/>
  <c r="N20" i="2"/>
  <c r="N21" i="2" s="1"/>
  <c r="U20" i="2"/>
  <c r="U21" i="2" s="1"/>
  <c r="F20" i="2"/>
  <c r="F21" i="2" s="1"/>
  <c r="AD20" i="2"/>
  <c r="AD21" i="2" s="1"/>
  <c r="Z20" i="2"/>
  <c r="Z21" i="2" s="1"/>
  <c r="AB449" i="1"/>
  <c r="AC449" i="1" s="1"/>
  <c r="AB453" i="1"/>
  <c r="AC453" i="1" s="1"/>
  <c r="P326" i="1"/>
  <c r="P281" i="1"/>
  <c r="AG211" i="2"/>
  <c r="AH211" i="2" s="1"/>
  <c r="AB93" i="1"/>
  <c r="AC93" i="1" s="1"/>
  <c r="P324" i="1"/>
  <c r="P451" i="1"/>
  <c r="P320" i="1"/>
  <c r="P314" i="1"/>
  <c r="E249" i="2" s="1"/>
  <c r="H249" i="2" s="1"/>
  <c r="P278" i="1"/>
  <c r="P457" i="1"/>
  <c r="P318" i="1"/>
  <c r="P272" i="1"/>
  <c r="E59" i="2"/>
  <c r="K59" i="2" s="1"/>
  <c r="P316" i="1"/>
  <c r="E287" i="2" s="1"/>
  <c r="S287" i="2" s="1"/>
  <c r="O101" i="1"/>
  <c r="AB101" i="1" s="1"/>
  <c r="AC101" i="1" s="1"/>
  <c r="AB448" i="1"/>
  <c r="AC448" i="1" s="1"/>
  <c r="F212" i="2"/>
  <c r="AA210" i="2"/>
  <c r="AA212" i="2" s="1"/>
  <c r="E212" i="2"/>
  <c r="E231" i="2" s="1"/>
  <c r="E320" i="2" s="1"/>
  <c r="K210" i="2"/>
  <c r="K212" i="2" s="1"/>
  <c r="U210" i="2"/>
  <c r="U212" i="2" s="1"/>
  <c r="T210" i="2"/>
  <c r="T212" i="2" s="1"/>
  <c r="S210" i="2"/>
  <c r="S212" i="2" s="1"/>
  <c r="Y210" i="2"/>
  <c r="Y212" i="2" s="1"/>
  <c r="AD210" i="2"/>
  <c r="AD212" i="2" s="1"/>
  <c r="AC210" i="2"/>
  <c r="AC212" i="2" s="1"/>
  <c r="O210" i="2"/>
  <c r="O212" i="2" s="1"/>
  <c r="V210" i="2"/>
  <c r="V212" i="2" s="1"/>
  <c r="X210" i="2"/>
  <c r="X212" i="2" s="1"/>
  <c r="H210" i="2"/>
  <c r="H212" i="2" s="1"/>
  <c r="L210" i="2"/>
  <c r="L212" i="2" s="1"/>
  <c r="AB210" i="2"/>
  <c r="AB212" i="2" s="1"/>
  <c r="AF210" i="2"/>
  <c r="AF212" i="2" s="1"/>
  <c r="I210" i="2"/>
  <c r="I212" i="2" s="1"/>
  <c r="P210" i="2"/>
  <c r="P212" i="2" s="1"/>
  <c r="N210" i="2"/>
  <c r="N212" i="2" s="1"/>
  <c r="J210" i="2"/>
  <c r="J212" i="2" s="1"/>
  <c r="Z210" i="2"/>
  <c r="Z212" i="2" s="1"/>
  <c r="Q210" i="2"/>
  <c r="Q212" i="2" s="1"/>
  <c r="R210" i="2"/>
  <c r="R212" i="2" s="1"/>
  <c r="W210" i="2"/>
  <c r="W212" i="2" s="1"/>
  <c r="AE210" i="2"/>
  <c r="AE212" i="2" s="1"/>
  <c r="M210" i="2"/>
  <c r="M212" i="2" s="1"/>
  <c r="G210" i="2"/>
  <c r="G212" i="2" s="1"/>
  <c r="AG19" i="2"/>
  <c r="AH19" i="2" s="1"/>
  <c r="AB269" i="1"/>
  <c r="AC269" i="1" s="1"/>
  <c r="AG103" i="2"/>
  <c r="AH103" i="2" s="1"/>
  <c r="AG141" i="2"/>
  <c r="AH141" i="2" s="1"/>
  <c r="E49" i="2"/>
  <c r="E238" i="2"/>
  <c r="I328" i="1"/>
  <c r="AG147" i="2"/>
  <c r="AH147" i="2" s="1"/>
  <c r="AG109" i="2"/>
  <c r="AH109" i="2" s="1"/>
  <c r="E276" i="2"/>
  <c r="P203" i="15"/>
  <c r="O205" i="15"/>
  <c r="J432" i="2"/>
  <c r="AG432" i="2" s="1"/>
  <c r="K25" i="15"/>
  <c r="E432" i="2" s="1"/>
  <c r="I461" i="1"/>
  <c r="I283" i="1"/>
  <c r="J434" i="2"/>
  <c r="J487" i="2" s="1"/>
  <c r="I25" i="15"/>
  <c r="E434" i="2" s="1"/>
  <c r="P461" i="1" l="1"/>
  <c r="P463" i="1" s="1"/>
  <c r="P465" i="1" s="1"/>
  <c r="E173" i="2" s="1"/>
  <c r="H173" i="2" s="1"/>
  <c r="E440" i="2"/>
  <c r="AG20" i="2"/>
  <c r="AH20" i="2" s="1"/>
  <c r="AF287" i="2"/>
  <c r="O249" i="2"/>
  <c r="X249" i="2"/>
  <c r="Q287" i="2"/>
  <c r="N287" i="2"/>
  <c r="F287" i="2"/>
  <c r="X287" i="2"/>
  <c r="G287" i="2"/>
  <c r="J287" i="2"/>
  <c r="Q249" i="2"/>
  <c r="U249" i="2"/>
  <c r="AD249" i="2"/>
  <c r="AE59" i="2"/>
  <c r="V249" i="2"/>
  <c r="F249" i="2"/>
  <c r="M249" i="2"/>
  <c r="AE287" i="2"/>
  <c r="L287" i="2"/>
  <c r="J249" i="2"/>
  <c r="P249" i="2"/>
  <c r="H287" i="2"/>
  <c r="P287" i="2"/>
  <c r="W287" i="2"/>
  <c r="AB249" i="2"/>
  <c r="W249" i="2"/>
  <c r="G249" i="2"/>
  <c r="I249" i="2"/>
  <c r="L59" i="2"/>
  <c r="Z59" i="2"/>
  <c r="W59" i="2"/>
  <c r="AC59" i="2"/>
  <c r="V59" i="2"/>
  <c r="P283" i="1"/>
  <c r="P285" i="1" s="1"/>
  <c r="P129" i="1" s="1"/>
  <c r="P133" i="1" s="1"/>
  <c r="P144" i="1" s="1"/>
  <c r="E97" i="2" s="1"/>
  <c r="O97" i="2" s="1"/>
  <c r="O525" i="2" s="1"/>
  <c r="AF249" i="2"/>
  <c r="AC249" i="2"/>
  <c r="Y249" i="2"/>
  <c r="S249" i="2"/>
  <c r="K249" i="2"/>
  <c r="Z249" i="2"/>
  <c r="R249" i="2"/>
  <c r="P328" i="1"/>
  <c r="R287" i="2"/>
  <c r="K287" i="2"/>
  <c r="U287" i="2"/>
  <c r="AA287" i="2"/>
  <c r="AB287" i="2"/>
  <c r="Z287" i="2"/>
  <c r="T249" i="2"/>
  <c r="AA249" i="2"/>
  <c r="L249" i="2"/>
  <c r="N249" i="2"/>
  <c r="AE249" i="2"/>
  <c r="V287" i="2"/>
  <c r="AC287" i="2"/>
  <c r="I287" i="2"/>
  <c r="M287" i="2"/>
  <c r="T287" i="2"/>
  <c r="Y287" i="2"/>
  <c r="AD287" i="2"/>
  <c r="O287" i="2"/>
  <c r="J59" i="2"/>
  <c r="T59" i="2"/>
  <c r="G59" i="2"/>
  <c r="F59" i="2"/>
  <c r="X59" i="2"/>
  <c r="AD59" i="2"/>
  <c r="N59" i="2"/>
  <c r="I59" i="2"/>
  <c r="AF59" i="2"/>
  <c r="AA59" i="2"/>
  <c r="M59" i="2"/>
  <c r="R59" i="2"/>
  <c r="Q59" i="2"/>
  <c r="H59" i="2"/>
  <c r="Y59" i="2"/>
  <c r="O59" i="2"/>
  <c r="AB59" i="2"/>
  <c r="S59" i="2"/>
  <c r="P59" i="2"/>
  <c r="U59" i="2"/>
  <c r="N173" i="2"/>
  <c r="Z173" i="2"/>
  <c r="M173" i="2"/>
  <c r="AG21" i="2"/>
  <c r="AH21" i="2" s="1"/>
  <c r="O104" i="1"/>
  <c r="AB104" i="1" s="1"/>
  <c r="AC104" i="1" s="1"/>
  <c r="AG210" i="2"/>
  <c r="AH210" i="2" s="1"/>
  <c r="AG212" i="2"/>
  <c r="AH212" i="2" s="1"/>
  <c r="G359" i="2"/>
  <c r="K359" i="2"/>
  <c r="J359" i="2"/>
  <c r="H359" i="2"/>
  <c r="F359" i="2"/>
  <c r="I359" i="2"/>
  <c r="M359" i="2"/>
  <c r="L359" i="2"/>
  <c r="AH432" i="2"/>
  <c r="J440" i="2"/>
  <c r="AG487" i="2"/>
  <c r="AG434" i="2"/>
  <c r="AH434" i="2" s="1"/>
  <c r="I285" i="1"/>
  <c r="E277" i="2"/>
  <c r="I463" i="1"/>
  <c r="AD404" i="2"/>
  <c r="U404" i="2"/>
  <c r="P404" i="2"/>
  <c r="V404" i="2"/>
  <c r="AC404" i="2"/>
  <c r="H404" i="2"/>
  <c r="T404" i="2"/>
  <c r="X404" i="2"/>
  <c r="J404" i="2"/>
  <c r="I404" i="2"/>
  <c r="L404" i="2"/>
  <c r="G404" i="2"/>
  <c r="Q404" i="2"/>
  <c r="M404" i="2"/>
  <c r="Y404" i="2"/>
  <c r="F404" i="2"/>
  <c r="K404" i="2"/>
  <c r="W404" i="2"/>
  <c r="AE404" i="2"/>
  <c r="R404" i="2"/>
  <c r="AB404" i="2"/>
  <c r="Z404" i="2"/>
  <c r="N404" i="2"/>
  <c r="AA404" i="2"/>
  <c r="AF404" i="2"/>
  <c r="O404" i="2"/>
  <c r="S404" i="2"/>
  <c r="E239" i="2"/>
  <c r="AB359" i="2" l="1"/>
  <c r="W359" i="2"/>
  <c r="Q359" i="2"/>
  <c r="R359" i="2"/>
  <c r="T359" i="2"/>
  <c r="V359" i="2"/>
  <c r="AD359" i="2"/>
  <c r="Y359" i="2"/>
  <c r="N359" i="2"/>
  <c r="U359" i="2"/>
  <c r="AA359" i="2"/>
  <c r="X359" i="2"/>
  <c r="AE359" i="2"/>
  <c r="AC359" i="2"/>
  <c r="Z359" i="2"/>
  <c r="S359" i="2"/>
  <c r="AF359" i="2"/>
  <c r="O359" i="2"/>
  <c r="P359" i="2"/>
  <c r="AE173" i="2"/>
  <c r="G173" i="2"/>
  <c r="U173" i="2"/>
  <c r="P173" i="2"/>
  <c r="AC173" i="2"/>
  <c r="L173" i="2"/>
  <c r="K173" i="2"/>
  <c r="AB173" i="2"/>
  <c r="V173" i="2"/>
  <c r="S173" i="2"/>
  <c r="J173" i="2"/>
  <c r="F173" i="2"/>
  <c r="T173" i="2"/>
  <c r="AF173" i="2"/>
  <c r="AA173" i="2"/>
  <c r="Y173" i="2"/>
  <c r="O173" i="2"/>
  <c r="I173" i="2"/>
  <c r="X173" i="2"/>
  <c r="R173" i="2"/>
  <c r="Q173" i="2"/>
  <c r="W173" i="2"/>
  <c r="AD173" i="2"/>
  <c r="P330" i="1"/>
  <c r="F97" i="2"/>
  <c r="F525" i="2" s="1"/>
  <c r="E447" i="2"/>
  <c r="U443" i="2"/>
  <c r="U444" i="2" s="1"/>
  <c r="L443" i="2"/>
  <c r="L444" i="2" s="1"/>
  <c r="T443" i="2"/>
  <c r="T444" i="2" s="1"/>
  <c r="AD443" i="2"/>
  <c r="G443" i="2"/>
  <c r="G444" i="2" s="1"/>
  <c r="AF443" i="2"/>
  <c r="AE443" i="2"/>
  <c r="AC443" i="2"/>
  <c r="Z443" i="2"/>
  <c r="V443" i="2"/>
  <c r="AB443" i="2"/>
  <c r="Y443" i="2"/>
  <c r="X443" i="2"/>
  <c r="P443" i="2"/>
  <c r="P444" i="2" s="1"/>
  <c r="N443" i="2"/>
  <c r="N444" i="2" s="1"/>
  <c r="M443" i="2"/>
  <c r="M444" i="2" s="1"/>
  <c r="W443" i="2"/>
  <c r="S443" i="2"/>
  <c r="S444" i="2" s="1"/>
  <c r="R443" i="2"/>
  <c r="R444" i="2" s="1"/>
  <c r="AA443" i="2"/>
  <c r="Q443" i="2"/>
  <c r="Q444" i="2" s="1"/>
  <c r="O443" i="2"/>
  <c r="O444" i="2" s="1"/>
  <c r="K443" i="2"/>
  <c r="K444" i="2" s="1"/>
  <c r="I443" i="2"/>
  <c r="I444" i="2" s="1"/>
  <c r="F443" i="2"/>
  <c r="F444" i="2" s="1"/>
  <c r="H443" i="2"/>
  <c r="H444" i="2" s="1"/>
  <c r="H97" i="2"/>
  <c r="H525" i="2" s="1"/>
  <c r="H554" i="2" s="1"/>
  <c r="G97" i="2"/>
  <c r="G525" i="2" s="1"/>
  <c r="G554" i="2" s="1"/>
  <c r="L97" i="2"/>
  <c r="L525" i="2" s="1"/>
  <c r="R97" i="2"/>
  <c r="R525" i="2" s="1"/>
  <c r="R554" i="2" s="1"/>
  <c r="V97" i="2"/>
  <c r="V525" i="2" s="1"/>
  <c r="V628" i="2" s="1"/>
  <c r="V629" i="2" s="1"/>
  <c r="AC97" i="2"/>
  <c r="AC525" i="2" s="1"/>
  <c r="AC628" i="2" s="1"/>
  <c r="AC629" i="2" s="1"/>
  <c r="Q97" i="2"/>
  <c r="Q525" i="2" s="1"/>
  <c r="Q554" i="2" s="1"/>
  <c r="AA97" i="2"/>
  <c r="AA525" i="2" s="1"/>
  <c r="AA628" i="2" s="1"/>
  <c r="AA629" i="2" s="1"/>
  <c r="P287" i="1"/>
  <c r="AG249" i="2"/>
  <c r="AH249" i="2" s="1"/>
  <c r="T97" i="2"/>
  <c r="T525" i="2" s="1"/>
  <c r="T554" i="2" s="1"/>
  <c r="AD97" i="2"/>
  <c r="AD525" i="2" s="1"/>
  <c r="AD628" i="2" s="1"/>
  <c r="AD629" i="2" s="1"/>
  <c r="X97" i="2"/>
  <c r="X525" i="2" s="1"/>
  <c r="X628" i="2" s="1"/>
  <c r="X629" i="2" s="1"/>
  <c r="M97" i="2"/>
  <c r="M525" i="2" s="1"/>
  <c r="J97" i="2"/>
  <c r="J525" i="2" s="1"/>
  <c r="J554" i="2" s="1"/>
  <c r="U97" i="2"/>
  <c r="U525" i="2" s="1"/>
  <c r="U628" i="2" s="1"/>
  <c r="U629" i="2" s="1"/>
  <c r="P97" i="2"/>
  <c r="P525" i="2" s="1"/>
  <c r="P554" i="2" s="1"/>
  <c r="Z97" i="2"/>
  <c r="Z525" i="2" s="1"/>
  <c r="Z554" i="2" s="1"/>
  <c r="AE97" i="2"/>
  <c r="S97" i="2"/>
  <c r="S525" i="2" s="1"/>
  <c r="S554" i="2" s="1"/>
  <c r="N97" i="2"/>
  <c r="N525" i="2" s="1"/>
  <c r="N554" i="2" s="1"/>
  <c r="K97" i="2"/>
  <c r="K525" i="2" s="1"/>
  <c r="E135" i="2"/>
  <c r="N135" i="2" s="1"/>
  <c r="N507" i="2" s="1"/>
  <c r="E525" i="2"/>
  <c r="AB97" i="2"/>
  <c r="AB525" i="2" s="1"/>
  <c r="AB628" i="2" s="1"/>
  <c r="AB629" i="2" s="1"/>
  <c r="I97" i="2"/>
  <c r="I525" i="2" s="1"/>
  <c r="I554" i="2" s="1"/>
  <c r="W97" i="2"/>
  <c r="W525" i="2" s="1"/>
  <c r="W554" i="2" s="1"/>
  <c r="Y97" i="2"/>
  <c r="Y525" i="2" s="1"/>
  <c r="Y554" i="2" s="1"/>
  <c r="AF97" i="2"/>
  <c r="AF525" i="2" s="1"/>
  <c r="AF628" i="2" s="1"/>
  <c r="AF629" i="2" s="1"/>
  <c r="AG287" i="2"/>
  <c r="AH287" i="2" s="1"/>
  <c r="AG59" i="2"/>
  <c r="AH59" i="2" s="1"/>
  <c r="O124" i="1"/>
  <c r="O126" i="1" s="1"/>
  <c r="AG404" i="2"/>
  <c r="AH404" i="2" s="1"/>
  <c r="AE490" i="2"/>
  <c r="AE491" i="2" s="1"/>
  <c r="AE492" i="2" s="1"/>
  <c r="M490" i="2"/>
  <c r="M491" i="2" s="1"/>
  <c r="M492" i="2" s="1"/>
  <c r="O490" i="2"/>
  <c r="O491" i="2" s="1"/>
  <c r="O492" i="2" s="1"/>
  <c r="Z490" i="2"/>
  <c r="Z491" i="2" s="1"/>
  <c r="Z492" i="2" s="1"/>
  <c r="AD490" i="2"/>
  <c r="AD491" i="2" s="1"/>
  <c r="AD492" i="2" s="1"/>
  <c r="V490" i="2"/>
  <c r="V491" i="2" s="1"/>
  <c r="V492" i="2" s="1"/>
  <c r="P490" i="2"/>
  <c r="P491" i="2" s="1"/>
  <c r="P492" i="2" s="1"/>
  <c r="W490" i="2"/>
  <c r="W491" i="2" s="1"/>
  <c r="W492" i="2" s="1"/>
  <c r="AC490" i="2"/>
  <c r="AC491" i="2" s="1"/>
  <c r="AC492" i="2" s="1"/>
  <c r="L490" i="2"/>
  <c r="L491" i="2" s="1"/>
  <c r="L492" i="2" s="1"/>
  <c r="N490" i="2"/>
  <c r="N491" i="2" s="1"/>
  <c r="N492" i="2" s="1"/>
  <c r="R490" i="2"/>
  <c r="R491" i="2" s="1"/>
  <c r="R492" i="2" s="1"/>
  <c r="Q490" i="2"/>
  <c r="Q491" i="2" s="1"/>
  <c r="Q492" i="2" s="1"/>
  <c r="T490" i="2"/>
  <c r="T491" i="2" s="1"/>
  <c r="T492" i="2" s="1"/>
  <c r="AF490" i="2"/>
  <c r="AF491" i="2" s="1"/>
  <c r="AF492" i="2" s="1"/>
  <c r="AB490" i="2"/>
  <c r="AB491" i="2" s="1"/>
  <c r="AB492" i="2" s="1"/>
  <c r="K490" i="2"/>
  <c r="K491" i="2" s="1"/>
  <c r="K492" i="2" s="1"/>
  <c r="J490" i="2"/>
  <c r="J491" i="2" s="1"/>
  <c r="J492" i="2" s="1"/>
  <c r="F490" i="2"/>
  <c r="H490" i="2"/>
  <c r="H491" i="2" s="1"/>
  <c r="H492" i="2" s="1"/>
  <c r="Y490" i="2"/>
  <c r="Y491" i="2" s="1"/>
  <c r="Y492" i="2" s="1"/>
  <c r="AH487" i="2"/>
  <c r="U490" i="2"/>
  <c r="U491" i="2" s="1"/>
  <c r="U492" i="2" s="1"/>
  <c r="AA490" i="2"/>
  <c r="AA491" i="2" s="1"/>
  <c r="AA492" i="2" s="1"/>
  <c r="S490" i="2"/>
  <c r="S491" i="2" s="1"/>
  <c r="S492" i="2" s="1"/>
  <c r="X490" i="2"/>
  <c r="X491" i="2" s="1"/>
  <c r="X492" i="2" s="1"/>
  <c r="I490" i="2"/>
  <c r="I491" i="2" s="1"/>
  <c r="I492" i="2" s="1"/>
  <c r="G490" i="2"/>
  <c r="G491" i="2" s="1"/>
  <c r="G492" i="2" s="1"/>
  <c r="I465" i="1"/>
  <c r="I330" i="1"/>
  <c r="I129" i="1"/>
  <c r="E124" i="2"/>
  <c r="I287" i="1"/>
  <c r="J443" i="2"/>
  <c r="J447" i="2"/>
  <c r="AG440" i="2"/>
  <c r="AH440" i="2" s="1"/>
  <c r="AG359" i="2" l="1"/>
  <c r="AH359" i="2" s="1"/>
  <c r="AG173" i="2"/>
  <c r="AH173" i="2" s="1"/>
  <c r="AE135" i="2"/>
  <c r="V554" i="2"/>
  <c r="AF135" i="2"/>
  <c r="AF507" i="2" s="1"/>
  <c r="E468" i="2"/>
  <c r="V450" i="2"/>
  <c r="AF450" i="2"/>
  <c r="Y450" i="2"/>
  <c r="P450" i="2"/>
  <c r="P451" i="2" s="1"/>
  <c r="Q450" i="2"/>
  <c r="Q451" i="2" s="1"/>
  <c r="Z450" i="2"/>
  <c r="AD450" i="2"/>
  <c r="L450" i="2"/>
  <c r="L451" i="2" s="1"/>
  <c r="AC450" i="2"/>
  <c r="R450" i="2"/>
  <c r="R451" i="2" s="1"/>
  <c r="M450" i="2"/>
  <c r="M451" i="2" s="1"/>
  <c r="O450" i="2"/>
  <c r="O451" i="2" s="1"/>
  <c r="G450" i="2"/>
  <c r="G451" i="2" s="1"/>
  <c r="U450" i="2"/>
  <c r="U451" i="2" s="1"/>
  <c r="S450" i="2"/>
  <c r="S451" i="2" s="1"/>
  <c r="W450" i="2"/>
  <c r="T450" i="2"/>
  <c r="T451" i="2" s="1"/>
  <c r="N450" i="2"/>
  <c r="N451" i="2" s="1"/>
  <c r="AA450" i="2"/>
  <c r="X450" i="2"/>
  <c r="AB450" i="2"/>
  <c r="AE450" i="2"/>
  <c r="K450" i="2"/>
  <c r="K451" i="2" s="1"/>
  <c r="F450" i="2"/>
  <c r="F451" i="2" s="1"/>
  <c r="I450" i="2"/>
  <c r="I451" i="2" s="1"/>
  <c r="H450" i="2"/>
  <c r="H451" i="2" s="1"/>
  <c r="J135" i="2"/>
  <c r="J507" i="2" s="1"/>
  <c r="X554" i="2"/>
  <c r="AA554" i="2"/>
  <c r="Y628" i="2"/>
  <c r="Y629" i="2" s="1"/>
  <c r="U554" i="2"/>
  <c r="AC554" i="2"/>
  <c r="Z628" i="2"/>
  <c r="Z629" i="2" s="1"/>
  <c r="W628" i="2"/>
  <c r="W629" i="2" s="1"/>
  <c r="Z135" i="2"/>
  <c r="Z507" i="2" s="1"/>
  <c r="Z545" i="2" s="1"/>
  <c r="AB135" i="2"/>
  <c r="AB507" i="2" s="1"/>
  <c r="AB545" i="2" s="1"/>
  <c r="T628" i="2"/>
  <c r="T629" i="2" s="1"/>
  <c r="H135" i="2"/>
  <c r="H507" i="2" s="1"/>
  <c r="S135" i="2"/>
  <c r="S507" i="2" s="1"/>
  <c r="AD554" i="2"/>
  <c r="K135" i="2"/>
  <c r="K507" i="2" s="1"/>
  <c r="F135" i="2"/>
  <c r="F507" i="2" s="1"/>
  <c r="X135" i="2"/>
  <c r="X507" i="2" s="1"/>
  <c r="X545" i="2" s="1"/>
  <c r="I135" i="2"/>
  <c r="I507" i="2" s="1"/>
  <c r="AC135" i="2"/>
  <c r="AC507" i="2" s="1"/>
  <c r="AC545" i="2" s="1"/>
  <c r="AD135" i="2"/>
  <c r="AD507" i="2" s="1"/>
  <c r="AD545" i="2" s="1"/>
  <c r="AB554" i="2"/>
  <c r="L135" i="2"/>
  <c r="L507" i="2" s="1"/>
  <c r="G135" i="2"/>
  <c r="G507" i="2" s="1"/>
  <c r="W135" i="2"/>
  <c r="W507" i="2" s="1"/>
  <c r="W545" i="2" s="1"/>
  <c r="E507" i="2"/>
  <c r="P135" i="2"/>
  <c r="P507" i="2" s="1"/>
  <c r="V135" i="2"/>
  <c r="V507" i="2" s="1"/>
  <c r="V545" i="2" s="1"/>
  <c r="Q135" i="2"/>
  <c r="Q507" i="2" s="1"/>
  <c r="AG97" i="2"/>
  <c r="AH97" i="2" s="1"/>
  <c r="T135" i="2"/>
  <c r="T507" i="2" s="1"/>
  <c r="T545" i="2" s="1"/>
  <c r="M135" i="2"/>
  <c r="M507" i="2" s="1"/>
  <c r="R135" i="2"/>
  <c r="R507" i="2" s="1"/>
  <c r="U135" i="2"/>
  <c r="U507" i="2" s="1"/>
  <c r="U545" i="2" s="1"/>
  <c r="O135" i="2"/>
  <c r="O507" i="2" s="1"/>
  <c r="Y135" i="2"/>
  <c r="Y507" i="2" s="1"/>
  <c r="Y545" i="2" s="1"/>
  <c r="AA135" i="2"/>
  <c r="AA507" i="2" s="1"/>
  <c r="AA545" i="2" s="1"/>
  <c r="AB124" i="1"/>
  <c r="AC124" i="1" s="1"/>
  <c r="O272" i="1"/>
  <c r="O324" i="1"/>
  <c r="AB324" i="1" s="1"/>
  <c r="AC324" i="1" s="1"/>
  <c r="O322" i="1"/>
  <c r="AB322" i="1" s="1"/>
  <c r="AC322" i="1" s="1"/>
  <c r="O451" i="1"/>
  <c r="O326" i="1"/>
  <c r="AB326" i="1" s="1"/>
  <c r="AC326" i="1" s="1"/>
  <c r="O320" i="1"/>
  <c r="AB320" i="1" s="1"/>
  <c r="AC320" i="1" s="1"/>
  <c r="O316" i="1"/>
  <c r="O281" i="1"/>
  <c r="AB281" i="1" s="1"/>
  <c r="AC281" i="1" s="1"/>
  <c r="O457" i="1"/>
  <c r="AB457" i="1" s="1"/>
  <c r="AC457" i="1" s="1"/>
  <c r="E58" i="2"/>
  <c r="O318" i="1"/>
  <c r="AB318" i="1" s="1"/>
  <c r="AC318" i="1" s="1"/>
  <c r="O278" i="1"/>
  <c r="AB278" i="1" s="1"/>
  <c r="AC278" i="1" s="1"/>
  <c r="O314" i="1"/>
  <c r="AB126" i="1"/>
  <c r="AC126" i="1" s="1"/>
  <c r="F554" i="2"/>
  <c r="AG525" i="2"/>
  <c r="AH525" i="2" s="1"/>
  <c r="S85" i="2"/>
  <c r="S8" i="2"/>
  <c r="S275" i="2"/>
  <c r="S161" i="2"/>
  <c r="S47" i="2"/>
  <c r="S123" i="2"/>
  <c r="S237" i="2"/>
  <c r="S199" i="2"/>
  <c r="Y123" i="2"/>
  <c r="Y8" i="2"/>
  <c r="Y275" i="2"/>
  <c r="Y237" i="2"/>
  <c r="Y85" i="2"/>
  <c r="Y47" i="2"/>
  <c r="Y161" i="2"/>
  <c r="Y199" i="2"/>
  <c r="K199" i="2"/>
  <c r="K237" i="2"/>
  <c r="K123" i="2"/>
  <c r="K47" i="2"/>
  <c r="K275" i="2"/>
  <c r="K85" i="2"/>
  <c r="K8" i="2"/>
  <c r="K161" i="2"/>
  <c r="Q199" i="2"/>
  <c r="Q123" i="2"/>
  <c r="Q237" i="2"/>
  <c r="Q8" i="2"/>
  <c r="Q275" i="2"/>
  <c r="Q85" i="2"/>
  <c r="Q161" i="2"/>
  <c r="Q47" i="2"/>
  <c r="AC237" i="2"/>
  <c r="AC123" i="2"/>
  <c r="AC47" i="2"/>
  <c r="AC8" i="2"/>
  <c r="AC161" i="2"/>
  <c r="AC275" i="2"/>
  <c r="AC85" i="2"/>
  <c r="AC199" i="2"/>
  <c r="AD275" i="2"/>
  <c r="AD161" i="2"/>
  <c r="AD47" i="2"/>
  <c r="AD8" i="2"/>
  <c r="AD199" i="2"/>
  <c r="AD123" i="2"/>
  <c r="AD85" i="2"/>
  <c r="AD237" i="2"/>
  <c r="AE275" i="2"/>
  <c r="AE199" i="2"/>
  <c r="AE123" i="2"/>
  <c r="AE237" i="2"/>
  <c r="AE85" i="2"/>
  <c r="AE47" i="2"/>
  <c r="AE161" i="2"/>
  <c r="AE8" i="2"/>
  <c r="G8" i="2"/>
  <c r="G85" i="2"/>
  <c r="G275" i="2"/>
  <c r="G47" i="2"/>
  <c r="G199" i="2"/>
  <c r="G237" i="2"/>
  <c r="G161" i="2"/>
  <c r="G123" i="2"/>
  <c r="AA199" i="2"/>
  <c r="AA275" i="2"/>
  <c r="AA161" i="2"/>
  <c r="AA237" i="2"/>
  <c r="AA85" i="2"/>
  <c r="AA47" i="2"/>
  <c r="AA123" i="2"/>
  <c r="AA8" i="2"/>
  <c r="H85" i="2"/>
  <c r="H237" i="2"/>
  <c r="H199" i="2"/>
  <c r="H47" i="2"/>
  <c r="H123" i="2"/>
  <c r="H8" i="2"/>
  <c r="H161" i="2"/>
  <c r="H275" i="2"/>
  <c r="AB161" i="2"/>
  <c r="AB85" i="2"/>
  <c r="AB47" i="2"/>
  <c r="AB123" i="2"/>
  <c r="AB237" i="2"/>
  <c r="AB275" i="2"/>
  <c r="AB8" i="2"/>
  <c r="AB199" i="2"/>
  <c r="R123" i="2"/>
  <c r="R85" i="2"/>
  <c r="R161" i="2"/>
  <c r="R8" i="2"/>
  <c r="R47" i="2"/>
  <c r="R199" i="2"/>
  <c r="R275" i="2"/>
  <c r="R237" i="2"/>
  <c r="W123" i="2"/>
  <c r="W47" i="2"/>
  <c r="W8" i="2"/>
  <c r="W237" i="2"/>
  <c r="W161" i="2"/>
  <c r="W275" i="2"/>
  <c r="W199" i="2"/>
  <c r="W85" i="2"/>
  <c r="Z85" i="2"/>
  <c r="Z8" i="2"/>
  <c r="Z161" i="2"/>
  <c r="Z199" i="2"/>
  <c r="Z237" i="2"/>
  <c r="Z275" i="2"/>
  <c r="Z123" i="2"/>
  <c r="Z47" i="2"/>
  <c r="I123" i="2"/>
  <c r="I275" i="2"/>
  <c r="I85" i="2"/>
  <c r="I161" i="2"/>
  <c r="I199" i="2"/>
  <c r="I237" i="2"/>
  <c r="I47" i="2"/>
  <c r="I8" i="2"/>
  <c r="U123" i="2"/>
  <c r="U8" i="2"/>
  <c r="U237" i="2"/>
  <c r="U85" i="2"/>
  <c r="U47" i="2"/>
  <c r="U275" i="2"/>
  <c r="U161" i="2"/>
  <c r="U199" i="2"/>
  <c r="F491" i="2"/>
  <c r="AG490" i="2"/>
  <c r="AH490" i="2" s="1"/>
  <c r="AF85" i="2"/>
  <c r="AF161" i="2"/>
  <c r="AF237" i="2"/>
  <c r="AF199" i="2"/>
  <c r="AF8" i="2"/>
  <c r="AF275" i="2"/>
  <c r="AF47" i="2"/>
  <c r="AF123" i="2"/>
  <c r="N237" i="2"/>
  <c r="N275" i="2"/>
  <c r="N123" i="2"/>
  <c r="N161" i="2"/>
  <c r="N199" i="2"/>
  <c r="N47" i="2"/>
  <c r="N8" i="2"/>
  <c r="N85" i="2"/>
  <c r="P275" i="2"/>
  <c r="P85" i="2"/>
  <c r="P47" i="2"/>
  <c r="P123" i="2"/>
  <c r="P199" i="2"/>
  <c r="P8" i="2"/>
  <c r="P161" i="2"/>
  <c r="P237" i="2"/>
  <c r="O47" i="2"/>
  <c r="O85" i="2"/>
  <c r="O199" i="2"/>
  <c r="O123" i="2"/>
  <c r="O161" i="2"/>
  <c r="O275" i="2"/>
  <c r="O8" i="2"/>
  <c r="O237" i="2"/>
  <c r="J444" i="2"/>
  <c r="AG444" i="2" s="1"/>
  <c r="AH444" i="2" s="1"/>
  <c r="AG443" i="2"/>
  <c r="AH443" i="2" s="1"/>
  <c r="E162" i="2"/>
  <c r="E495" i="2"/>
  <c r="E504" i="2"/>
  <c r="E513" i="2" s="1"/>
  <c r="E125" i="2"/>
  <c r="I133" i="1"/>
  <c r="J468" i="2"/>
  <c r="J450" i="2"/>
  <c r="AG447" i="2"/>
  <c r="AH447" i="2" s="1"/>
  <c r="X123" i="2"/>
  <c r="X161" i="2"/>
  <c r="X275" i="2"/>
  <c r="X199" i="2"/>
  <c r="X8" i="2"/>
  <c r="X237" i="2"/>
  <c r="X47" i="2"/>
  <c r="X85" i="2"/>
  <c r="J237" i="2"/>
  <c r="J123" i="2"/>
  <c r="J85" i="2"/>
  <c r="J8" i="2"/>
  <c r="J161" i="2"/>
  <c r="J275" i="2"/>
  <c r="J199" i="2"/>
  <c r="J47" i="2"/>
  <c r="T123" i="2"/>
  <c r="T237" i="2"/>
  <c r="T199" i="2"/>
  <c r="T47" i="2"/>
  <c r="T8" i="2"/>
  <c r="T275" i="2"/>
  <c r="T161" i="2"/>
  <c r="T85" i="2"/>
  <c r="L47" i="2"/>
  <c r="L123" i="2"/>
  <c r="L199" i="2"/>
  <c r="L275" i="2"/>
  <c r="L161" i="2"/>
  <c r="L237" i="2"/>
  <c r="L85" i="2"/>
  <c r="L8" i="2"/>
  <c r="V275" i="2"/>
  <c r="V199" i="2"/>
  <c r="V237" i="2"/>
  <c r="V8" i="2"/>
  <c r="V161" i="2"/>
  <c r="V85" i="2"/>
  <c r="V47" i="2"/>
  <c r="V123" i="2"/>
  <c r="M8" i="2"/>
  <c r="M275" i="2"/>
  <c r="M199" i="2"/>
  <c r="M161" i="2"/>
  <c r="M123" i="2"/>
  <c r="M237" i="2"/>
  <c r="M85" i="2"/>
  <c r="M47" i="2"/>
  <c r="E475" i="2" l="1"/>
  <c r="W471" i="2"/>
  <c r="W472" i="2" s="1"/>
  <c r="W473" i="2" s="1"/>
  <c r="G471" i="2"/>
  <c r="G472" i="2" s="1"/>
  <c r="G473" i="2" s="1"/>
  <c r="Z471" i="2"/>
  <c r="Z472" i="2" s="1"/>
  <c r="Z473" i="2" s="1"/>
  <c r="M471" i="2"/>
  <c r="M472" i="2" s="1"/>
  <c r="M473" i="2" s="1"/>
  <c r="AC471" i="2"/>
  <c r="AC472" i="2" s="1"/>
  <c r="AC473" i="2" s="1"/>
  <c r="T471" i="2"/>
  <c r="T472" i="2" s="1"/>
  <c r="T473" i="2" s="1"/>
  <c r="R471" i="2"/>
  <c r="R472" i="2" s="1"/>
  <c r="R473" i="2" s="1"/>
  <c r="AE471" i="2"/>
  <c r="AE472" i="2" s="1"/>
  <c r="AE473" i="2" s="1"/>
  <c r="AD471" i="2"/>
  <c r="AD472" i="2" s="1"/>
  <c r="AD473" i="2" s="1"/>
  <c r="AF471" i="2"/>
  <c r="AF472" i="2" s="1"/>
  <c r="AF473" i="2" s="1"/>
  <c r="X471" i="2"/>
  <c r="X472" i="2" s="1"/>
  <c r="X473" i="2" s="1"/>
  <c r="AB471" i="2"/>
  <c r="AB472" i="2" s="1"/>
  <c r="AB473" i="2" s="1"/>
  <c r="Q471" i="2"/>
  <c r="Q472" i="2" s="1"/>
  <c r="Q473" i="2" s="1"/>
  <c r="AA471" i="2"/>
  <c r="AA472" i="2" s="1"/>
  <c r="AA473" i="2" s="1"/>
  <c r="Y471" i="2"/>
  <c r="Y472" i="2" s="1"/>
  <c r="Y473" i="2" s="1"/>
  <c r="P471" i="2"/>
  <c r="P472" i="2" s="1"/>
  <c r="P473" i="2" s="1"/>
  <c r="V471" i="2"/>
  <c r="V472" i="2" s="1"/>
  <c r="V473" i="2" s="1"/>
  <c r="U471" i="2"/>
  <c r="U472" i="2" s="1"/>
  <c r="U473" i="2" s="1"/>
  <c r="S471" i="2"/>
  <c r="S472" i="2" s="1"/>
  <c r="S473" i="2" s="1"/>
  <c r="O471" i="2"/>
  <c r="O472" i="2" s="1"/>
  <c r="O473" i="2" s="1"/>
  <c r="N471" i="2"/>
  <c r="N472" i="2" s="1"/>
  <c r="N473" i="2" s="1"/>
  <c r="L471" i="2"/>
  <c r="L472" i="2" s="1"/>
  <c r="L473" i="2" s="1"/>
  <c r="K471" i="2"/>
  <c r="K472" i="2" s="1"/>
  <c r="K473" i="2" s="1"/>
  <c r="I471" i="2"/>
  <c r="I472" i="2" s="1"/>
  <c r="I473" i="2" s="1"/>
  <c r="F471" i="2"/>
  <c r="F472" i="2" s="1"/>
  <c r="F473" i="2" s="1"/>
  <c r="H471" i="2"/>
  <c r="H472" i="2" s="1"/>
  <c r="H473" i="2" s="1"/>
  <c r="AG135" i="2"/>
  <c r="AH135" i="2" s="1"/>
  <c r="AG507" i="2"/>
  <c r="AH507" i="2" s="1"/>
  <c r="E248" i="2"/>
  <c r="O328" i="1"/>
  <c r="AB328" i="1" s="1"/>
  <c r="AC328" i="1" s="1"/>
  <c r="AB314" i="1"/>
  <c r="AC314" i="1" s="1"/>
  <c r="O283" i="1"/>
  <c r="AB272" i="1"/>
  <c r="AC272" i="1" s="1"/>
  <c r="O461" i="1"/>
  <c r="AB451" i="1"/>
  <c r="AC451" i="1" s="1"/>
  <c r="E60" i="2"/>
  <c r="E79" i="2" s="1"/>
  <c r="AA58" i="2"/>
  <c r="AA60" i="2" s="1"/>
  <c r="T58" i="2"/>
  <c r="T60" i="2" s="1"/>
  <c r="G58" i="2"/>
  <c r="G60" i="2" s="1"/>
  <c r="U58" i="2"/>
  <c r="U60" i="2" s="1"/>
  <c r="H58" i="2"/>
  <c r="H60" i="2" s="1"/>
  <c r="R58" i="2"/>
  <c r="R60" i="2" s="1"/>
  <c r="Q58" i="2"/>
  <c r="Q60" i="2" s="1"/>
  <c r="K58" i="2"/>
  <c r="K60" i="2" s="1"/>
  <c r="I58" i="2"/>
  <c r="I60" i="2" s="1"/>
  <c r="M58" i="2"/>
  <c r="M60" i="2" s="1"/>
  <c r="N58" i="2"/>
  <c r="N60" i="2" s="1"/>
  <c r="AF58" i="2"/>
  <c r="AF60" i="2" s="1"/>
  <c r="X58" i="2"/>
  <c r="X60" i="2" s="1"/>
  <c r="S58" i="2"/>
  <c r="S60" i="2" s="1"/>
  <c r="AD58" i="2"/>
  <c r="AD60" i="2" s="1"/>
  <c r="AB58" i="2"/>
  <c r="AB60" i="2" s="1"/>
  <c r="AC58" i="2"/>
  <c r="AC60" i="2" s="1"/>
  <c r="P58" i="2"/>
  <c r="P60" i="2" s="1"/>
  <c r="W58" i="2"/>
  <c r="W60" i="2" s="1"/>
  <c r="AE58" i="2"/>
  <c r="AE60" i="2" s="1"/>
  <c r="V58" i="2"/>
  <c r="V60" i="2" s="1"/>
  <c r="Y58" i="2"/>
  <c r="Y60" i="2" s="1"/>
  <c r="Z58" i="2"/>
  <c r="Z60" i="2" s="1"/>
  <c r="O58" i="2"/>
  <c r="O60" i="2" s="1"/>
  <c r="L58" i="2"/>
  <c r="L60" i="2" s="1"/>
  <c r="J58" i="2"/>
  <c r="J60" i="2" s="1"/>
  <c r="F58" i="2"/>
  <c r="E286" i="2"/>
  <c r="AB316" i="1"/>
  <c r="AC316" i="1" s="1"/>
  <c r="L503" i="2"/>
  <c r="L512" i="2" s="1"/>
  <c r="J503" i="2"/>
  <c r="J512" i="2" s="1"/>
  <c r="J451" i="2"/>
  <c r="AG451" i="2" s="1"/>
  <c r="AH451" i="2" s="1"/>
  <c r="AG450" i="2"/>
  <c r="AH450" i="2" s="1"/>
  <c r="I144" i="1"/>
  <c r="O503" i="2"/>
  <c r="P503" i="2"/>
  <c r="N521" i="2"/>
  <c r="AF503" i="2"/>
  <c r="AB503" i="2"/>
  <c r="G503" i="2"/>
  <c r="G512" i="2" s="1"/>
  <c r="T503" i="2"/>
  <c r="X503" i="2"/>
  <c r="J475" i="2"/>
  <c r="J471" i="2"/>
  <c r="AG468" i="2"/>
  <c r="AH468" i="2" s="1"/>
  <c r="N503" i="2"/>
  <c r="N541" i="2" s="1"/>
  <c r="N560" i="2" s="1"/>
  <c r="AG491" i="2"/>
  <c r="AH491" i="2" s="1"/>
  <c r="F492" i="2"/>
  <c r="U503" i="2"/>
  <c r="I503" i="2"/>
  <c r="I512" i="2" s="1"/>
  <c r="Z503" i="2"/>
  <c r="AA503" i="2"/>
  <c r="AE503" i="2"/>
  <c r="K503" i="2"/>
  <c r="K512" i="2" s="1"/>
  <c r="M503" i="2"/>
  <c r="V503" i="2"/>
  <c r="E163" i="2"/>
  <c r="O521" i="2"/>
  <c r="P521" i="2"/>
  <c r="R521" i="2"/>
  <c r="G521" i="2"/>
  <c r="AD503" i="2"/>
  <c r="AC503" i="2"/>
  <c r="Q521" i="2"/>
  <c r="Q503" i="2"/>
  <c r="K521" i="2"/>
  <c r="S503" i="2"/>
  <c r="M521" i="2"/>
  <c r="L521" i="2"/>
  <c r="J521" i="2"/>
  <c r="E497" i="2"/>
  <c r="AG495" i="2"/>
  <c r="AH495" i="2" s="1"/>
  <c r="I521" i="2"/>
  <c r="W503" i="2"/>
  <c r="R503" i="2"/>
  <c r="H503" i="2"/>
  <c r="H512" i="2" s="1"/>
  <c r="H521" i="2"/>
  <c r="Y503" i="2"/>
  <c r="M512" i="2" l="1"/>
  <c r="I541" i="2"/>
  <c r="I560" i="2" s="1"/>
  <c r="H541" i="2"/>
  <c r="H560" i="2" s="1"/>
  <c r="G541" i="2"/>
  <c r="G560" i="2" s="1"/>
  <c r="J541" i="2"/>
  <c r="J560" i="2" s="1"/>
  <c r="K55" i="2"/>
  <c r="K207" i="2"/>
  <c r="K16" i="2"/>
  <c r="K93" i="2"/>
  <c r="S207" i="2"/>
  <c r="S16" i="2"/>
  <c r="S55" i="2"/>
  <c r="S93" i="2"/>
  <c r="Y207" i="2"/>
  <c r="Y16" i="2"/>
  <c r="Y55" i="2"/>
  <c r="Y93" i="2"/>
  <c r="X16" i="2"/>
  <c r="X207" i="2"/>
  <c r="X55" i="2"/>
  <c r="X93" i="2"/>
  <c r="R207" i="2"/>
  <c r="R16" i="2"/>
  <c r="R55" i="2"/>
  <c r="R93" i="2"/>
  <c r="Z16" i="2"/>
  <c r="Z207" i="2"/>
  <c r="Z55" i="2"/>
  <c r="Z93" i="2"/>
  <c r="H207" i="2"/>
  <c r="H55" i="2"/>
  <c r="H16" i="2"/>
  <c r="H93" i="2"/>
  <c r="L16" i="2"/>
  <c r="L207" i="2"/>
  <c r="L55" i="2"/>
  <c r="L93" i="2"/>
  <c r="U16" i="2"/>
  <c r="U207" i="2"/>
  <c r="U55" i="2"/>
  <c r="U93" i="2"/>
  <c r="AA16" i="2"/>
  <c r="AA207" i="2"/>
  <c r="AA55" i="2"/>
  <c r="AA93" i="2"/>
  <c r="AF207" i="2"/>
  <c r="AF16" i="2"/>
  <c r="AF55" i="2"/>
  <c r="AF93" i="2"/>
  <c r="T16" i="2"/>
  <c r="T207" i="2"/>
  <c r="T55" i="2"/>
  <c r="T93" i="2"/>
  <c r="G16" i="2"/>
  <c r="G207" i="2"/>
  <c r="G55" i="2"/>
  <c r="G93" i="2"/>
  <c r="F16" i="2"/>
  <c r="F55" i="2"/>
  <c r="F207" i="2"/>
  <c r="F93" i="2"/>
  <c r="N16" i="2"/>
  <c r="N207" i="2"/>
  <c r="N55" i="2"/>
  <c r="N93" i="2"/>
  <c r="V207" i="2"/>
  <c r="V16" i="2"/>
  <c r="V55" i="2"/>
  <c r="V93" i="2"/>
  <c r="Q16" i="2"/>
  <c r="Q207" i="2"/>
  <c r="Q55" i="2"/>
  <c r="Q93" i="2"/>
  <c r="AD207" i="2"/>
  <c r="AD16" i="2"/>
  <c r="AD55" i="2"/>
  <c r="AD93" i="2"/>
  <c r="AC16" i="2"/>
  <c r="AC207" i="2"/>
  <c r="AC55" i="2"/>
  <c r="AC93" i="2"/>
  <c r="W16" i="2"/>
  <c r="W207" i="2"/>
  <c r="W55" i="2"/>
  <c r="W93" i="2"/>
  <c r="I207" i="2"/>
  <c r="I55" i="2"/>
  <c r="I16" i="2"/>
  <c r="I93" i="2"/>
  <c r="O16" i="2"/>
  <c r="O207" i="2"/>
  <c r="O55" i="2"/>
  <c r="O93" i="2"/>
  <c r="P16" i="2"/>
  <c r="P207" i="2"/>
  <c r="P55" i="2"/>
  <c r="P93" i="2"/>
  <c r="AB16" i="2"/>
  <c r="AB207" i="2"/>
  <c r="AB55" i="2"/>
  <c r="AB93" i="2"/>
  <c r="AE16" i="2"/>
  <c r="AE207" i="2"/>
  <c r="AE55" i="2"/>
  <c r="AE93" i="2"/>
  <c r="M16" i="2"/>
  <c r="M207" i="2"/>
  <c r="M55" i="2"/>
  <c r="M93" i="2"/>
  <c r="O478" i="2"/>
  <c r="O479" i="2" s="1"/>
  <c r="O480" i="2" s="1"/>
  <c r="AE478" i="2"/>
  <c r="AE479" i="2" s="1"/>
  <c r="AE480" i="2" s="1"/>
  <c r="U478" i="2"/>
  <c r="U479" i="2" s="1"/>
  <c r="U480" i="2" s="1"/>
  <c r="Y478" i="2"/>
  <c r="Y479" i="2" s="1"/>
  <c r="Y480" i="2" s="1"/>
  <c r="Q478" i="2"/>
  <c r="Q479" i="2" s="1"/>
  <c r="Q480" i="2" s="1"/>
  <c r="S478" i="2"/>
  <c r="S479" i="2" s="1"/>
  <c r="S480" i="2" s="1"/>
  <c r="R478" i="2"/>
  <c r="R479" i="2" s="1"/>
  <c r="R480" i="2" s="1"/>
  <c r="P478" i="2"/>
  <c r="P479" i="2" s="1"/>
  <c r="P480" i="2" s="1"/>
  <c r="G478" i="2"/>
  <c r="G479" i="2" s="1"/>
  <c r="G480" i="2" s="1"/>
  <c r="AD478" i="2"/>
  <c r="AD479" i="2" s="1"/>
  <c r="AD480" i="2" s="1"/>
  <c r="W478" i="2"/>
  <c r="W479" i="2" s="1"/>
  <c r="W480" i="2" s="1"/>
  <c r="AF478" i="2"/>
  <c r="AF479" i="2" s="1"/>
  <c r="AF480" i="2" s="1"/>
  <c r="Z478" i="2"/>
  <c r="Z479" i="2" s="1"/>
  <c r="Z480" i="2" s="1"/>
  <c r="AB478" i="2"/>
  <c r="AB479" i="2" s="1"/>
  <c r="AB480" i="2" s="1"/>
  <c r="M478" i="2"/>
  <c r="M479" i="2" s="1"/>
  <c r="M480" i="2" s="1"/>
  <c r="AC478" i="2"/>
  <c r="AC479" i="2" s="1"/>
  <c r="AC480" i="2" s="1"/>
  <c r="AA478" i="2"/>
  <c r="AA479" i="2" s="1"/>
  <c r="AA480" i="2" s="1"/>
  <c r="N478" i="2"/>
  <c r="N479" i="2" s="1"/>
  <c r="N480" i="2" s="1"/>
  <c r="V478" i="2"/>
  <c r="V479" i="2" s="1"/>
  <c r="V480" i="2" s="1"/>
  <c r="T478" i="2"/>
  <c r="T479" i="2" s="1"/>
  <c r="T480" i="2" s="1"/>
  <c r="L478" i="2"/>
  <c r="L479" i="2" s="1"/>
  <c r="L480" i="2" s="1"/>
  <c r="X478" i="2"/>
  <c r="X479" i="2" s="1"/>
  <c r="X480" i="2" s="1"/>
  <c r="K478" i="2"/>
  <c r="K479" i="2" s="1"/>
  <c r="K480" i="2" s="1"/>
  <c r="I478" i="2"/>
  <c r="I479" i="2" s="1"/>
  <c r="I480" i="2" s="1"/>
  <c r="F478" i="2"/>
  <c r="F479" i="2" s="1"/>
  <c r="F480" i="2" s="1"/>
  <c r="H478" i="2"/>
  <c r="H479" i="2" s="1"/>
  <c r="H480" i="2" s="1"/>
  <c r="J550" i="2"/>
  <c r="J612" i="2"/>
  <c r="H550" i="2"/>
  <c r="H612" i="2"/>
  <c r="I550" i="2"/>
  <c r="G550" i="2"/>
  <c r="E288" i="2"/>
  <c r="E307" i="2" s="1"/>
  <c r="E322" i="2" s="1"/>
  <c r="AB286" i="2"/>
  <c r="AB288" i="2" s="1"/>
  <c r="L286" i="2"/>
  <c r="L288" i="2" s="1"/>
  <c r="AC286" i="2"/>
  <c r="AC288" i="2" s="1"/>
  <c r="G286" i="2"/>
  <c r="G288" i="2" s="1"/>
  <c r="S286" i="2"/>
  <c r="S288" i="2" s="1"/>
  <c r="P286" i="2"/>
  <c r="P288" i="2" s="1"/>
  <c r="O286" i="2"/>
  <c r="O288" i="2" s="1"/>
  <c r="I286" i="2"/>
  <c r="I288" i="2" s="1"/>
  <c r="Y286" i="2"/>
  <c r="Y288" i="2" s="1"/>
  <c r="K286" i="2"/>
  <c r="K288" i="2" s="1"/>
  <c r="Z286" i="2"/>
  <c r="Z288" i="2" s="1"/>
  <c r="AF286" i="2"/>
  <c r="AF288" i="2" s="1"/>
  <c r="W286" i="2"/>
  <c r="W288" i="2" s="1"/>
  <c r="N286" i="2"/>
  <c r="N288" i="2" s="1"/>
  <c r="X286" i="2"/>
  <c r="X288" i="2" s="1"/>
  <c r="V286" i="2"/>
  <c r="V288" i="2" s="1"/>
  <c r="M286" i="2"/>
  <c r="M288" i="2" s="1"/>
  <c r="AE286" i="2"/>
  <c r="AE288" i="2" s="1"/>
  <c r="R286" i="2"/>
  <c r="R288" i="2" s="1"/>
  <c r="AA286" i="2"/>
  <c r="AA288" i="2" s="1"/>
  <c r="J286" i="2"/>
  <c r="J288" i="2" s="1"/>
  <c r="Q286" i="2"/>
  <c r="Q288" i="2" s="1"/>
  <c r="F286" i="2"/>
  <c r="U286" i="2"/>
  <c r="U288" i="2" s="1"/>
  <c r="H286" i="2"/>
  <c r="H288" i="2" s="1"/>
  <c r="T286" i="2"/>
  <c r="T288" i="2" s="1"/>
  <c r="AD286" i="2"/>
  <c r="AD288" i="2" s="1"/>
  <c r="F60" i="2"/>
  <c r="AG60" i="2" s="1"/>
  <c r="AH60" i="2" s="1"/>
  <c r="AG58" i="2"/>
  <c r="AH58" i="2" s="1"/>
  <c r="O463" i="1"/>
  <c r="AB461" i="1"/>
  <c r="AC461" i="1" s="1"/>
  <c r="O285" i="1"/>
  <c r="AB283" i="1"/>
  <c r="AC283" i="1" s="1"/>
  <c r="E250" i="2"/>
  <c r="E269" i="2" s="1"/>
  <c r="E321" i="2" s="1"/>
  <c r="S248" i="2"/>
  <c r="S250" i="2" s="1"/>
  <c r="M248" i="2"/>
  <c r="M250" i="2" s="1"/>
  <c r="K248" i="2"/>
  <c r="K250" i="2" s="1"/>
  <c r="L248" i="2"/>
  <c r="L250" i="2" s="1"/>
  <c r="V248" i="2"/>
  <c r="V250" i="2" s="1"/>
  <c r="N248" i="2"/>
  <c r="N250" i="2" s="1"/>
  <c r="W248" i="2"/>
  <c r="W250" i="2" s="1"/>
  <c r="AA248" i="2"/>
  <c r="AA250" i="2" s="1"/>
  <c r="Z248" i="2"/>
  <c r="Z250" i="2" s="1"/>
  <c r="Y248" i="2"/>
  <c r="Y250" i="2" s="1"/>
  <c r="O248" i="2"/>
  <c r="O250" i="2" s="1"/>
  <c r="H248" i="2"/>
  <c r="H250" i="2" s="1"/>
  <c r="J248" i="2"/>
  <c r="J250" i="2" s="1"/>
  <c r="AD248" i="2"/>
  <c r="AD250" i="2" s="1"/>
  <c r="Q248" i="2"/>
  <c r="Q250" i="2" s="1"/>
  <c r="U248" i="2"/>
  <c r="U250" i="2" s="1"/>
  <c r="P248" i="2"/>
  <c r="P250" i="2" s="1"/>
  <c r="R248" i="2"/>
  <c r="R250" i="2" s="1"/>
  <c r="AC248" i="2"/>
  <c r="AC250" i="2" s="1"/>
  <c r="I248" i="2"/>
  <c r="I250" i="2" s="1"/>
  <c r="X248" i="2"/>
  <c r="X250" i="2" s="1"/>
  <c r="AE248" i="2"/>
  <c r="AE250" i="2" s="1"/>
  <c r="AF248" i="2"/>
  <c r="AF250" i="2" s="1"/>
  <c r="F248" i="2"/>
  <c r="T248" i="2"/>
  <c r="T250" i="2" s="1"/>
  <c r="G248" i="2"/>
  <c r="G250" i="2" s="1"/>
  <c r="AB248" i="2"/>
  <c r="AB250" i="2" s="1"/>
  <c r="N585" i="2"/>
  <c r="N611" i="2"/>
  <c r="N550" i="2"/>
  <c r="F161" i="2"/>
  <c r="F8" i="2"/>
  <c r="AG492" i="2"/>
  <c r="AH492" i="2" s="1"/>
  <c r="F199" i="2"/>
  <c r="F237" i="2"/>
  <c r="F123" i="2"/>
  <c r="F275" i="2"/>
  <c r="F85" i="2"/>
  <c r="F47" i="2"/>
  <c r="X541" i="2"/>
  <c r="X585" i="2" s="1"/>
  <c r="X611" i="2" s="1"/>
  <c r="T541" i="2"/>
  <c r="T585" i="2" s="1"/>
  <c r="T611" i="2" s="1"/>
  <c r="J472" i="2"/>
  <c r="AG471" i="2"/>
  <c r="AI471" i="2" s="1"/>
  <c r="AC541" i="2"/>
  <c r="AC585" i="2" s="1"/>
  <c r="AC611" i="2" s="1"/>
  <c r="R550" i="2"/>
  <c r="W541" i="2"/>
  <c r="W585" i="2" s="1"/>
  <c r="W611" i="2" s="1"/>
  <c r="Q550" i="2"/>
  <c r="Z541" i="2"/>
  <c r="Z585" i="2" s="1"/>
  <c r="Z611" i="2" s="1"/>
  <c r="AA541" i="2"/>
  <c r="AA585" i="2" s="1"/>
  <c r="AA611" i="2" s="1"/>
  <c r="U541" i="2"/>
  <c r="U585" i="2" s="1"/>
  <c r="U611" i="2" s="1"/>
  <c r="J478" i="2"/>
  <c r="AG475" i="2"/>
  <c r="AH475" i="2" s="1"/>
  <c r="E86" i="2"/>
  <c r="AD541" i="2"/>
  <c r="AD585" i="2" s="1"/>
  <c r="AD611" i="2" s="1"/>
  <c r="V541" i="2"/>
  <c r="V585" i="2" s="1"/>
  <c r="V611" i="2" s="1"/>
  <c r="Y541" i="2"/>
  <c r="Y585" i="2" s="1"/>
  <c r="Y611" i="2" s="1"/>
  <c r="E498" i="2"/>
  <c r="G497" i="2"/>
  <c r="G498" i="2" s="1"/>
  <c r="F497" i="2"/>
  <c r="AD497" i="2"/>
  <c r="AD498" i="2" s="1"/>
  <c r="AB497" i="2"/>
  <c r="AB498" i="2" s="1"/>
  <c r="H497" i="2"/>
  <c r="H498" i="2" s="1"/>
  <c r="U497" i="2"/>
  <c r="U498" i="2" s="1"/>
  <c r="W497" i="2"/>
  <c r="W498" i="2" s="1"/>
  <c r="L497" i="2"/>
  <c r="L498" i="2" s="1"/>
  <c r="V497" i="2"/>
  <c r="V498" i="2" s="1"/>
  <c r="M497" i="2"/>
  <c r="M498" i="2" s="1"/>
  <c r="X497" i="2"/>
  <c r="X498" i="2" s="1"/>
  <c r="O497" i="2"/>
  <c r="O498" i="2" s="1"/>
  <c r="AA497" i="2"/>
  <c r="AA498" i="2" s="1"/>
  <c r="AC497" i="2"/>
  <c r="AC498" i="2" s="1"/>
  <c r="J497" i="2"/>
  <c r="J498" i="2" s="1"/>
  <c r="S497" i="2"/>
  <c r="S498" i="2" s="1"/>
  <c r="AE497" i="2"/>
  <c r="AE498" i="2" s="1"/>
  <c r="T497" i="2"/>
  <c r="T498" i="2" s="1"/>
  <c r="Q497" i="2"/>
  <c r="Q498" i="2" s="1"/>
  <c r="AF497" i="2"/>
  <c r="AF498" i="2" s="1"/>
  <c r="Z497" i="2"/>
  <c r="Z498" i="2" s="1"/>
  <c r="Y497" i="2"/>
  <c r="Y498" i="2" s="1"/>
  <c r="R497" i="2"/>
  <c r="R498" i="2" s="1"/>
  <c r="I497" i="2"/>
  <c r="I498" i="2" s="1"/>
  <c r="P497" i="2"/>
  <c r="P498" i="2" s="1"/>
  <c r="N497" i="2"/>
  <c r="N498" i="2" s="1"/>
  <c r="K497" i="2"/>
  <c r="K498" i="2" s="1"/>
  <c r="P550" i="2"/>
  <c r="AB541" i="2"/>
  <c r="AB585" i="2" s="1"/>
  <c r="AB611" i="2" s="1"/>
  <c r="G585" i="2" l="1"/>
  <c r="G611" i="2"/>
  <c r="H585" i="2"/>
  <c r="H611" i="2"/>
  <c r="J585" i="2"/>
  <c r="J611" i="2"/>
  <c r="I585" i="2"/>
  <c r="I611" i="2"/>
  <c r="N283" i="2"/>
  <c r="N169" i="2"/>
  <c r="N245" i="2"/>
  <c r="N131" i="2"/>
  <c r="AD283" i="2"/>
  <c r="AD169" i="2"/>
  <c r="AD245" i="2"/>
  <c r="AD131" i="2"/>
  <c r="AE283" i="2"/>
  <c r="AE245" i="2"/>
  <c r="AE169" i="2"/>
  <c r="AE131" i="2"/>
  <c r="I283" i="2"/>
  <c r="I245" i="2"/>
  <c r="I169" i="2"/>
  <c r="I131" i="2"/>
  <c r="T283" i="2"/>
  <c r="T245" i="2"/>
  <c r="T169" i="2"/>
  <c r="T131" i="2"/>
  <c r="AC283" i="2"/>
  <c r="AC245" i="2"/>
  <c r="AC169" i="2"/>
  <c r="AC131" i="2"/>
  <c r="AF283" i="2"/>
  <c r="AF169" i="2"/>
  <c r="AF245" i="2"/>
  <c r="AF131" i="2"/>
  <c r="P283" i="2"/>
  <c r="P245" i="2"/>
  <c r="P169" i="2"/>
  <c r="P131" i="2"/>
  <c r="Y283" i="2"/>
  <c r="Y245" i="2"/>
  <c r="Y169" i="2"/>
  <c r="Y131" i="2"/>
  <c r="K283" i="2"/>
  <c r="K245" i="2"/>
  <c r="K169" i="2"/>
  <c r="K131" i="2"/>
  <c r="V283" i="2"/>
  <c r="V169" i="2"/>
  <c r="V245" i="2"/>
  <c r="V131" i="2"/>
  <c r="M283" i="2"/>
  <c r="M245" i="2"/>
  <c r="M169" i="2"/>
  <c r="M131" i="2"/>
  <c r="W283" i="2"/>
  <c r="W169" i="2"/>
  <c r="W245" i="2"/>
  <c r="W131" i="2"/>
  <c r="R283" i="2"/>
  <c r="R169" i="2"/>
  <c r="R245" i="2"/>
  <c r="R131" i="2"/>
  <c r="U283" i="2"/>
  <c r="U245" i="2"/>
  <c r="U169" i="2"/>
  <c r="U131" i="2"/>
  <c r="H245" i="2"/>
  <c r="H283" i="2"/>
  <c r="H169" i="2"/>
  <c r="H131" i="2"/>
  <c r="X283" i="2"/>
  <c r="X169" i="2"/>
  <c r="X245" i="2"/>
  <c r="X131" i="2"/>
  <c r="AB283" i="2"/>
  <c r="AB169" i="2"/>
  <c r="AB245" i="2"/>
  <c r="AB131" i="2"/>
  <c r="S283" i="2"/>
  <c r="S169" i="2"/>
  <c r="S245" i="2"/>
  <c r="S131" i="2"/>
  <c r="F169" i="2"/>
  <c r="F283" i="2"/>
  <c r="F245" i="2"/>
  <c r="F131" i="2"/>
  <c r="L283" i="2"/>
  <c r="L169" i="2"/>
  <c r="L245" i="2"/>
  <c r="L131" i="2"/>
  <c r="AA283" i="2"/>
  <c r="AA169" i="2"/>
  <c r="AA245" i="2"/>
  <c r="AA131" i="2"/>
  <c r="Z283" i="2"/>
  <c r="Z169" i="2"/>
  <c r="Z245" i="2"/>
  <c r="Z131" i="2"/>
  <c r="G283" i="2"/>
  <c r="G169" i="2"/>
  <c r="G245" i="2"/>
  <c r="G131" i="2"/>
  <c r="Q283" i="2"/>
  <c r="Q169" i="2"/>
  <c r="Q245" i="2"/>
  <c r="Q131" i="2"/>
  <c r="O283" i="2"/>
  <c r="O169" i="2"/>
  <c r="O245" i="2"/>
  <c r="O131" i="2"/>
  <c r="AH471" i="2"/>
  <c r="F288" i="2"/>
  <c r="AG288" i="2" s="1"/>
  <c r="AH288" i="2" s="1"/>
  <c r="AG286" i="2"/>
  <c r="AH286" i="2" s="1"/>
  <c r="AG248" i="2"/>
  <c r="AH248" i="2" s="1"/>
  <c r="F250" i="2"/>
  <c r="AG250" i="2" s="1"/>
  <c r="AH250" i="2" s="1"/>
  <c r="O465" i="1"/>
  <c r="AB463" i="1"/>
  <c r="AC463" i="1" s="1"/>
  <c r="O129" i="1"/>
  <c r="E134" i="2"/>
  <c r="O330" i="1"/>
  <c r="AB330" i="1" s="1"/>
  <c r="AC330" i="1" s="1"/>
  <c r="O287" i="1"/>
  <c r="AB287" i="1" s="1"/>
  <c r="AC287" i="1" s="1"/>
  <c r="AB285" i="1"/>
  <c r="AC285" i="1" s="1"/>
  <c r="F521" i="2"/>
  <c r="AG85" i="2"/>
  <c r="AH85" i="2" s="1"/>
  <c r="AG199" i="2"/>
  <c r="AH199" i="2" s="1"/>
  <c r="AA499" i="2"/>
  <c r="AC499" i="2"/>
  <c r="J499" i="2"/>
  <c r="S499" i="2"/>
  <c r="AE499" i="2"/>
  <c r="T499" i="2"/>
  <c r="P499" i="2"/>
  <c r="Q499" i="2"/>
  <c r="AF499" i="2"/>
  <c r="Z499" i="2"/>
  <c r="Y499" i="2"/>
  <c r="R499" i="2"/>
  <c r="G499" i="2"/>
  <c r="I499" i="2"/>
  <c r="K499" i="2"/>
  <c r="AD499" i="2"/>
  <c r="AB499" i="2"/>
  <c r="N499" i="2"/>
  <c r="H499" i="2"/>
  <c r="U499" i="2"/>
  <c r="W499" i="2"/>
  <c r="L499" i="2"/>
  <c r="V499" i="2"/>
  <c r="M499" i="2"/>
  <c r="X499" i="2"/>
  <c r="O499" i="2"/>
  <c r="E522" i="2"/>
  <c r="E87" i="2"/>
  <c r="AG275" i="2"/>
  <c r="AH275" i="2" s="1"/>
  <c r="S541" i="2"/>
  <c r="S530" i="2"/>
  <c r="AG123" i="2"/>
  <c r="AH123" i="2" s="1"/>
  <c r="F503" i="2"/>
  <c r="F512" i="2" s="1"/>
  <c r="AG8" i="2"/>
  <c r="AH8" i="2" s="1"/>
  <c r="F498" i="2"/>
  <c r="AG498" i="2" s="1"/>
  <c r="AH498" i="2" s="1"/>
  <c r="AG497" i="2"/>
  <c r="AH497" i="2" s="1"/>
  <c r="J479" i="2"/>
  <c r="AG478" i="2"/>
  <c r="AH478" i="2" s="1"/>
  <c r="J473" i="2"/>
  <c r="AG472" i="2"/>
  <c r="AH472" i="2" s="1"/>
  <c r="AG47" i="2"/>
  <c r="AH47" i="2" s="1"/>
  <c r="AG237" i="2"/>
  <c r="AH237" i="2" s="1"/>
  <c r="AG161" i="2"/>
  <c r="AH161" i="2" s="1"/>
  <c r="E136" i="2" l="1"/>
  <c r="E155" i="2" s="1"/>
  <c r="E319" i="2" s="1"/>
  <c r="E324" i="2" s="1"/>
  <c r="E355" i="2" s="1"/>
  <c r="T134" i="2"/>
  <c r="K134" i="2"/>
  <c r="U134" i="2"/>
  <c r="L134" i="2"/>
  <c r="Q134" i="2"/>
  <c r="I134" i="2"/>
  <c r="S134" i="2"/>
  <c r="AC134" i="2"/>
  <c r="O134" i="2"/>
  <c r="AD134" i="2"/>
  <c r="E506" i="2"/>
  <c r="AE134" i="2"/>
  <c r="G134" i="2"/>
  <c r="H134" i="2"/>
  <c r="Z134" i="2"/>
  <c r="AA134" i="2"/>
  <c r="X134" i="2"/>
  <c r="N134" i="2"/>
  <c r="J134" i="2"/>
  <c r="J136" i="2" s="1"/>
  <c r="AF134" i="2"/>
  <c r="V134" i="2"/>
  <c r="M134" i="2"/>
  <c r="W134" i="2"/>
  <c r="Y134" i="2"/>
  <c r="F134" i="2"/>
  <c r="R134" i="2"/>
  <c r="P134" i="2"/>
  <c r="AB134" i="2"/>
  <c r="O133" i="1"/>
  <c r="AB129" i="1"/>
  <c r="AC129" i="1" s="1"/>
  <c r="E172" i="2"/>
  <c r="AB465" i="1"/>
  <c r="AC465" i="1" s="1"/>
  <c r="AG503" i="2"/>
  <c r="AH503" i="2" s="1"/>
  <c r="F499" i="2"/>
  <c r="V162" i="2"/>
  <c r="V163" i="2" s="1"/>
  <c r="V200" i="2"/>
  <c r="V201" i="2" s="1"/>
  <c r="V231" i="2" s="1"/>
  <c r="V48" i="2"/>
  <c r="V49" i="2" s="1"/>
  <c r="V79" i="2" s="1"/>
  <c r="V86" i="2"/>
  <c r="V87" i="2" s="1"/>
  <c r="V9" i="2"/>
  <c r="V10" i="2" s="1"/>
  <c r="V40" i="2" s="1"/>
  <c r="V276" i="2"/>
  <c r="V277" i="2" s="1"/>
  <c r="V307" i="2" s="1"/>
  <c r="V322" i="2" s="1"/>
  <c r="V124" i="2"/>
  <c r="V238" i="2"/>
  <c r="V239" i="2" s="1"/>
  <c r="V269" i="2" s="1"/>
  <c r="V321" i="2" s="1"/>
  <c r="H124" i="2"/>
  <c r="H162" i="2"/>
  <c r="H163" i="2" s="1"/>
  <c r="H9" i="2"/>
  <c r="H10" i="2" s="1"/>
  <c r="H40" i="2" s="1"/>
  <c r="H276" i="2"/>
  <c r="H277" i="2" s="1"/>
  <c r="H307" i="2" s="1"/>
  <c r="H322" i="2" s="1"/>
  <c r="H200" i="2"/>
  <c r="H201" i="2" s="1"/>
  <c r="H231" i="2" s="1"/>
  <c r="H86" i="2"/>
  <c r="H48" i="2"/>
  <c r="H49" i="2" s="1"/>
  <c r="H79" i="2" s="1"/>
  <c r="H238" i="2"/>
  <c r="H239" i="2" s="1"/>
  <c r="H269" i="2" s="1"/>
  <c r="H321" i="2" s="1"/>
  <c r="K276" i="2"/>
  <c r="K277" i="2" s="1"/>
  <c r="K307" i="2" s="1"/>
  <c r="K322" i="2" s="1"/>
  <c r="K238" i="2"/>
  <c r="K239" i="2" s="1"/>
  <c r="K269" i="2" s="1"/>
  <c r="K321" i="2" s="1"/>
  <c r="K124" i="2"/>
  <c r="K48" i="2"/>
  <c r="K49" i="2" s="1"/>
  <c r="K79" i="2" s="1"/>
  <c r="K200" i="2"/>
  <c r="K201" i="2" s="1"/>
  <c r="K231" i="2" s="1"/>
  <c r="K9" i="2"/>
  <c r="K10" i="2" s="1"/>
  <c r="K40" i="2" s="1"/>
  <c r="K86" i="2"/>
  <c r="K162" i="2"/>
  <c r="K163" i="2" s="1"/>
  <c r="Y48" i="2"/>
  <c r="Y49" i="2" s="1"/>
  <c r="Y79" i="2" s="1"/>
  <c r="Y238" i="2"/>
  <c r="Y239" i="2" s="1"/>
  <c r="Y269" i="2" s="1"/>
  <c r="Y321" i="2" s="1"/>
  <c r="Y200" i="2"/>
  <c r="Y201" i="2" s="1"/>
  <c r="Y231" i="2" s="1"/>
  <c r="Y9" i="2"/>
  <c r="Y10" i="2" s="1"/>
  <c r="Y40" i="2" s="1"/>
  <c r="Y86" i="2"/>
  <c r="Y87" i="2" s="1"/>
  <c r="Y124" i="2"/>
  <c r="Y276" i="2"/>
  <c r="Y277" i="2" s="1"/>
  <c r="Y307" i="2" s="1"/>
  <c r="Y322" i="2" s="1"/>
  <c r="Y162" i="2"/>
  <c r="Y163" i="2" s="1"/>
  <c r="P200" i="2"/>
  <c r="P201" i="2" s="1"/>
  <c r="P231" i="2" s="1"/>
  <c r="P48" i="2"/>
  <c r="P49" i="2" s="1"/>
  <c r="P79" i="2" s="1"/>
  <c r="P162" i="2"/>
  <c r="P163" i="2" s="1"/>
  <c r="P276" i="2"/>
  <c r="P277" i="2" s="1"/>
  <c r="P307" i="2" s="1"/>
  <c r="P322" i="2" s="1"/>
  <c r="P238" i="2"/>
  <c r="P239" i="2" s="1"/>
  <c r="P269" i="2" s="1"/>
  <c r="P321" i="2" s="1"/>
  <c r="P86" i="2"/>
  <c r="P124" i="2"/>
  <c r="P9" i="2"/>
  <c r="P10" i="2" s="1"/>
  <c r="P40" i="2" s="1"/>
  <c r="J124" i="2"/>
  <c r="J200" i="2"/>
  <c r="J201" i="2" s="1"/>
  <c r="J162" i="2"/>
  <c r="J163" i="2" s="1"/>
  <c r="J276" i="2"/>
  <c r="J277" i="2" s="1"/>
  <c r="J9" i="2"/>
  <c r="J10" i="2" s="1"/>
  <c r="J48" i="2"/>
  <c r="J49" i="2" s="1"/>
  <c r="J86" i="2"/>
  <c r="J238" i="2"/>
  <c r="J239" i="2" s="1"/>
  <c r="J480" i="2"/>
  <c r="AG479" i="2"/>
  <c r="AH479" i="2" s="1"/>
  <c r="S585" i="2"/>
  <c r="S560" i="2"/>
  <c r="O86" i="2"/>
  <c r="O238" i="2"/>
  <c r="O239" i="2" s="1"/>
  <c r="O269" i="2" s="1"/>
  <c r="O321" i="2" s="1"/>
  <c r="O9" i="2"/>
  <c r="O10" i="2" s="1"/>
  <c r="O40" i="2" s="1"/>
  <c r="O162" i="2"/>
  <c r="O163" i="2" s="1"/>
  <c r="O124" i="2"/>
  <c r="O276" i="2"/>
  <c r="O277" i="2" s="1"/>
  <c r="O307" i="2" s="1"/>
  <c r="O322" i="2" s="1"/>
  <c r="O200" i="2"/>
  <c r="O201" i="2" s="1"/>
  <c r="O231" i="2" s="1"/>
  <c r="O48" i="2"/>
  <c r="O49" i="2" s="1"/>
  <c r="O79" i="2" s="1"/>
  <c r="L9" i="2"/>
  <c r="L10" i="2" s="1"/>
  <c r="L40" i="2" s="1"/>
  <c r="L124" i="2"/>
  <c r="L200" i="2"/>
  <c r="L201" i="2" s="1"/>
  <c r="L231" i="2" s="1"/>
  <c r="L48" i="2"/>
  <c r="L49" i="2" s="1"/>
  <c r="L79" i="2" s="1"/>
  <c r="L276" i="2"/>
  <c r="L277" i="2" s="1"/>
  <c r="L307" i="2" s="1"/>
  <c r="L322" i="2" s="1"/>
  <c r="L162" i="2"/>
  <c r="L163" i="2" s="1"/>
  <c r="L86" i="2"/>
  <c r="L238" i="2"/>
  <c r="L239" i="2" s="1"/>
  <c r="L269" i="2" s="1"/>
  <c r="L321" i="2" s="1"/>
  <c r="N200" i="2"/>
  <c r="N201" i="2" s="1"/>
  <c r="N231" i="2" s="1"/>
  <c r="N86" i="2"/>
  <c r="N276" i="2"/>
  <c r="N277" i="2" s="1"/>
  <c r="N307" i="2" s="1"/>
  <c r="N322" i="2" s="1"/>
  <c r="N124" i="2"/>
  <c r="N48" i="2"/>
  <c r="N49" i="2" s="1"/>
  <c r="N79" i="2" s="1"/>
  <c r="N162" i="2"/>
  <c r="N163" i="2" s="1"/>
  <c r="N9" i="2"/>
  <c r="N10" i="2" s="1"/>
  <c r="N40" i="2" s="1"/>
  <c r="N238" i="2"/>
  <c r="N239" i="2" s="1"/>
  <c r="N269" i="2" s="1"/>
  <c r="N321" i="2" s="1"/>
  <c r="I86" i="2"/>
  <c r="I9" i="2"/>
  <c r="I10" i="2" s="1"/>
  <c r="I40" i="2" s="1"/>
  <c r="I238" i="2"/>
  <c r="I239" i="2" s="1"/>
  <c r="I269" i="2" s="1"/>
  <c r="I321" i="2" s="1"/>
  <c r="I162" i="2"/>
  <c r="I163" i="2" s="1"/>
  <c r="I124" i="2"/>
  <c r="I200" i="2"/>
  <c r="I201" i="2" s="1"/>
  <c r="I231" i="2" s="1"/>
  <c r="I48" i="2"/>
  <c r="I49" i="2" s="1"/>
  <c r="I79" i="2" s="1"/>
  <c r="I276" i="2"/>
  <c r="I277" i="2" s="1"/>
  <c r="I307" i="2" s="1"/>
  <c r="I322" i="2" s="1"/>
  <c r="Z48" i="2"/>
  <c r="Z49" i="2" s="1"/>
  <c r="Z79" i="2" s="1"/>
  <c r="Z200" i="2"/>
  <c r="Z201" i="2" s="1"/>
  <c r="Z231" i="2" s="1"/>
  <c r="Z276" i="2"/>
  <c r="Z277" i="2" s="1"/>
  <c r="Z307" i="2" s="1"/>
  <c r="Z322" i="2" s="1"/>
  <c r="Z9" i="2"/>
  <c r="Z10" i="2" s="1"/>
  <c r="Z40" i="2" s="1"/>
  <c r="Z86" i="2"/>
  <c r="Z87" i="2" s="1"/>
  <c r="Z238" i="2"/>
  <c r="Z239" i="2" s="1"/>
  <c r="Z269" i="2" s="1"/>
  <c r="Z321" i="2" s="1"/>
  <c r="Z124" i="2"/>
  <c r="Z162" i="2"/>
  <c r="Z163" i="2" s="1"/>
  <c r="T200" i="2"/>
  <c r="T201" i="2" s="1"/>
  <c r="T231" i="2" s="1"/>
  <c r="T238" i="2"/>
  <c r="T239" i="2" s="1"/>
  <c r="T269" i="2" s="1"/>
  <c r="T321" i="2" s="1"/>
  <c r="T48" i="2"/>
  <c r="T49" i="2" s="1"/>
  <c r="T79" i="2" s="1"/>
  <c r="T124" i="2"/>
  <c r="T9" i="2"/>
  <c r="T10" i="2" s="1"/>
  <c r="T40" i="2" s="1"/>
  <c r="T162" i="2"/>
  <c r="T163" i="2" s="1"/>
  <c r="T86" i="2"/>
  <c r="T87" i="2" s="1"/>
  <c r="T276" i="2"/>
  <c r="T277" i="2" s="1"/>
  <c r="T307" i="2" s="1"/>
  <c r="T322" i="2" s="1"/>
  <c r="AC48" i="2"/>
  <c r="AC49" i="2" s="1"/>
  <c r="AC79" i="2" s="1"/>
  <c r="AC200" i="2"/>
  <c r="AC201" i="2" s="1"/>
  <c r="AC231" i="2" s="1"/>
  <c r="AC9" i="2"/>
  <c r="AC10" i="2" s="1"/>
  <c r="AC40" i="2" s="1"/>
  <c r="AC276" i="2"/>
  <c r="AC277" i="2" s="1"/>
  <c r="AC307" i="2" s="1"/>
  <c r="AC322" i="2" s="1"/>
  <c r="AC86" i="2"/>
  <c r="AC87" i="2" s="1"/>
  <c r="AC238" i="2"/>
  <c r="AC239" i="2" s="1"/>
  <c r="AC269" i="2" s="1"/>
  <c r="AC321" i="2" s="1"/>
  <c r="AC124" i="2"/>
  <c r="AC162" i="2"/>
  <c r="AC163" i="2" s="1"/>
  <c r="J93" i="2"/>
  <c r="J16" i="2"/>
  <c r="AG16" i="2" s="1"/>
  <c r="AH16" i="2" s="1"/>
  <c r="J207" i="2"/>
  <c r="AG207" i="2" s="1"/>
  <c r="AH207" i="2" s="1"/>
  <c r="J55" i="2"/>
  <c r="AG55" i="2" s="1"/>
  <c r="AH55" i="2" s="1"/>
  <c r="AG473" i="2"/>
  <c r="AH473" i="2" s="1"/>
  <c r="X238" i="2"/>
  <c r="X239" i="2" s="1"/>
  <c r="X269" i="2" s="1"/>
  <c r="X321" i="2" s="1"/>
  <c r="X86" i="2"/>
  <c r="X87" i="2" s="1"/>
  <c r="X276" i="2"/>
  <c r="X277" i="2" s="1"/>
  <c r="X307" i="2" s="1"/>
  <c r="X322" i="2" s="1"/>
  <c r="X48" i="2"/>
  <c r="X49" i="2" s="1"/>
  <c r="X79" i="2" s="1"/>
  <c r="X9" i="2"/>
  <c r="X10" i="2" s="1"/>
  <c r="X40" i="2" s="1"/>
  <c r="X200" i="2"/>
  <c r="X201" i="2" s="1"/>
  <c r="X231" i="2" s="1"/>
  <c r="X124" i="2"/>
  <c r="X162" i="2"/>
  <c r="X163" i="2" s="1"/>
  <c r="W200" i="2"/>
  <c r="W201" i="2" s="1"/>
  <c r="W231" i="2" s="1"/>
  <c r="W9" i="2"/>
  <c r="W10" i="2" s="1"/>
  <c r="W40" i="2" s="1"/>
  <c r="W86" i="2"/>
  <c r="W87" i="2" s="1"/>
  <c r="W162" i="2"/>
  <c r="W163" i="2" s="1"/>
  <c r="W48" i="2"/>
  <c r="W49" i="2" s="1"/>
  <c r="W79" i="2" s="1"/>
  <c r="W276" i="2"/>
  <c r="W277" i="2" s="1"/>
  <c r="W307" i="2" s="1"/>
  <c r="W322" i="2" s="1"/>
  <c r="W238" i="2"/>
  <c r="W239" i="2" s="1"/>
  <c r="W269" i="2" s="1"/>
  <c r="W321" i="2" s="1"/>
  <c r="W124" i="2"/>
  <c r="AB124" i="2"/>
  <c r="AB200" i="2"/>
  <c r="AB201" i="2" s="1"/>
  <c r="AB231" i="2" s="1"/>
  <c r="AB48" i="2"/>
  <c r="AB49" i="2" s="1"/>
  <c r="AB79" i="2" s="1"/>
  <c r="AB162" i="2"/>
  <c r="AB163" i="2" s="1"/>
  <c r="AB86" i="2"/>
  <c r="AB87" i="2" s="1"/>
  <c r="AB9" i="2"/>
  <c r="AB10" i="2" s="1"/>
  <c r="AB40" i="2" s="1"/>
  <c r="AB238" i="2"/>
  <c r="AB239" i="2" s="1"/>
  <c r="AB269" i="2" s="1"/>
  <c r="AB321" i="2" s="1"/>
  <c r="AB276" i="2"/>
  <c r="AB277" i="2" s="1"/>
  <c r="AB307" i="2" s="1"/>
  <c r="AB322" i="2" s="1"/>
  <c r="G48" i="2"/>
  <c r="G49" i="2" s="1"/>
  <c r="G79" i="2" s="1"/>
  <c r="G124" i="2"/>
  <c r="G200" i="2"/>
  <c r="G201" i="2" s="1"/>
  <c r="G231" i="2" s="1"/>
  <c r="G86" i="2"/>
  <c r="G238" i="2"/>
  <c r="G239" i="2" s="1"/>
  <c r="G269" i="2" s="1"/>
  <c r="G321" i="2" s="1"/>
  <c r="G276" i="2"/>
  <c r="G277" i="2" s="1"/>
  <c r="G307" i="2" s="1"/>
  <c r="G322" i="2" s="1"/>
  <c r="G162" i="2"/>
  <c r="G163" i="2" s="1"/>
  <c r="G9" i="2"/>
  <c r="G10" i="2" s="1"/>
  <c r="G40" i="2" s="1"/>
  <c r="AF124" i="2"/>
  <c r="AF9" i="2"/>
  <c r="AF10" i="2" s="1"/>
  <c r="AF40" i="2" s="1"/>
  <c r="AF276" i="2"/>
  <c r="AF277" i="2" s="1"/>
  <c r="AF307" i="2" s="1"/>
  <c r="AF322" i="2" s="1"/>
  <c r="AF238" i="2"/>
  <c r="AF239" i="2" s="1"/>
  <c r="AF269" i="2" s="1"/>
  <c r="AF321" i="2" s="1"/>
  <c r="AF162" i="2"/>
  <c r="AF163" i="2" s="1"/>
  <c r="AF86" i="2"/>
  <c r="AF87" i="2" s="1"/>
  <c r="AF48" i="2"/>
  <c r="AF49" i="2" s="1"/>
  <c r="AF79" i="2" s="1"/>
  <c r="AF200" i="2"/>
  <c r="AF201" i="2" s="1"/>
  <c r="AF231" i="2" s="1"/>
  <c r="AE124" i="2"/>
  <c r="AE162" i="2"/>
  <c r="AE163" i="2" s="1"/>
  <c r="AE200" i="2"/>
  <c r="AE201" i="2" s="1"/>
  <c r="AE231" i="2" s="1"/>
  <c r="AE9" i="2"/>
  <c r="AE10" i="2" s="1"/>
  <c r="AE40" i="2" s="1"/>
  <c r="AE238" i="2"/>
  <c r="AE239" i="2" s="1"/>
  <c r="AE269" i="2" s="1"/>
  <c r="AE321" i="2" s="1"/>
  <c r="AE86" i="2"/>
  <c r="AE87" i="2" s="1"/>
  <c r="AE276" i="2"/>
  <c r="AE277" i="2" s="1"/>
  <c r="AE307" i="2" s="1"/>
  <c r="AE322" i="2" s="1"/>
  <c r="AE48" i="2"/>
  <c r="AE49" i="2" s="1"/>
  <c r="AE79" i="2" s="1"/>
  <c r="AA238" i="2"/>
  <c r="AA239" i="2" s="1"/>
  <c r="AA269" i="2" s="1"/>
  <c r="AA321" i="2" s="1"/>
  <c r="AA86" i="2"/>
  <c r="AA87" i="2" s="1"/>
  <c r="AA162" i="2"/>
  <c r="AA163" i="2" s="1"/>
  <c r="AA9" i="2"/>
  <c r="AA10" i="2" s="1"/>
  <c r="AA40" i="2" s="1"/>
  <c r="AA276" i="2"/>
  <c r="AA277" i="2" s="1"/>
  <c r="AA307" i="2" s="1"/>
  <c r="AA322" i="2" s="1"/>
  <c r="AA48" i="2"/>
  <c r="AA49" i="2" s="1"/>
  <c r="AA79" i="2" s="1"/>
  <c r="AA200" i="2"/>
  <c r="AA201" i="2" s="1"/>
  <c r="AA231" i="2" s="1"/>
  <c r="AA124" i="2"/>
  <c r="AG521" i="2"/>
  <c r="AH521" i="2" s="1"/>
  <c r="F550" i="2"/>
  <c r="M48" i="2"/>
  <c r="M49" i="2" s="1"/>
  <c r="M79" i="2" s="1"/>
  <c r="M162" i="2"/>
  <c r="M163" i="2" s="1"/>
  <c r="M276" i="2"/>
  <c r="M277" i="2" s="1"/>
  <c r="M307" i="2" s="1"/>
  <c r="M322" i="2" s="1"/>
  <c r="M124" i="2"/>
  <c r="M200" i="2"/>
  <c r="M201" i="2" s="1"/>
  <c r="M231" i="2" s="1"/>
  <c r="M86" i="2"/>
  <c r="M9" i="2"/>
  <c r="M10" i="2" s="1"/>
  <c r="M40" i="2" s="1"/>
  <c r="M238" i="2"/>
  <c r="M239" i="2" s="1"/>
  <c r="M269" i="2" s="1"/>
  <c r="M321" i="2" s="1"/>
  <c r="U9" i="2"/>
  <c r="U10" i="2" s="1"/>
  <c r="U40" i="2" s="1"/>
  <c r="U238" i="2"/>
  <c r="U239" i="2" s="1"/>
  <c r="U269" i="2" s="1"/>
  <c r="U321" i="2" s="1"/>
  <c r="U276" i="2"/>
  <c r="U277" i="2" s="1"/>
  <c r="U307" i="2" s="1"/>
  <c r="U322" i="2" s="1"/>
  <c r="U124" i="2"/>
  <c r="U162" i="2"/>
  <c r="U163" i="2" s="1"/>
  <c r="U48" i="2"/>
  <c r="U49" i="2" s="1"/>
  <c r="U79" i="2" s="1"/>
  <c r="U86" i="2"/>
  <c r="U87" i="2" s="1"/>
  <c r="U200" i="2"/>
  <c r="U201" i="2" s="1"/>
  <c r="U231" i="2" s="1"/>
  <c r="AD124" i="2"/>
  <c r="AD276" i="2"/>
  <c r="AD277" i="2" s="1"/>
  <c r="AD307" i="2" s="1"/>
  <c r="AD322" i="2" s="1"/>
  <c r="AD162" i="2"/>
  <c r="AD163" i="2" s="1"/>
  <c r="AD9" i="2"/>
  <c r="AD10" i="2" s="1"/>
  <c r="AD40" i="2" s="1"/>
  <c r="AD200" i="2"/>
  <c r="AD201" i="2" s="1"/>
  <c r="AD231" i="2" s="1"/>
  <c r="AD48" i="2"/>
  <c r="AD49" i="2" s="1"/>
  <c r="AD79" i="2" s="1"/>
  <c r="AD238" i="2"/>
  <c r="AD239" i="2" s="1"/>
  <c r="AD269" i="2" s="1"/>
  <c r="AD321" i="2" s="1"/>
  <c r="AD86" i="2"/>
  <c r="AD87" i="2" s="1"/>
  <c r="R124" i="2"/>
  <c r="R48" i="2"/>
  <c r="R49" i="2" s="1"/>
  <c r="R79" i="2" s="1"/>
  <c r="R276" i="2"/>
  <c r="R277" i="2" s="1"/>
  <c r="R307" i="2" s="1"/>
  <c r="R322" i="2" s="1"/>
  <c r="R238" i="2"/>
  <c r="R239" i="2" s="1"/>
  <c r="R269" i="2" s="1"/>
  <c r="R321" i="2" s="1"/>
  <c r="R162" i="2"/>
  <c r="R163" i="2" s="1"/>
  <c r="R86" i="2"/>
  <c r="R200" i="2"/>
  <c r="R201" i="2" s="1"/>
  <c r="R231" i="2" s="1"/>
  <c r="R9" i="2"/>
  <c r="R10" i="2" s="1"/>
  <c r="R40" i="2" s="1"/>
  <c r="Q48" i="2"/>
  <c r="Q49" i="2" s="1"/>
  <c r="Q79" i="2" s="1"/>
  <c r="Q162" i="2"/>
  <c r="Q163" i="2" s="1"/>
  <c r="Q238" i="2"/>
  <c r="Q239" i="2" s="1"/>
  <c r="Q269" i="2" s="1"/>
  <c r="Q321" i="2" s="1"/>
  <c r="Q86" i="2"/>
  <c r="Q9" i="2"/>
  <c r="Q10" i="2" s="1"/>
  <c r="Q40" i="2" s="1"/>
  <c r="Q276" i="2"/>
  <c r="Q277" i="2" s="1"/>
  <c r="Q307" i="2" s="1"/>
  <c r="Q322" i="2" s="1"/>
  <c r="Q124" i="2"/>
  <c r="Q200" i="2"/>
  <c r="Q201" i="2" s="1"/>
  <c r="Q231" i="2" s="1"/>
  <c r="S48" i="2"/>
  <c r="S49" i="2" s="1"/>
  <c r="S79" i="2" s="1"/>
  <c r="S162" i="2"/>
  <c r="S163" i="2" s="1"/>
  <c r="S124" i="2"/>
  <c r="S238" i="2"/>
  <c r="S239" i="2" s="1"/>
  <c r="S269" i="2" s="1"/>
  <c r="S321" i="2" s="1"/>
  <c r="S276" i="2"/>
  <c r="S277" i="2" s="1"/>
  <c r="S307" i="2" s="1"/>
  <c r="S322" i="2" s="1"/>
  <c r="S86" i="2"/>
  <c r="S87" i="2" s="1"/>
  <c r="S200" i="2"/>
  <c r="S201" i="2" s="1"/>
  <c r="S231" i="2" s="1"/>
  <c r="S9" i="2"/>
  <c r="S10" i="2" s="1"/>
  <c r="S40" i="2" s="1"/>
  <c r="D506" i="2" l="1"/>
  <c r="E515" i="2" s="1"/>
  <c r="D507" i="2"/>
  <c r="E516" i="2" s="1"/>
  <c r="E326" i="2"/>
  <c r="W136" i="2"/>
  <c r="W506" i="2"/>
  <c r="S136" i="2"/>
  <c r="S506" i="2"/>
  <c r="S544" i="2" s="1"/>
  <c r="R506" i="2"/>
  <c r="R544" i="2" s="1"/>
  <c r="R136" i="2"/>
  <c r="M506" i="2"/>
  <c r="M136" i="2"/>
  <c r="N136" i="2"/>
  <c r="N506" i="2"/>
  <c r="H136" i="2"/>
  <c r="H506" i="2"/>
  <c r="AD136" i="2"/>
  <c r="AD506" i="2"/>
  <c r="I136" i="2"/>
  <c r="I506" i="2"/>
  <c r="K136" i="2"/>
  <c r="K506" i="2"/>
  <c r="U136" i="2"/>
  <c r="U506" i="2"/>
  <c r="O144" i="1"/>
  <c r="AB133" i="1"/>
  <c r="AC133" i="1" s="1"/>
  <c r="F136" i="2"/>
  <c r="AG134" i="2"/>
  <c r="AH134" i="2" s="1"/>
  <c r="F506" i="2"/>
  <c r="V136" i="2"/>
  <c r="V506" i="2"/>
  <c r="X136" i="2"/>
  <c r="X506" i="2"/>
  <c r="G506" i="2"/>
  <c r="G136" i="2"/>
  <c r="O136" i="2"/>
  <c r="O506" i="2"/>
  <c r="Q136" i="2"/>
  <c r="Q506" i="2"/>
  <c r="Q544" i="2" s="1"/>
  <c r="T136" i="2"/>
  <c r="T506" i="2"/>
  <c r="W172" i="2"/>
  <c r="W174" i="2" s="1"/>
  <c r="W193" i="2" s="1"/>
  <c r="K172" i="2"/>
  <c r="K174" i="2" s="1"/>
  <c r="K193" i="2" s="1"/>
  <c r="AC172" i="2"/>
  <c r="AC174" i="2" s="1"/>
  <c r="AC193" i="2" s="1"/>
  <c r="V172" i="2"/>
  <c r="V174" i="2" s="1"/>
  <c r="V193" i="2" s="1"/>
  <c r="P172" i="2"/>
  <c r="P174" i="2" s="1"/>
  <c r="P193" i="2" s="1"/>
  <c r="E174" i="2"/>
  <c r="E193" i="2" s="1"/>
  <c r="L172" i="2"/>
  <c r="L174" i="2" s="1"/>
  <c r="L193" i="2" s="1"/>
  <c r="S172" i="2"/>
  <c r="S174" i="2" s="1"/>
  <c r="S193" i="2" s="1"/>
  <c r="X172" i="2"/>
  <c r="X174" i="2" s="1"/>
  <c r="X193" i="2" s="1"/>
  <c r="J172" i="2"/>
  <c r="J174" i="2" s="1"/>
  <c r="U172" i="2"/>
  <c r="U174" i="2" s="1"/>
  <c r="U193" i="2" s="1"/>
  <c r="N172" i="2"/>
  <c r="N174" i="2" s="1"/>
  <c r="N193" i="2" s="1"/>
  <c r="Z172" i="2"/>
  <c r="Z174" i="2" s="1"/>
  <c r="Z193" i="2" s="1"/>
  <c r="AD172" i="2"/>
  <c r="AD174" i="2" s="1"/>
  <c r="AD193" i="2" s="1"/>
  <c r="AD361" i="2" s="1"/>
  <c r="R172" i="2"/>
  <c r="R174" i="2" s="1"/>
  <c r="R193" i="2" s="1"/>
  <c r="G172" i="2"/>
  <c r="G174" i="2" s="1"/>
  <c r="G193" i="2" s="1"/>
  <c r="Y172" i="2"/>
  <c r="Y174" i="2" s="1"/>
  <c r="Y193" i="2" s="1"/>
  <c r="I172" i="2"/>
  <c r="I174" i="2" s="1"/>
  <c r="I193" i="2" s="1"/>
  <c r="I361" i="2" s="1"/>
  <c r="AA172" i="2"/>
  <c r="AA174" i="2" s="1"/>
  <c r="AA193" i="2" s="1"/>
  <c r="AE172" i="2"/>
  <c r="AE174" i="2" s="1"/>
  <c r="AE193" i="2" s="1"/>
  <c r="M172" i="2"/>
  <c r="M174" i="2" s="1"/>
  <c r="M193" i="2" s="1"/>
  <c r="Q172" i="2"/>
  <c r="Q174" i="2" s="1"/>
  <c r="Q193" i="2" s="1"/>
  <c r="Q361" i="2" s="1"/>
  <c r="F172" i="2"/>
  <c r="H172" i="2"/>
  <c r="H174" i="2" s="1"/>
  <c r="H193" i="2" s="1"/>
  <c r="O172" i="2"/>
  <c r="O174" i="2" s="1"/>
  <c r="O193" i="2" s="1"/>
  <c r="AF172" i="2"/>
  <c r="AF174" i="2" s="1"/>
  <c r="AF193" i="2" s="1"/>
  <c r="AF361" i="2" s="1"/>
  <c r="T172" i="2"/>
  <c r="T174" i="2" s="1"/>
  <c r="T193" i="2" s="1"/>
  <c r="AB172" i="2"/>
  <c r="AB174" i="2" s="1"/>
  <c r="AB193" i="2" s="1"/>
  <c r="P136" i="2"/>
  <c r="P506" i="2"/>
  <c r="P544" i="2" s="1"/>
  <c r="Z136" i="2"/>
  <c r="Z506" i="2"/>
  <c r="R545" i="2"/>
  <c r="S545" i="2"/>
  <c r="Q545" i="2"/>
  <c r="P545" i="2"/>
  <c r="E508" i="2"/>
  <c r="AB506" i="2"/>
  <c r="AB136" i="2"/>
  <c r="Y506" i="2"/>
  <c r="Y136" i="2"/>
  <c r="AF506" i="2"/>
  <c r="AF136" i="2"/>
  <c r="AA136" i="2"/>
  <c r="AA506" i="2"/>
  <c r="AE136" i="2"/>
  <c r="AE506" i="2"/>
  <c r="AC136" i="2"/>
  <c r="AC506" i="2"/>
  <c r="L136" i="2"/>
  <c r="L506" i="2"/>
  <c r="S320" i="2"/>
  <c r="S504" i="2"/>
  <c r="S125" i="2"/>
  <c r="Q504" i="2"/>
  <c r="Q125" i="2"/>
  <c r="R320" i="2"/>
  <c r="AE504" i="2"/>
  <c r="AE125" i="2"/>
  <c r="AF504" i="2"/>
  <c r="AF125" i="2"/>
  <c r="AB504" i="2"/>
  <c r="AB125" i="2"/>
  <c r="W320" i="2"/>
  <c r="AG93" i="2"/>
  <c r="AH93" i="2" s="1"/>
  <c r="T320" i="2"/>
  <c r="I504" i="2"/>
  <c r="I125" i="2"/>
  <c r="I522" i="2"/>
  <c r="I87" i="2"/>
  <c r="N320" i="2"/>
  <c r="O504" i="2"/>
  <c r="O125" i="2"/>
  <c r="O522" i="2"/>
  <c r="O87" i="2"/>
  <c r="S611" i="2"/>
  <c r="J79" i="2"/>
  <c r="J231" i="2"/>
  <c r="P522" i="2"/>
  <c r="P87" i="2"/>
  <c r="Y504" i="2"/>
  <c r="Y125" i="2"/>
  <c r="H522" i="2"/>
  <c r="H87" i="2"/>
  <c r="V320" i="2"/>
  <c r="M522" i="2"/>
  <c r="M87" i="2"/>
  <c r="AA504" i="2"/>
  <c r="AA125" i="2"/>
  <c r="AF320" i="2"/>
  <c r="G522" i="2"/>
  <c r="G87" i="2"/>
  <c r="W504" i="2"/>
  <c r="W125" i="2"/>
  <c r="T504" i="2"/>
  <c r="T125" i="2"/>
  <c r="N504" i="2"/>
  <c r="N542" i="2" s="1"/>
  <c r="N562" i="2" s="1"/>
  <c r="N125" i="2"/>
  <c r="J40" i="2"/>
  <c r="J504" i="2"/>
  <c r="J125" i="2"/>
  <c r="P320" i="2"/>
  <c r="K320" i="2"/>
  <c r="H320" i="2"/>
  <c r="H504" i="2"/>
  <c r="H125" i="2"/>
  <c r="E384" i="2"/>
  <c r="F541" i="2"/>
  <c r="F560" i="2" s="1"/>
  <c r="R522" i="2"/>
  <c r="R87" i="2"/>
  <c r="R504" i="2"/>
  <c r="R125" i="2"/>
  <c r="AD320" i="2"/>
  <c r="AD504" i="2"/>
  <c r="AD125" i="2"/>
  <c r="M320" i="2"/>
  <c r="AA320" i="2"/>
  <c r="AE320" i="2"/>
  <c r="G320" i="2"/>
  <c r="X504" i="2"/>
  <c r="X125" i="2"/>
  <c r="AC504" i="2"/>
  <c r="AC125" i="2"/>
  <c r="Z504" i="2"/>
  <c r="Z125" i="2"/>
  <c r="L522" i="2"/>
  <c r="L87" i="2"/>
  <c r="L320" i="2"/>
  <c r="O320" i="2"/>
  <c r="F48" i="2"/>
  <c r="F200" i="2"/>
  <c r="AG499" i="2"/>
  <c r="AH499" i="2" s="1"/>
  <c r="F276" i="2"/>
  <c r="F86" i="2"/>
  <c r="F238" i="2"/>
  <c r="F162" i="2"/>
  <c r="F9" i="2"/>
  <c r="F124" i="2"/>
  <c r="Q320" i="2"/>
  <c r="Q522" i="2"/>
  <c r="Q87" i="2"/>
  <c r="U320" i="2"/>
  <c r="U504" i="2"/>
  <c r="U125" i="2"/>
  <c r="M504" i="2"/>
  <c r="M125" i="2"/>
  <c r="G504" i="2"/>
  <c r="G125" i="2"/>
  <c r="AB320" i="2"/>
  <c r="X320" i="2"/>
  <c r="AC320" i="2"/>
  <c r="Z320" i="2"/>
  <c r="I320" i="2"/>
  <c r="N522" i="2"/>
  <c r="N87" i="2"/>
  <c r="L504" i="2"/>
  <c r="L125" i="2"/>
  <c r="J245" i="2"/>
  <c r="AG245" i="2" s="1"/>
  <c r="AH245" i="2" s="1"/>
  <c r="J283" i="2"/>
  <c r="AG283" i="2" s="1"/>
  <c r="AH283" i="2" s="1"/>
  <c r="J131" i="2"/>
  <c r="J169" i="2"/>
  <c r="AG169" i="2" s="1"/>
  <c r="AH169" i="2" s="1"/>
  <c r="AG480" i="2"/>
  <c r="AH480" i="2" s="1"/>
  <c r="J522" i="2"/>
  <c r="J87" i="2"/>
  <c r="P504" i="2"/>
  <c r="P125" i="2"/>
  <c r="Y320" i="2"/>
  <c r="K522" i="2"/>
  <c r="K87" i="2"/>
  <c r="K504" i="2"/>
  <c r="K125" i="2"/>
  <c r="V504" i="2"/>
  <c r="V125" i="2"/>
  <c r="E517" i="2" l="1"/>
  <c r="E518" i="2" s="1"/>
  <c r="E519" i="2" s="1"/>
  <c r="J614" i="2"/>
  <c r="J551" i="2"/>
  <c r="H551" i="2"/>
  <c r="H614" i="2"/>
  <c r="G551" i="2"/>
  <c r="I551" i="2"/>
  <c r="AA155" i="2"/>
  <c r="AA319" i="2" s="1"/>
  <c r="AA324" i="2" s="1"/>
  <c r="N155" i="2"/>
  <c r="N319" i="2" s="1"/>
  <c r="N324" i="2" s="1"/>
  <c r="N355" i="2" s="1"/>
  <c r="W155" i="2"/>
  <c r="W319" i="2" s="1"/>
  <c r="W324" i="2" s="1"/>
  <c r="W326" i="2" s="1"/>
  <c r="G155" i="2"/>
  <c r="G319" i="2" s="1"/>
  <c r="G324" i="2" s="1"/>
  <c r="G326" i="2" s="1"/>
  <c r="U155" i="2"/>
  <c r="U319" i="2" s="1"/>
  <c r="U324" i="2" s="1"/>
  <c r="S155" i="2"/>
  <c r="S319" i="2" s="1"/>
  <c r="S324" i="2" s="1"/>
  <c r="S355" i="2" s="1"/>
  <c r="H155" i="2"/>
  <c r="I155" i="2"/>
  <c r="I319" i="2" s="1"/>
  <c r="I324" i="2" s="1"/>
  <c r="AC155" i="2"/>
  <c r="AC319" i="2" s="1"/>
  <c r="AC324" i="2" s="1"/>
  <c r="AD155" i="2"/>
  <c r="AD319" i="2" s="1"/>
  <c r="AD324" i="2" s="1"/>
  <c r="P155" i="2"/>
  <c r="P319" i="2" s="1"/>
  <c r="P324" i="2" s="1"/>
  <c r="P355" i="2" s="1"/>
  <c r="R155" i="2"/>
  <c r="R319" i="2" s="1"/>
  <c r="R324" i="2" s="1"/>
  <c r="R355" i="2" s="1"/>
  <c r="Z155" i="2"/>
  <c r="Z319" i="2" s="1"/>
  <c r="Z324" i="2" s="1"/>
  <c r="X155" i="2"/>
  <c r="X319" i="2" s="1"/>
  <c r="X324" i="2" s="1"/>
  <c r="T155" i="2"/>
  <c r="T319" i="2" s="1"/>
  <c r="T324" i="2" s="1"/>
  <c r="T355" i="2" s="1"/>
  <c r="Y155" i="2"/>
  <c r="Y319" i="2" s="1"/>
  <c r="Y324" i="2" s="1"/>
  <c r="AB155" i="2"/>
  <c r="AB319" i="2" s="1"/>
  <c r="AB324" i="2" s="1"/>
  <c r="K361" i="2"/>
  <c r="O155" i="2"/>
  <c r="O319" i="2" s="1"/>
  <c r="O324" i="2" s="1"/>
  <c r="AF155" i="2"/>
  <c r="AF319" i="2" s="1"/>
  <c r="AF324" i="2" s="1"/>
  <c r="Q155" i="2"/>
  <c r="Q319" i="2" s="1"/>
  <c r="Q324" i="2" s="1"/>
  <c r="AA361" i="2"/>
  <c r="Z361" i="2"/>
  <c r="X361" i="2"/>
  <c r="P361" i="2"/>
  <c r="W361" i="2"/>
  <c r="AB361" i="2"/>
  <c r="H361" i="2"/>
  <c r="G361" i="2"/>
  <c r="N361" i="2"/>
  <c r="S361" i="2"/>
  <c r="V361" i="2"/>
  <c r="T361" i="2"/>
  <c r="L361" i="2"/>
  <c r="AC361" i="2"/>
  <c r="O361" i="2"/>
  <c r="U544" i="2"/>
  <c r="AD544" i="2"/>
  <c r="W544" i="2"/>
  <c r="AC544" i="2"/>
  <c r="AA544" i="2"/>
  <c r="M361" i="2"/>
  <c r="R601" i="2"/>
  <c r="R627" i="2" s="1"/>
  <c r="R576" i="2"/>
  <c r="T544" i="2"/>
  <c r="X544" i="2"/>
  <c r="E96" i="2"/>
  <c r="AB144" i="1"/>
  <c r="AC144" i="1" s="1"/>
  <c r="AC1" i="1" s="1"/>
  <c r="R571" i="2"/>
  <c r="R596" i="2"/>
  <c r="R622" i="2" s="1"/>
  <c r="AB544" i="2"/>
  <c r="V155" i="2"/>
  <c r="V319" i="2" s="1"/>
  <c r="V324" i="2" s="1"/>
  <c r="V355" i="2" s="1"/>
  <c r="Y544" i="2"/>
  <c r="U361" i="2"/>
  <c r="P601" i="2"/>
  <c r="P627" i="2" s="1"/>
  <c r="P576" i="2"/>
  <c r="Z544" i="2"/>
  <c r="S571" i="2"/>
  <c r="S596" i="2"/>
  <c r="S622" i="2" s="1"/>
  <c r="S576" i="2"/>
  <c r="S601" i="2"/>
  <c r="S627" i="2" s="1"/>
  <c r="P596" i="2"/>
  <c r="P622" i="2" s="1"/>
  <c r="P571" i="2"/>
  <c r="AE155" i="2"/>
  <c r="AE319" i="2" s="1"/>
  <c r="AE324" i="2" s="1"/>
  <c r="Y361" i="2"/>
  <c r="AE361" i="2"/>
  <c r="R361" i="2"/>
  <c r="Q576" i="2"/>
  <c r="Q601" i="2"/>
  <c r="Q627" i="2" s="1"/>
  <c r="AG172" i="2"/>
  <c r="AH172" i="2" s="1"/>
  <c r="F174" i="2"/>
  <c r="AG174" i="2" s="1"/>
  <c r="AH174" i="2" s="1"/>
  <c r="Q596" i="2"/>
  <c r="Q622" i="2" s="1"/>
  <c r="Q571" i="2"/>
  <c r="V544" i="2"/>
  <c r="AG136" i="2"/>
  <c r="AH136" i="2" s="1"/>
  <c r="N551" i="2"/>
  <c r="N613" i="2"/>
  <c r="N587" i="2"/>
  <c r="K155" i="2"/>
  <c r="K319" i="2" s="1"/>
  <c r="K324" i="2" s="1"/>
  <c r="K355" i="2" s="1"/>
  <c r="M155" i="2"/>
  <c r="M319" i="2" s="1"/>
  <c r="M324" i="2" s="1"/>
  <c r="M326" i="2" s="1"/>
  <c r="L155" i="2"/>
  <c r="L319" i="2" s="1"/>
  <c r="L324" i="2" s="1"/>
  <c r="L355" i="2" s="1"/>
  <c r="U542" i="2"/>
  <c r="U586" i="2" s="1"/>
  <c r="U612" i="2" s="1"/>
  <c r="U508" i="2"/>
  <c r="AG238" i="2"/>
  <c r="AH238" i="2" s="1"/>
  <c r="F239" i="2"/>
  <c r="AG200" i="2"/>
  <c r="AH200" i="2" s="1"/>
  <c r="F201" i="2"/>
  <c r="X542" i="2"/>
  <c r="X586" i="2" s="1"/>
  <c r="X612" i="2" s="1"/>
  <c r="X508" i="2"/>
  <c r="AD542" i="2"/>
  <c r="AD586" i="2" s="1"/>
  <c r="AD612" i="2" s="1"/>
  <c r="AD508" i="2"/>
  <c r="W542" i="2"/>
  <c r="W586" i="2" s="1"/>
  <c r="W612" i="2" s="1"/>
  <c r="W508" i="2"/>
  <c r="AA542" i="2"/>
  <c r="AA586" i="2" s="1"/>
  <c r="AA612" i="2" s="1"/>
  <c r="AA508" i="2"/>
  <c r="F504" i="2"/>
  <c r="AG124" i="2"/>
  <c r="AH124" i="2" s="1"/>
  <c r="F125" i="2"/>
  <c r="AG86" i="2"/>
  <c r="AH86" i="2" s="1"/>
  <c r="F522" i="2"/>
  <c r="AG522" i="2" s="1"/>
  <c r="AH522" i="2" s="1"/>
  <c r="F87" i="2"/>
  <c r="AG48" i="2"/>
  <c r="AH48" i="2" s="1"/>
  <c r="F49" i="2"/>
  <c r="J307" i="2"/>
  <c r="J322" i="2" s="1"/>
  <c r="N508" i="2"/>
  <c r="P551" i="2"/>
  <c r="O508" i="2"/>
  <c r="I508" i="2"/>
  <c r="AB542" i="2"/>
  <c r="AB586" i="2" s="1"/>
  <c r="AB612" i="2" s="1"/>
  <c r="AB508" i="2"/>
  <c r="AE517" i="2"/>
  <c r="AE508" i="2"/>
  <c r="Q508" i="2"/>
  <c r="V542" i="2"/>
  <c r="V586" i="2" s="1"/>
  <c r="V612" i="2" s="1"/>
  <c r="V508" i="2"/>
  <c r="P508" i="2"/>
  <c r="J193" i="2"/>
  <c r="J361" i="2" s="1"/>
  <c r="M508" i="2"/>
  <c r="Q551" i="2"/>
  <c r="AG9" i="2"/>
  <c r="AH9" i="2" s="1"/>
  <c r="F10" i="2"/>
  <c r="AG276" i="2"/>
  <c r="AH276" i="2" s="1"/>
  <c r="F277" i="2"/>
  <c r="J269" i="2"/>
  <c r="J321" i="2" s="1"/>
  <c r="AC542" i="2"/>
  <c r="AC586" i="2" s="1"/>
  <c r="AC612" i="2" s="1"/>
  <c r="AC508" i="2"/>
  <c r="R508" i="2"/>
  <c r="R551" i="2"/>
  <c r="H508" i="2"/>
  <c r="T542" i="2"/>
  <c r="T586" i="2" s="1"/>
  <c r="T612" i="2" s="1"/>
  <c r="T508" i="2"/>
  <c r="J320" i="2"/>
  <c r="K508" i="2"/>
  <c r="J506" i="2"/>
  <c r="AG131" i="2"/>
  <c r="L508" i="2"/>
  <c r="G508" i="2"/>
  <c r="AG162" i="2"/>
  <c r="AH162" i="2" s="1"/>
  <c r="F163" i="2"/>
  <c r="Z542" i="2"/>
  <c r="Z586" i="2" s="1"/>
  <c r="Z612" i="2" s="1"/>
  <c r="Z508" i="2"/>
  <c r="F585" i="2"/>
  <c r="F611" i="2"/>
  <c r="J155" i="2"/>
  <c r="J319" i="2" s="1"/>
  <c r="Y542" i="2"/>
  <c r="Y586" i="2" s="1"/>
  <c r="Y612" i="2" s="1"/>
  <c r="Y508" i="2"/>
  <c r="AF517" i="2"/>
  <c r="AF508" i="2"/>
  <c r="S508" i="2"/>
  <c r="AG506" i="2" l="1"/>
  <c r="AH506" i="2" s="1"/>
  <c r="H319" i="2"/>
  <c r="H324" i="2" s="1"/>
  <c r="H326" i="2" s="1"/>
  <c r="T517" i="2"/>
  <c r="AC517" i="2"/>
  <c r="Y517" i="2"/>
  <c r="AD517" i="2"/>
  <c r="AB517" i="2"/>
  <c r="AA517" i="2"/>
  <c r="V517" i="2"/>
  <c r="U517" i="2"/>
  <c r="W517" i="2"/>
  <c r="X517" i="2"/>
  <c r="Z517" i="2"/>
  <c r="H96" i="2"/>
  <c r="I96" i="2"/>
  <c r="AD96" i="2"/>
  <c r="Y96" i="2"/>
  <c r="W96" i="2"/>
  <c r="K96" i="2"/>
  <c r="R96" i="2"/>
  <c r="N96" i="2"/>
  <c r="AE96" i="2"/>
  <c r="S96" i="2"/>
  <c r="AB96" i="2"/>
  <c r="AC96" i="2"/>
  <c r="F96" i="2"/>
  <c r="U96" i="2"/>
  <c r="G96" i="2"/>
  <c r="AA96" i="2"/>
  <c r="X96" i="2"/>
  <c r="P96" i="2"/>
  <c r="E524" i="2"/>
  <c r="E526" i="2" s="1"/>
  <c r="J96" i="2"/>
  <c r="M96" i="2"/>
  <c r="V96" i="2"/>
  <c r="Q96" i="2"/>
  <c r="Z96" i="2"/>
  <c r="E98" i="2"/>
  <c r="E117" i="2" s="1"/>
  <c r="E118" i="2" s="1"/>
  <c r="L96" i="2"/>
  <c r="AF96" i="2"/>
  <c r="T96" i="2"/>
  <c r="O96" i="2"/>
  <c r="L326" i="2"/>
  <c r="T326" i="2"/>
  <c r="M355" i="2"/>
  <c r="J508" i="2"/>
  <c r="W355" i="2"/>
  <c r="V326" i="2"/>
  <c r="S326" i="2"/>
  <c r="N326" i="2"/>
  <c r="P326" i="2"/>
  <c r="G355" i="2"/>
  <c r="K326" i="2"/>
  <c r="R326" i="2"/>
  <c r="J324" i="2"/>
  <c r="J326" i="2" s="1"/>
  <c r="U355" i="2"/>
  <c r="U326" i="2"/>
  <c r="AF355" i="2"/>
  <c r="AF326" i="2"/>
  <c r="Z326" i="2"/>
  <c r="Z355" i="2"/>
  <c r="AG10" i="2"/>
  <c r="AH10" i="2" s="1"/>
  <c r="F40" i="2"/>
  <c r="AG40" i="2" s="1"/>
  <c r="AH40" i="2" s="1"/>
  <c r="AG87" i="2"/>
  <c r="AH87" i="2" s="1"/>
  <c r="I355" i="2"/>
  <c r="I326" i="2"/>
  <c r="S542" i="2"/>
  <c r="S531" i="2"/>
  <c r="S517" i="2"/>
  <c r="AD326" i="2"/>
  <c r="AD355" i="2"/>
  <c r="F551" i="2"/>
  <c r="AG504" i="2"/>
  <c r="F508" i="2"/>
  <c r="Q355" i="2"/>
  <c r="Q326" i="2"/>
  <c r="O355" i="2"/>
  <c r="O326" i="2"/>
  <c r="AG201" i="2"/>
  <c r="AH201" i="2" s="1"/>
  <c r="F231" i="2"/>
  <c r="AA355" i="2"/>
  <c r="AA326" i="2"/>
  <c r="X355" i="2"/>
  <c r="X326" i="2"/>
  <c r="AG163" i="2"/>
  <c r="AH163" i="2" s="1"/>
  <c r="F193" i="2"/>
  <c r="AH131" i="2"/>
  <c r="F307" i="2"/>
  <c r="AG277" i="2"/>
  <c r="AH277" i="2" s="1"/>
  <c r="F79" i="2"/>
  <c r="AG49" i="2"/>
  <c r="AH49" i="2" s="1"/>
  <c r="AE326" i="2"/>
  <c r="AE355" i="2"/>
  <c r="Y355" i="2"/>
  <c r="Y326" i="2"/>
  <c r="AC355" i="2"/>
  <c r="AC326" i="2"/>
  <c r="AG125" i="2"/>
  <c r="AH125" i="2" s="1"/>
  <c r="F155" i="2"/>
  <c r="AB355" i="2"/>
  <c r="AB326" i="2"/>
  <c r="AG239" i="2"/>
  <c r="AH239" i="2" s="1"/>
  <c r="F269" i="2"/>
  <c r="H355" i="2" l="1"/>
  <c r="M524" i="2"/>
  <c r="M98" i="2"/>
  <c r="M117" i="2" s="1"/>
  <c r="M370" i="2" s="1"/>
  <c r="W98" i="2"/>
  <c r="W117" i="2" s="1"/>
  <c r="W370" i="2" s="1"/>
  <c r="W524" i="2"/>
  <c r="Z98" i="2"/>
  <c r="Z117" i="2" s="1"/>
  <c r="Z370" i="2" s="1"/>
  <c r="Z524" i="2"/>
  <c r="J98" i="2"/>
  <c r="J117" i="2" s="1"/>
  <c r="J370" i="2" s="1"/>
  <c r="J524" i="2"/>
  <c r="AA98" i="2"/>
  <c r="AA117" i="2" s="1"/>
  <c r="AA370" i="2" s="1"/>
  <c r="AA524" i="2"/>
  <c r="AC524" i="2"/>
  <c r="AC98" i="2"/>
  <c r="AC117" i="2" s="1"/>
  <c r="AC370" i="2" s="1"/>
  <c r="N98" i="2"/>
  <c r="N117" i="2" s="1"/>
  <c r="N370" i="2" s="1"/>
  <c r="N524" i="2"/>
  <c r="Y98" i="2"/>
  <c r="Y117" i="2" s="1"/>
  <c r="Y370" i="2" s="1"/>
  <c r="Y524" i="2"/>
  <c r="X98" i="2"/>
  <c r="X117" i="2" s="1"/>
  <c r="X370" i="2" s="1"/>
  <c r="X524" i="2"/>
  <c r="H98" i="2"/>
  <c r="H117" i="2" s="1"/>
  <c r="H370" i="2" s="1"/>
  <c r="H524" i="2"/>
  <c r="AF98" i="2"/>
  <c r="AF117" i="2" s="1"/>
  <c r="AF370" i="2" s="1"/>
  <c r="AF524" i="2"/>
  <c r="AF623" i="2" s="1"/>
  <c r="AF624" i="2" s="1"/>
  <c r="Q98" i="2"/>
  <c r="Q117" i="2" s="1"/>
  <c r="Q370" i="2" s="1"/>
  <c r="Q524" i="2"/>
  <c r="G98" i="2"/>
  <c r="G117" i="2" s="1"/>
  <c r="G370" i="2" s="1"/>
  <c r="G524" i="2"/>
  <c r="AB98" i="2"/>
  <c r="AB117" i="2" s="1"/>
  <c r="AB370" i="2" s="1"/>
  <c r="AB524" i="2"/>
  <c r="R98" i="2"/>
  <c r="R117" i="2" s="1"/>
  <c r="R370" i="2" s="1"/>
  <c r="R524" i="2"/>
  <c r="AD98" i="2"/>
  <c r="AD117" i="2" s="1"/>
  <c r="AD370" i="2" s="1"/>
  <c r="AD524" i="2"/>
  <c r="O98" i="2"/>
  <c r="O117" i="2" s="1"/>
  <c r="O370" i="2" s="1"/>
  <c r="O524" i="2"/>
  <c r="E328" i="2"/>
  <c r="F524" i="2"/>
  <c r="AG96" i="2"/>
  <c r="AH96" i="2" s="1"/>
  <c r="F98" i="2"/>
  <c r="AE524" i="2"/>
  <c r="AE623" i="2" s="1"/>
  <c r="AE624" i="2" s="1"/>
  <c r="AE98" i="2"/>
  <c r="AE117" i="2" s="1"/>
  <c r="AE370" i="2" s="1"/>
  <c r="T98" i="2"/>
  <c r="T117" i="2" s="1"/>
  <c r="T370" i="2" s="1"/>
  <c r="T524" i="2"/>
  <c r="L524" i="2"/>
  <c r="L98" i="2"/>
  <c r="L117" i="2" s="1"/>
  <c r="L370" i="2" s="1"/>
  <c r="V524" i="2"/>
  <c r="V98" i="2"/>
  <c r="V117" i="2" s="1"/>
  <c r="V370" i="2" s="1"/>
  <c r="P98" i="2"/>
  <c r="P117" i="2" s="1"/>
  <c r="P370" i="2" s="1"/>
  <c r="P524" i="2"/>
  <c r="U98" i="2"/>
  <c r="U117" i="2" s="1"/>
  <c r="U370" i="2" s="1"/>
  <c r="U524" i="2"/>
  <c r="S98" i="2"/>
  <c r="S117" i="2" s="1"/>
  <c r="S370" i="2" s="1"/>
  <c r="S524" i="2"/>
  <c r="K98" i="2"/>
  <c r="K117" i="2" s="1"/>
  <c r="K370" i="2" s="1"/>
  <c r="K524" i="2"/>
  <c r="I98" i="2"/>
  <c r="I117" i="2" s="1"/>
  <c r="I370" i="2" s="1"/>
  <c r="I524" i="2"/>
  <c r="N545" i="2"/>
  <c r="J355" i="2"/>
  <c r="F321" i="2"/>
  <c r="AG321" i="2" s="1"/>
  <c r="AH321" i="2" s="1"/>
  <c r="AG269" i="2"/>
  <c r="AH269" i="2" s="1"/>
  <c r="F80" i="2"/>
  <c r="AG79" i="2"/>
  <c r="AH79" i="2" s="1"/>
  <c r="AG307" i="2"/>
  <c r="AH307" i="2" s="1"/>
  <c r="F322" i="2"/>
  <c r="AG322" i="2" s="1"/>
  <c r="AH322" i="2" s="1"/>
  <c r="AH504" i="2"/>
  <c r="AG508" i="2"/>
  <c r="AH508" i="2" s="1"/>
  <c r="AG231" i="2"/>
  <c r="AH231" i="2" s="1"/>
  <c r="F320" i="2"/>
  <c r="AG320" i="2" s="1"/>
  <c r="AH320" i="2" s="1"/>
  <c r="AG155" i="2"/>
  <c r="AH155" i="2" s="1"/>
  <c r="F319" i="2"/>
  <c r="AG193" i="2"/>
  <c r="AH193" i="2" s="1"/>
  <c r="F361" i="2"/>
  <c r="S586" i="2"/>
  <c r="S562" i="2"/>
  <c r="H553" i="2" l="1"/>
  <c r="J553" i="2"/>
  <c r="I553" i="2"/>
  <c r="G553" i="2"/>
  <c r="L369" i="2"/>
  <c r="AE369" i="2"/>
  <c r="AC369" i="2"/>
  <c r="V369" i="2"/>
  <c r="M369" i="2"/>
  <c r="I369" i="2"/>
  <c r="S369" i="2"/>
  <c r="P369" i="2"/>
  <c r="AD369" i="2"/>
  <c r="AB369" i="2"/>
  <c r="Q369" i="2"/>
  <c r="H369" i="2"/>
  <c r="Y369" i="2"/>
  <c r="J369" i="2"/>
  <c r="W369" i="2"/>
  <c r="K369" i="2"/>
  <c r="U369" i="2"/>
  <c r="T369" i="2"/>
  <c r="O369" i="2"/>
  <c r="R369" i="2"/>
  <c r="G369" i="2"/>
  <c r="AF369" i="2"/>
  <c r="X369" i="2"/>
  <c r="N369" i="2"/>
  <c r="AA369" i="2"/>
  <c r="Z369" i="2"/>
  <c r="L118" i="2"/>
  <c r="L372" i="2"/>
  <c r="AE328" i="2"/>
  <c r="AE388" i="2" s="1"/>
  <c r="AE372" i="2"/>
  <c r="AC328" i="2"/>
  <c r="AC388" i="2" s="1"/>
  <c r="AC372" i="2"/>
  <c r="V328" i="2"/>
  <c r="V388" i="2" s="1"/>
  <c r="V372" i="2"/>
  <c r="M118" i="2"/>
  <c r="M372" i="2"/>
  <c r="I118" i="2"/>
  <c r="I372" i="2"/>
  <c r="S377" i="2"/>
  <c r="S372" i="2"/>
  <c r="P364" i="2"/>
  <c r="P372" i="2"/>
  <c r="AD371" i="2"/>
  <c r="AD372" i="2"/>
  <c r="AB366" i="2"/>
  <c r="AB372" i="2"/>
  <c r="Q378" i="2"/>
  <c r="Q372" i="2"/>
  <c r="H118" i="2"/>
  <c r="H372" i="2"/>
  <c r="Y328" i="2"/>
  <c r="Y388" i="2" s="1"/>
  <c r="Y372" i="2"/>
  <c r="J118" i="2"/>
  <c r="J372" i="2"/>
  <c r="W328" i="2"/>
  <c r="W388" i="2" s="1"/>
  <c r="W372" i="2"/>
  <c r="K118" i="2"/>
  <c r="K372" i="2"/>
  <c r="U328" i="2"/>
  <c r="U388" i="2" s="1"/>
  <c r="U372" i="2"/>
  <c r="T328" i="2"/>
  <c r="T388" i="2" s="1"/>
  <c r="T372" i="2"/>
  <c r="O118" i="2"/>
  <c r="O372" i="2"/>
  <c r="R328" i="2"/>
  <c r="R388" i="2" s="1"/>
  <c r="R372" i="2"/>
  <c r="G118" i="2"/>
  <c r="G372" i="2"/>
  <c r="AF328" i="2"/>
  <c r="AF388" i="2" s="1"/>
  <c r="AF372" i="2"/>
  <c r="X328" i="2"/>
  <c r="X388" i="2" s="1"/>
  <c r="X372" i="2"/>
  <c r="N118" i="2"/>
  <c r="N372" i="2"/>
  <c r="AA376" i="2"/>
  <c r="AA372" i="2"/>
  <c r="Z375" i="2"/>
  <c r="Z372" i="2"/>
  <c r="L328" i="2"/>
  <c r="L388" i="2" s="1"/>
  <c r="J328" i="2"/>
  <c r="J388" i="2" s="1"/>
  <c r="M328" i="2"/>
  <c r="M330" i="2" s="1"/>
  <c r="K328" i="2"/>
  <c r="K388" i="2" s="1"/>
  <c r="O328" i="2"/>
  <c r="O388" i="2" s="1"/>
  <c r="N371" i="2"/>
  <c r="I362" i="2"/>
  <c r="H328" i="2"/>
  <c r="H388" i="2" s="1"/>
  <c r="G328" i="2"/>
  <c r="G388" i="2" s="1"/>
  <c r="Y371" i="2"/>
  <c r="AF380" i="2"/>
  <c r="M376" i="2"/>
  <c r="X377" i="2"/>
  <c r="X381" i="2"/>
  <c r="X366" i="2"/>
  <c r="X390" i="2"/>
  <c r="X368" i="2"/>
  <c r="X379" i="2"/>
  <c r="N367" i="2"/>
  <c r="X376" i="2"/>
  <c r="X373" i="2"/>
  <c r="X378" i="2"/>
  <c r="X364" i="2"/>
  <c r="Z376" i="2"/>
  <c r="N366" i="2"/>
  <c r="X371" i="2"/>
  <c r="N362" i="2"/>
  <c r="AA371" i="2"/>
  <c r="AA377" i="2"/>
  <c r="X365" i="2"/>
  <c r="X380" i="2"/>
  <c r="X362" i="2"/>
  <c r="X375" i="2"/>
  <c r="J374" i="2"/>
  <c r="J366" i="2"/>
  <c r="W365" i="2"/>
  <c r="H374" i="2"/>
  <c r="J379" i="2"/>
  <c r="J368" i="2"/>
  <c r="J381" i="2"/>
  <c r="Y373" i="2"/>
  <c r="Y379" i="2"/>
  <c r="Y366" i="2"/>
  <c r="Y365" i="2"/>
  <c r="J380" i="2"/>
  <c r="H364" i="2"/>
  <c r="Y367" i="2"/>
  <c r="Y381" i="2"/>
  <c r="W371" i="2"/>
  <c r="M373" i="2"/>
  <c r="M375" i="2"/>
  <c r="G381" i="2"/>
  <c r="O368" i="2"/>
  <c r="R378" i="2"/>
  <c r="R365" i="2"/>
  <c r="M381" i="2"/>
  <c r="M364" i="2"/>
  <c r="J365" i="2"/>
  <c r="J375" i="2"/>
  <c r="W390" i="2"/>
  <c r="W368" i="2"/>
  <c r="W377" i="2"/>
  <c r="Y364" i="2"/>
  <c r="H380" i="2"/>
  <c r="J371" i="2"/>
  <c r="J367" i="2"/>
  <c r="Y380" i="2"/>
  <c r="Y375" i="2"/>
  <c r="M378" i="2"/>
  <c r="M374" i="2"/>
  <c r="M367" i="2"/>
  <c r="M371" i="2"/>
  <c r="G374" i="2"/>
  <c r="M368" i="2"/>
  <c r="AF377" i="2"/>
  <c r="J362" i="2"/>
  <c r="J373" i="2"/>
  <c r="J377" i="2"/>
  <c r="J364" i="2"/>
  <c r="J376" i="2"/>
  <c r="J390" i="2"/>
  <c r="W362" i="2"/>
  <c r="W378" i="2"/>
  <c r="W376" i="2"/>
  <c r="Y362" i="2"/>
  <c r="W366" i="2"/>
  <c r="J378" i="2"/>
  <c r="H378" i="2"/>
  <c r="Y376" i="2"/>
  <c r="W379" i="2"/>
  <c r="Y390" i="2"/>
  <c r="W364" i="2"/>
  <c r="W367" i="2"/>
  <c r="W380" i="2"/>
  <c r="Y374" i="2"/>
  <c r="Y368" i="2"/>
  <c r="Y378" i="2"/>
  <c r="Y377" i="2"/>
  <c r="M380" i="2"/>
  <c r="O379" i="2"/>
  <c r="R368" i="2"/>
  <c r="R364" i="2"/>
  <c r="M365" i="2"/>
  <c r="AF366" i="2"/>
  <c r="AF362" i="2"/>
  <c r="AB380" i="2"/>
  <c r="O390" i="2"/>
  <c r="M390" i="2"/>
  <c r="M377" i="2"/>
  <c r="M366" i="2"/>
  <c r="O365" i="2"/>
  <c r="M362" i="2"/>
  <c r="M379" i="2"/>
  <c r="AF368" i="2"/>
  <c r="AF375" i="2"/>
  <c r="AD362" i="2"/>
  <c r="AD381" i="2"/>
  <c r="Q376" i="2"/>
  <c r="AB378" i="2"/>
  <c r="AC390" i="2"/>
  <c r="AB373" i="2"/>
  <c r="AB365" i="2"/>
  <c r="AD378" i="2"/>
  <c r="AC375" i="2"/>
  <c r="Q364" i="2"/>
  <c r="K365" i="2"/>
  <c r="Q377" i="2"/>
  <c r="K378" i="2"/>
  <c r="AC367" i="2"/>
  <c r="AD376" i="2"/>
  <c r="AD380" i="2"/>
  <c r="L379" i="2"/>
  <c r="H390" i="2"/>
  <c r="H375" i="2"/>
  <c r="G378" i="2"/>
  <c r="L362" i="2"/>
  <c r="G365" i="2"/>
  <c r="G390" i="2"/>
  <c r="L380" i="2"/>
  <c r="O374" i="2"/>
  <c r="L375" i="2"/>
  <c r="O381" i="2"/>
  <c r="O367" i="2"/>
  <c r="R371" i="2"/>
  <c r="O364" i="2"/>
  <c r="L367" i="2"/>
  <c r="L368" i="2"/>
  <c r="H362" i="2"/>
  <c r="G376" i="2"/>
  <c r="AF371" i="2"/>
  <c r="AF364" i="2"/>
  <c r="AC366" i="2"/>
  <c r="AE379" i="2"/>
  <c r="AF374" i="2"/>
  <c r="AC381" i="2"/>
  <c r="AC364" i="2"/>
  <c r="AC362" i="2"/>
  <c r="AC380" i="2"/>
  <c r="AF379" i="2"/>
  <c r="T374" i="2"/>
  <c r="U374" i="2"/>
  <c r="AE368" i="2"/>
  <c r="AF390" i="2"/>
  <c r="AF373" i="2"/>
  <c r="AF376" i="2"/>
  <c r="AC377" i="2"/>
  <c r="L364" i="2"/>
  <c r="O371" i="2"/>
  <c r="R377" i="2"/>
  <c r="O362" i="2"/>
  <c r="H377" i="2"/>
  <c r="H366" i="2"/>
  <c r="H365" i="2"/>
  <c r="G379" i="2"/>
  <c r="O377" i="2"/>
  <c r="G377" i="2"/>
  <c r="O380" i="2"/>
  <c r="G368" i="2"/>
  <c r="G367" i="2"/>
  <c r="G373" i="2"/>
  <c r="L366" i="2"/>
  <c r="G366" i="2"/>
  <c r="L371" i="2"/>
  <c r="H368" i="2"/>
  <c r="G362" i="2"/>
  <c r="L376" i="2"/>
  <c r="T364" i="2"/>
  <c r="AF381" i="2"/>
  <c r="T367" i="2"/>
  <c r="AE365" i="2"/>
  <c r="AE375" i="2"/>
  <c r="T365" i="2"/>
  <c r="AE366" i="2"/>
  <c r="AE378" i="2"/>
  <c r="V390" i="2"/>
  <c r="AF378" i="2"/>
  <c r="U376" i="2"/>
  <c r="V377" i="2"/>
  <c r="H376" i="2"/>
  <c r="R390" i="2"/>
  <c r="O375" i="2"/>
  <c r="L378" i="2"/>
  <c r="R379" i="2"/>
  <c r="R366" i="2"/>
  <c r="O378" i="2"/>
  <c r="H381" i="2"/>
  <c r="H367" i="2"/>
  <c r="R374" i="2"/>
  <c r="O366" i="2"/>
  <c r="R367" i="2"/>
  <c r="H371" i="2"/>
  <c r="R375" i="2"/>
  <c r="R380" i="2"/>
  <c r="K373" i="2"/>
  <c r="O373" i="2"/>
  <c r="R381" i="2"/>
  <c r="H379" i="2"/>
  <c r="K375" i="2"/>
  <c r="L381" i="2"/>
  <c r="R376" i="2"/>
  <c r="R373" i="2"/>
  <c r="G371" i="2"/>
  <c r="H373" i="2"/>
  <c r="R362" i="2"/>
  <c r="G364" i="2"/>
  <c r="G380" i="2"/>
  <c r="G375" i="2"/>
  <c r="O376" i="2"/>
  <c r="T376" i="2"/>
  <c r="AC365" i="2"/>
  <c r="AC368" i="2"/>
  <c r="AF367" i="2"/>
  <c r="T368" i="2"/>
  <c r="AC373" i="2"/>
  <c r="T371" i="2"/>
  <c r="U375" i="2"/>
  <c r="AC376" i="2"/>
  <c r="AC374" i="2"/>
  <c r="AF365" i="2"/>
  <c r="AC378" i="2"/>
  <c r="S365" i="2"/>
  <c r="P373" i="2"/>
  <c r="I381" i="2"/>
  <c r="S364" i="2"/>
  <c r="AD328" i="2"/>
  <c r="AD379" i="2"/>
  <c r="AD364" i="2"/>
  <c r="AD375" i="2"/>
  <c r="AD368" i="2"/>
  <c r="AD367" i="2"/>
  <c r="AD365" i="2"/>
  <c r="AD374" i="2"/>
  <c r="AD366" i="2"/>
  <c r="AD377" i="2"/>
  <c r="AD373" i="2"/>
  <c r="AD390" i="2"/>
  <c r="AB328" i="2"/>
  <c r="AB362" i="2"/>
  <c r="AB374" i="2"/>
  <c r="AB376" i="2"/>
  <c r="AB368" i="2"/>
  <c r="AB375" i="2"/>
  <c r="AB377" i="2"/>
  <c r="AB390" i="2"/>
  <c r="AB381" i="2"/>
  <c r="AB379" i="2"/>
  <c r="AB367" i="2"/>
  <c r="AB371" i="2"/>
  <c r="AB364" i="2"/>
  <c r="Q328" i="2"/>
  <c r="Q368" i="2"/>
  <c r="Q362" i="2"/>
  <c r="Q373" i="2"/>
  <c r="Q379" i="2"/>
  <c r="Q374" i="2"/>
  <c r="Q367" i="2"/>
  <c r="Q375" i="2"/>
  <c r="Q390" i="2"/>
  <c r="Q381" i="2"/>
  <c r="Q371" i="2"/>
  <c r="Q366" i="2"/>
  <c r="Q365" i="2"/>
  <c r="Q380" i="2"/>
  <c r="P380" i="2"/>
  <c r="E330" i="2"/>
  <c r="E388" i="2"/>
  <c r="E392" i="2" s="1"/>
  <c r="N328" i="2"/>
  <c r="N380" i="2"/>
  <c r="N364" i="2"/>
  <c r="N375" i="2"/>
  <c r="N373" i="2"/>
  <c r="N374" i="2"/>
  <c r="N377" i="2"/>
  <c r="N379" i="2"/>
  <c r="N390" i="2"/>
  <c r="N365" i="2"/>
  <c r="N378" i="2"/>
  <c r="N368" i="2"/>
  <c r="N376" i="2"/>
  <c r="N381" i="2"/>
  <c r="AA328" i="2"/>
  <c r="AA368" i="2"/>
  <c r="AA380" i="2"/>
  <c r="AA367" i="2"/>
  <c r="AA381" i="2"/>
  <c r="AA364" i="2"/>
  <c r="AA375" i="2"/>
  <c r="AA378" i="2"/>
  <c r="AA373" i="2"/>
  <c r="AA365" i="2"/>
  <c r="AA374" i="2"/>
  <c r="AA366" i="2"/>
  <c r="AA379" i="2"/>
  <c r="AA362" i="2"/>
  <c r="AA390" i="2"/>
  <c r="Z328" i="2"/>
  <c r="Z374" i="2"/>
  <c r="Z362" i="2"/>
  <c r="Z390" i="2"/>
  <c r="Z377" i="2"/>
  <c r="Z371" i="2"/>
  <c r="Z373" i="2"/>
  <c r="Z367" i="2"/>
  <c r="Z378" i="2"/>
  <c r="Z368" i="2"/>
  <c r="Z364" i="2"/>
  <c r="Z365" i="2"/>
  <c r="Z366" i="2"/>
  <c r="Z381" i="2"/>
  <c r="Z379" i="2"/>
  <c r="Z380" i="2"/>
  <c r="I328" i="2"/>
  <c r="I377" i="2"/>
  <c r="I374" i="2"/>
  <c r="I390" i="2"/>
  <c r="I378" i="2"/>
  <c r="I364" i="2"/>
  <c r="I376" i="2"/>
  <c r="I367" i="2"/>
  <c r="I371" i="2"/>
  <c r="I368" i="2"/>
  <c r="I373" i="2"/>
  <c r="I375" i="2"/>
  <c r="I379" i="2"/>
  <c r="I366" i="2"/>
  <c r="S328" i="2"/>
  <c r="S376" i="2"/>
  <c r="S373" i="2"/>
  <c r="S362" i="2"/>
  <c r="S368" i="2"/>
  <c r="S367" i="2"/>
  <c r="S374" i="2"/>
  <c r="S371" i="2"/>
  <c r="S379" i="2"/>
  <c r="S378" i="2"/>
  <c r="S375" i="2"/>
  <c r="S390" i="2"/>
  <c r="S380" i="2"/>
  <c r="P328" i="2"/>
  <c r="P374" i="2"/>
  <c r="P375" i="2"/>
  <c r="P378" i="2"/>
  <c r="P362" i="2"/>
  <c r="P371" i="2"/>
  <c r="P390" i="2"/>
  <c r="P368" i="2"/>
  <c r="P376" i="2"/>
  <c r="P381" i="2"/>
  <c r="P379" i="2"/>
  <c r="L526" i="2"/>
  <c r="P367" i="2"/>
  <c r="X623" i="2"/>
  <c r="X624" i="2" s="1"/>
  <c r="X553" i="2"/>
  <c r="W553" i="2"/>
  <c r="W623" i="2"/>
  <c r="W624" i="2" s="1"/>
  <c r="P365" i="2"/>
  <c r="I380" i="2"/>
  <c r="I365" i="2"/>
  <c r="P366" i="2"/>
  <c r="P377" i="2"/>
  <c r="S366" i="2"/>
  <c r="S381" i="2"/>
  <c r="K526" i="2"/>
  <c r="U553" i="2"/>
  <c r="U623" i="2"/>
  <c r="U624" i="2" s="1"/>
  <c r="T623" i="2"/>
  <c r="T624" i="2" s="1"/>
  <c r="T553" i="2"/>
  <c r="AG98" i="2"/>
  <c r="AH98" i="2" s="1"/>
  <c r="F117" i="2"/>
  <c r="F370" i="2" s="1"/>
  <c r="AG370" i="2" s="1"/>
  <c r="AH370" i="2" s="1"/>
  <c r="K366" i="2"/>
  <c r="K367" i="2"/>
  <c r="K380" i="2"/>
  <c r="K379" i="2"/>
  <c r="K377" i="2"/>
  <c r="V368" i="2"/>
  <c r="AE362" i="2"/>
  <c r="U364" i="2"/>
  <c r="U377" i="2"/>
  <c r="V373" i="2"/>
  <c r="U381" i="2"/>
  <c r="T381" i="2"/>
  <c r="V374" i="2"/>
  <c r="V364" i="2"/>
  <c r="U390" i="2"/>
  <c r="V365" i="2"/>
  <c r="T366" i="2"/>
  <c r="AE390" i="2"/>
  <c r="AE380" i="2"/>
  <c r="O526" i="2"/>
  <c r="R553" i="2"/>
  <c r="R526" i="2"/>
  <c r="G526" i="2"/>
  <c r="Y623" i="2"/>
  <c r="Y624" i="2" s="1"/>
  <c r="Y553" i="2"/>
  <c r="J526" i="2"/>
  <c r="K381" i="2"/>
  <c r="AE364" i="2"/>
  <c r="AE367" i="2"/>
  <c r="V378" i="2"/>
  <c r="V371" i="2"/>
  <c r="AE381" i="2"/>
  <c r="V367" i="2"/>
  <c r="T373" i="2"/>
  <c r="T378" i="2"/>
  <c r="U378" i="2"/>
  <c r="V376" i="2"/>
  <c r="AE376" i="2"/>
  <c r="U373" i="2"/>
  <c r="X367" i="2"/>
  <c r="AC371" i="2"/>
  <c r="U368" i="2"/>
  <c r="W373" i="2"/>
  <c r="U379" i="2"/>
  <c r="V379" i="2"/>
  <c r="AE377" i="2"/>
  <c r="X374" i="2"/>
  <c r="T375" i="2"/>
  <c r="H526" i="2"/>
  <c r="AC553" i="2"/>
  <c r="AC623" i="2"/>
  <c r="AC624" i="2" s="1"/>
  <c r="V553" i="2"/>
  <c r="V623" i="2"/>
  <c r="V624" i="2" s="1"/>
  <c r="K376" i="2"/>
  <c r="K362" i="2"/>
  <c r="K368" i="2"/>
  <c r="I526" i="2"/>
  <c r="S553" i="2"/>
  <c r="P553" i="2"/>
  <c r="P526" i="2"/>
  <c r="F553" i="2"/>
  <c r="AG524" i="2"/>
  <c r="AH524" i="2" s="1"/>
  <c r="F526" i="2"/>
  <c r="K371" i="2"/>
  <c r="K390" i="2"/>
  <c r="L377" i="2"/>
  <c r="L374" i="2"/>
  <c r="K364" i="2"/>
  <c r="L365" i="2"/>
  <c r="L390" i="2"/>
  <c r="L373" i="2"/>
  <c r="K374" i="2"/>
  <c r="T379" i="2"/>
  <c r="V375" i="2"/>
  <c r="T380" i="2"/>
  <c r="U371" i="2"/>
  <c r="U366" i="2"/>
  <c r="U365" i="2"/>
  <c r="U380" i="2"/>
  <c r="V381" i="2"/>
  <c r="U362" i="2"/>
  <c r="V362" i="2"/>
  <c r="AC379" i="2"/>
  <c r="W374" i="2"/>
  <c r="U367" i="2"/>
  <c r="V366" i="2"/>
  <c r="T362" i="2"/>
  <c r="AE373" i="2"/>
  <c r="T377" i="2"/>
  <c r="W381" i="2"/>
  <c r="AE371" i="2"/>
  <c r="T390" i="2"/>
  <c r="V380" i="2"/>
  <c r="AE374" i="2"/>
  <c r="W375" i="2"/>
  <c r="AD553" i="2"/>
  <c r="AD623" i="2"/>
  <c r="AD624" i="2" s="1"/>
  <c r="AB623" i="2"/>
  <c r="AB624" i="2" s="1"/>
  <c r="AB553" i="2"/>
  <c r="Q553" i="2"/>
  <c r="Q526" i="2"/>
  <c r="N553" i="2"/>
  <c r="N526" i="2"/>
  <c r="AA623" i="2"/>
  <c r="AA624" i="2" s="1"/>
  <c r="AA553" i="2"/>
  <c r="Z553" i="2"/>
  <c r="Z623" i="2"/>
  <c r="Z624" i="2" s="1"/>
  <c r="M526" i="2"/>
  <c r="N601" i="2"/>
  <c r="N576" i="2"/>
  <c r="AG361" i="2"/>
  <c r="AH361" i="2" s="1"/>
  <c r="S612" i="2"/>
  <c r="AG319" i="2"/>
  <c r="AH319" i="2" s="1"/>
  <c r="F324" i="2"/>
  <c r="M516" i="2" l="1"/>
  <c r="M515" i="2"/>
  <c r="G516" i="2"/>
  <c r="G545" i="2" s="1"/>
  <c r="G515" i="2"/>
  <c r="H516" i="2"/>
  <c r="H545" i="2" s="1"/>
  <c r="H515" i="2"/>
  <c r="H544" i="2" s="1"/>
  <c r="L516" i="2"/>
  <c r="L515" i="2"/>
  <c r="J516" i="2"/>
  <c r="J545" i="2" s="1"/>
  <c r="J515" i="2"/>
  <c r="J544" i="2" s="1"/>
  <c r="K516" i="2"/>
  <c r="K515" i="2"/>
  <c r="I516" i="2"/>
  <c r="I545" i="2" s="1"/>
  <c r="I515" i="2"/>
  <c r="I544" i="2" s="1"/>
  <c r="I571" i="2" s="1"/>
  <c r="Q542" i="2"/>
  <c r="Q562" i="2" s="1"/>
  <c r="Q613" i="2" s="1"/>
  <c r="L392" i="2"/>
  <c r="G16" i="4" s="1"/>
  <c r="U330" i="2"/>
  <c r="U572" i="2" s="1"/>
  <c r="U573" i="2" s="1"/>
  <c r="U392" i="2"/>
  <c r="P542" i="2"/>
  <c r="P562" i="2" s="1"/>
  <c r="AC330" i="2"/>
  <c r="AC572" i="2" s="1"/>
  <c r="AC573" i="2" s="1"/>
  <c r="W330" i="2"/>
  <c r="W331" i="2" s="1"/>
  <c r="Y330" i="2"/>
  <c r="Y577" i="2" s="1"/>
  <c r="Y578" i="2" s="1"/>
  <c r="T392" i="2"/>
  <c r="V330" i="2"/>
  <c r="V572" i="2" s="1"/>
  <c r="V573" i="2" s="1"/>
  <c r="X330" i="2"/>
  <c r="X577" i="2" s="1"/>
  <c r="X578" i="2" s="1"/>
  <c r="R542" i="2"/>
  <c r="R562" i="2" s="1"/>
  <c r="R613" i="2" s="1"/>
  <c r="AH363" i="2"/>
  <c r="F369" i="2"/>
  <c r="AG369" i="2" s="1"/>
  <c r="AH369" i="2" s="1"/>
  <c r="R392" i="2"/>
  <c r="G22" i="4" s="1"/>
  <c r="T330" i="2"/>
  <c r="T577" i="2" s="1"/>
  <c r="T578" i="2" s="1"/>
  <c r="F118" i="2"/>
  <c r="AG118" i="2" s="1"/>
  <c r="AH118" i="2" s="1"/>
  <c r="F372" i="2"/>
  <c r="AG372" i="2" s="1"/>
  <c r="AH372" i="2" s="1"/>
  <c r="AE330" i="2"/>
  <c r="AE572" i="2" s="1"/>
  <c r="AE573" i="2" s="1"/>
  <c r="AF330" i="2"/>
  <c r="AF331" i="2" s="1"/>
  <c r="R330" i="2"/>
  <c r="I22" i="4" s="1"/>
  <c r="K330" i="2"/>
  <c r="L330" i="2"/>
  <c r="L331" i="2" s="1"/>
  <c r="O392" i="2"/>
  <c r="G19" i="4" s="1"/>
  <c r="O330" i="2"/>
  <c r="O635" i="2" s="1"/>
  <c r="M388" i="2"/>
  <c r="M392" i="2" s="1"/>
  <c r="H330" i="2"/>
  <c r="H635" i="2" s="1"/>
  <c r="G330" i="2"/>
  <c r="G635" i="2" s="1"/>
  <c r="J330" i="2"/>
  <c r="J331" i="2" s="1"/>
  <c r="J392" i="2"/>
  <c r="G14" i="4" s="1"/>
  <c r="K392" i="2"/>
  <c r="G15" i="4" s="1"/>
  <c r="G392" i="2"/>
  <c r="G11" i="4" s="1"/>
  <c r="H392" i="2"/>
  <c r="G12" i="4" s="1"/>
  <c r="N544" i="2"/>
  <c r="I388" i="2"/>
  <c r="I392" i="2" s="1"/>
  <c r="G13" i="4" s="1"/>
  <c r="I330" i="2"/>
  <c r="T597" i="2"/>
  <c r="T598" i="2" s="1"/>
  <c r="V597" i="2"/>
  <c r="V598" i="2" s="1"/>
  <c r="X597" i="2"/>
  <c r="X598" i="2" s="1"/>
  <c r="AF597" i="2"/>
  <c r="AF598" i="2" s="1"/>
  <c r="E635" i="2"/>
  <c r="AB597" i="2"/>
  <c r="AB598" i="2" s="1"/>
  <c r="Y597" i="2"/>
  <c r="Y598" i="2" s="1"/>
  <c r="Z597" i="2"/>
  <c r="Z598" i="2" s="1"/>
  <c r="AD597" i="2"/>
  <c r="AD598" i="2" s="1"/>
  <c r="AC597" i="2"/>
  <c r="AC598" i="2" s="1"/>
  <c r="U597" i="2"/>
  <c r="U598" i="2" s="1"/>
  <c r="W597" i="2"/>
  <c r="W598" i="2" s="1"/>
  <c r="AE597" i="2"/>
  <c r="AE598" i="2" s="1"/>
  <c r="E331" i="2"/>
  <c r="AA597" i="2"/>
  <c r="AA598" i="2" s="1"/>
  <c r="R541" i="2"/>
  <c r="R560" i="2" s="1"/>
  <c r="M331" i="2"/>
  <c r="Z388" i="2"/>
  <c r="Z330" i="2"/>
  <c r="AA388" i="2"/>
  <c r="AA330" i="2"/>
  <c r="Q388" i="2"/>
  <c r="Q392" i="2" s="1"/>
  <c r="G21" i="4" s="1"/>
  <c r="Q330" i="2"/>
  <c r="S388" i="2"/>
  <c r="S392" i="2" s="1"/>
  <c r="S330" i="2"/>
  <c r="S331" i="2" s="1"/>
  <c r="AB388" i="2"/>
  <c r="AB330" i="2"/>
  <c r="P388" i="2"/>
  <c r="P392" i="2" s="1"/>
  <c r="G20" i="4" s="1"/>
  <c r="P330" i="2"/>
  <c r="P331" i="2" s="1"/>
  <c r="N388" i="2"/>
  <c r="N392" i="2" s="1"/>
  <c r="G18" i="4" s="1"/>
  <c r="N330" i="2"/>
  <c r="AG526" i="2"/>
  <c r="AH526" i="2" s="1"/>
  <c r="F374" i="2"/>
  <c r="AG374" i="2" s="1"/>
  <c r="AH374" i="2" s="1"/>
  <c r="F364" i="2"/>
  <c r="AG364" i="2" s="1"/>
  <c r="AH364" i="2" s="1"/>
  <c r="F366" i="2"/>
  <c r="AG366" i="2" s="1"/>
  <c r="AH366" i="2" s="1"/>
  <c r="F367" i="2"/>
  <c r="AG367" i="2" s="1"/>
  <c r="AH367" i="2" s="1"/>
  <c r="F377" i="2"/>
  <c r="AG377" i="2" s="1"/>
  <c r="AH377" i="2" s="1"/>
  <c r="F328" i="2"/>
  <c r="F368" i="2"/>
  <c r="AG368" i="2" s="1"/>
  <c r="AH368" i="2" s="1"/>
  <c r="F362" i="2"/>
  <c r="F378" i="2"/>
  <c r="AG378" i="2" s="1"/>
  <c r="AH378" i="2" s="1"/>
  <c r="F380" i="2"/>
  <c r="AG380" i="2" s="1"/>
  <c r="AH380" i="2" s="1"/>
  <c r="F390" i="2"/>
  <c r="AG390" i="2" s="1"/>
  <c r="AH390" i="2" s="1"/>
  <c r="F376" i="2"/>
  <c r="AG376" i="2" s="1"/>
  <c r="AH376" i="2" s="1"/>
  <c r="AG117" i="2"/>
  <c r="AH117" i="2" s="1"/>
  <c r="F373" i="2"/>
  <c r="AG373" i="2" s="1"/>
  <c r="AH373" i="2" s="1"/>
  <c r="F371" i="2"/>
  <c r="F375" i="2"/>
  <c r="AG375" i="2" s="1"/>
  <c r="AH375" i="2" s="1"/>
  <c r="F379" i="2"/>
  <c r="AG379" i="2" s="1"/>
  <c r="AH379" i="2" s="1"/>
  <c r="F365" i="2"/>
  <c r="AG365" i="2" s="1"/>
  <c r="AH365" i="2" s="1"/>
  <c r="F381" i="2"/>
  <c r="AG381" i="2" s="1"/>
  <c r="AH381" i="2" s="1"/>
  <c r="AD388" i="2"/>
  <c r="AD330" i="2"/>
  <c r="N627" i="2"/>
  <c r="F355" i="2"/>
  <c r="AG324" i="2"/>
  <c r="AH324" i="2" s="1"/>
  <c r="F326" i="2"/>
  <c r="F516" i="2" l="1"/>
  <c r="F515" i="2"/>
  <c r="I576" i="2"/>
  <c r="I601" i="2"/>
  <c r="I627" i="2" s="1"/>
  <c r="G576" i="2"/>
  <c r="G601" i="2"/>
  <c r="G627" i="2" s="1"/>
  <c r="J576" i="2"/>
  <c r="J601" i="2"/>
  <c r="J627" i="2" s="1"/>
  <c r="H601" i="2"/>
  <c r="H627" i="2" s="1"/>
  <c r="H576" i="2"/>
  <c r="R517" i="2"/>
  <c r="J596" i="2"/>
  <c r="J571" i="2"/>
  <c r="H596" i="2"/>
  <c r="H571" i="2"/>
  <c r="I596" i="2"/>
  <c r="G544" i="2"/>
  <c r="T572" i="2"/>
  <c r="T573" i="2" s="1"/>
  <c r="W577" i="2"/>
  <c r="W578" i="2" s="1"/>
  <c r="Q587" i="2"/>
  <c r="R587" i="2"/>
  <c r="U577" i="2"/>
  <c r="U578" i="2" s="1"/>
  <c r="V577" i="2"/>
  <c r="V578" i="2" s="1"/>
  <c r="U331" i="2"/>
  <c r="W572" i="2"/>
  <c r="W573" i="2" s="1"/>
  <c r="AC331" i="2"/>
  <c r="AC577" i="2"/>
  <c r="AC578" i="2" s="1"/>
  <c r="V331" i="2"/>
  <c r="Y572" i="2"/>
  <c r="Y573" i="2" s="1"/>
  <c r="T331" i="2"/>
  <c r="Y331" i="2"/>
  <c r="X331" i="2"/>
  <c r="X572" i="2"/>
  <c r="X573" i="2" s="1"/>
  <c r="O331" i="2"/>
  <c r="R331" i="2"/>
  <c r="AE331" i="2"/>
  <c r="AE577" i="2"/>
  <c r="AE578" i="2" s="1"/>
  <c r="K331" i="2"/>
  <c r="H331" i="2"/>
  <c r="G331" i="2"/>
  <c r="J635" i="2"/>
  <c r="H19" i="4"/>
  <c r="N517" i="2"/>
  <c r="O517" i="2"/>
  <c r="AG371" i="2"/>
  <c r="AH371" i="2" s="1"/>
  <c r="AG362" i="2"/>
  <c r="AH362" i="2" s="1"/>
  <c r="AB572" i="2"/>
  <c r="AB573" i="2" s="1"/>
  <c r="AB331" i="2"/>
  <c r="AB577" i="2"/>
  <c r="AB578" i="2" s="1"/>
  <c r="I21" i="4"/>
  <c r="Q331" i="2"/>
  <c r="AA331" i="2"/>
  <c r="AA572" i="2"/>
  <c r="AA573" i="2" s="1"/>
  <c r="AA577" i="2"/>
  <c r="AA578" i="2" s="1"/>
  <c r="I635" i="2"/>
  <c r="I331" i="2"/>
  <c r="AD331" i="2"/>
  <c r="AD577" i="2"/>
  <c r="AD578" i="2" s="1"/>
  <c r="AD572" i="2"/>
  <c r="AD573" i="2" s="1"/>
  <c r="P587" i="2"/>
  <c r="P613" i="2"/>
  <c r="N635" i="2"/>
  <c r="N331" i="2"/>
  <c r="P541" i="2"/>
  <c r="P560" i="2" s="1"/>
  <c r="P517" i="2"/>
  <c r="AG512" i="2"/>
  <c r="AH512" i="2" s="1"/>
  <c r="Q517" i="2"/>
  <c r="Q541" i="2"/>
  <c r="Q560" i="2" s="1"/>
  <c r="AG328" i="2"/>
  <c r="AH328" i="2" s="1"/>
  <c r="F388" i="2"/>
  <c r="Z331" i="2"/>
  <c r="Z572" i="2"/>
  <c r="Z573" i="2" s="1"/>
  <c r="Z577" i="2"/>
  <c r="Z578" i="2" s="1"/>
  <c r="R585" i="2"/>
  <c r="R611" i="2"/>
  <c r="N596" i="2"/>
  <c r="N571" i="2"/>
  <c r="N622" i="2" s="1"/>
  <c r="AG355" i="2"/>
  <c r="AH355" i="2" s="1"/>
  <c r="F330" i="2"/>
  <c r="AG326" i="2"/>
  <c r="F545" i="2" l="1"/>
  <c r="AG516" i="2"/>
  <c r="AH516" i="2" s="1"/>
  <c r="J622" i="2"/>
  <c r="H622" i="2"/>
  <c r="J618" i="2"/>
  <c r="J619" i="2" s="1"/>
  <c r="I618" i="2"/>
  <c r="I619" i="2" s="1"/>
  <c r="G618" i="2"/>
  <c r="G619" i="2" s="1"/>
  <c r="H618" i="2"/>
  <c r="H619" i="2" s="1"/>
  <c r="G612" i="2"/>
  <c r="I612" i="2"/>
  <c r="G614" i="2"/>
  <c r="I614" i="2"/>
  <c r="G571" i="2"/>
  <c r="G622" i="2" s="1"/>
  <c r="G596" i="2"/>
  <c r="I622" i="2"/>
  <c r="C608" i="2"/>
  <c r="J608" i="2"/>
  <c r="J623" i="2" s="1"/>
  <c r="G608" i="2"/>
  <c r="N618" i="2"/>
  <c r="N619" i="2" s="1"/>
  <c r="L532" i="2"/>
  <c r="P532" i="2"/>
  <c r="F532" i="2"/>
  <c r="G532" i="2"/>
  <c r="E534" i="2"/>
  <c r="Q534" i="2"/>
  <c r="S533" i="2"/>
  <c r="R612" i="2"/>
  <c r="N612" i="2"/>
  <c r="G530" i="2"/>
  <c r="F530" i="2"/>
  <c r="R531" i="2"/>
  <c r="Q531" i="2"/>
  <c r="H533" i="2"/>
  <c r="O530" i="2"/>
  <c r="L533" i="2"/>
  <c r="O534" i="2"/>
  <c r="I534" i="2"/>
  <c r="P608" i="2"/>
  <c r="I608" i="2"/>
  <c r="O608" i="2"/>
  <c r="Q618" i="2"/>
  <c r="Q619" i="2" s="1"/>
  <c r="J532" i="2"/>
  <c r="N532" i="2"/>
  <c r="E532" i="2"/>
  <c r="S534" i="2"/>
  <c r="H530" i="2"/>
  <c r="F614" i="2"/>
  <c r="I533" i="2"/>
  <c r="J533" i="2"/>
  <c r="P530" i="2"/>
  <c r="G533" i="2"/>
  <c r="K534" i="2"/>
  <c r="N608" i="2"/>
  <c r="H532" i="2"/>
  <c r="P533" i="2"/>
  <c r="J530" i="2"/>
  <c r="M533" i="2"/>
  <c r="M534" i="2"/>
  <c r="N534" i="2"/>
  <c r="F608" i="2"/>
  <c r="R608" i="2"/>
  <c r="F618" i="2"/>
  <c r="F619" i="2" s="1"/>
  <c r="R532" i="2"/>
  <c r="E529" i="2"/>
  <c r="R533" i="2"/>
  <c r="I530" i="2"/>
  <c r="N614" i="2"/>
  <c r="P614" i="2"/>
  <c r="N533" i="2"/>
  <c r="Q530" i="2"/>
  <c r="J534" i="2"/>
  <c r="K533" i="2"/>
  <c r="H608" i="2"/>
  <c r="H623" i="2" s="1"/>
  <c r="Q608" i="2"/>
  <c r="P618" i="2"/>
  <c r="P619" i="2" s="1"/>
  <c r="Q532" i="2"/>
  <c r="M532" i="2"/>
  <c r="P534" i="2"/>
  <c r="F612" i="2"/>
  <c r="R614" i="2"/>
  <c r="R650" i="2" s="1"/>
  <c r="O531" i="2"/>
  <c r="G534" i="2"/>
  <c r="R530" i="2"/>
  <c r="L530" i="2"/>
  <c r="F534" i="2"/>
  <c r="S608" i="2"/>
  <c r="K532" i="2"/>
  <c r="O532" i="2"/>
  <c r="Q533" i="2"/>
  <c r="Q612" i="2"/>
  <c r="P612" i="2"/>
  <c r="E531" i="2"/>
  <c r="Q614" i="2"/>
  <c r="O533" i="2"/>
  <c r="L534" i="2"/>
  <c r="H534" i="2"/>
  <c r="E647" i="2"/>
  <c r="F647" i="2" s="1"/>
  <c r="G647" i="2" s="1"/>
  <c r="H647" i="2" s="1"/>
  <c r="I647" i="2" s="1"/>
  <c r="J647" i="2" s="1"/>
  <c r="N647" i="2" s="1"/>
  <c r="O647" i="2" s="1"/>
  <c r="P647" i="2" s="1"/>
  <c r="Q647" i="2" s="1"/>
  <c r="R647" i="2" s="1"/>
  <c r="R618" i="2"/>
  <c r="R619" i="2" s="1"/>
  <c r="I532" i="2"/>
  <c r="E533" i="2"/>
  <c r="R534" i="2"/>
  <c r="K530" i="2"/>
  <c r="N531" i="2"/>
  <c r="P531" i="2"/>
  <c r="N530" i="2"/>
  <c r="M530" i="2"/>
  <c r="F533" i="2"/>
  <c r="F544" i="2"/>
  <c r="AG515" i="2"/>
  <c r="AH515" i="2" s="1"/>
  <c r="P585" i="2"/>
  <c r="P611" i="2"/>
  <c r="Q611" i="2"/>
  <c r="Q585" i="2"/>
  <c r="AG388" i="2"/>
  <c r="AH388" i="2" s="1"/>
  <c r="F392" i="2"/>
  <c r="F331" i="2"/>
  <c r="F635" i="2"/>
  <c r="AG330" i="2"/>
  <c r="AH330" i="2" s="1"/>
  <c r="AH326" i="2"/>
  <c r="J624" i="2" l="1"/>
  <c r="J651" i="2" s="1"/>
  <c r="H13" i="17" s="1"/>
  <c r="H624" i="2"/>
  <c r="H651" i="2" s="1"/>
  <c r="H11" i="17" s="1"/>
  <c r="F601" i="2"/>
  <c r="F576" i="2"/>
  <c r="J628" i="2"/>
  <c r="J629" i="2" s="1"/>
  <c r="H628" i="2"/>
  <c r="H629" i="2" s="1"/>
  <c r="G628" i="2"/>
  <c r="G629" i="2" s="1"/>
  <c r="G649" i="2" s="1"/>
  <c r="F10" i="17" s="1"/>
  <c r="E10" i="17" s="1"/>
  <c r="G623" i="2"/>
  <c r="G624" i="2" s="1"/>
  <c r="I628" i="2"/>
  <c r="I629" i="2" s="1"/>
  <c r="I649" i="2" s="1"/>
  <c r="F12" i="17" s="1"/>
  <c r="E12" i="17" s="1"/>
  <c r="I623" i="2"/>
  <c r="I624" i="2" s="1"/>
  <c r="I651" i="2" s="1"/>
  <c r="H12" i="17" s="1"/>
  <c r="O535" i="2"/>
  <c r="F596" i="2"/>
  <c r="F571" i="2"/>
  <c r="F622" i="2" s="1"/>
  <c r="F628" i="2"/>
  <c r="F623" i="2"/>
  <c r="S623" i="2"/>
  <c r="S628" i="2"/>
  <c r="S629" i="2" s="1"/>
  <c r="S649" i="2" s="1"/>
  <c r="R535" i="2"/>
  <c r="P535" i="2"/>
  <c r="S535" i="2"/>
  <c r="P628" i="2"/>
  <c r="P629" i="2" s="1"/>
  <c r="P649" i="2" s="1"/>
  <c r="P623" i="2"/>
  <c r="P624" i="2" s="1"/>
  <c r="P650" i="2" s="1"/>
  <c r="G10" i="4"/>
  <c r="G26" i="4" s="1"/>
  <c r="AG392" i="2"/>
  <c r="AH392" i="2" s="1"/>
  <c r="N535" i="2"/>
  <c r="Q623" i="2"/>
  <c r="Q624" i="2" s="1"/>
  <c r="Q650" i="2" s="1"/>
  <c r="Q628" i="2"/>
  <c r="Q629" i="2" s="1"/>
  <c r="Q649" i="2" s="1"/>
  <c r="Q535" i="2"/>
  <c r="E535" i="2"/>
  <c r="R628" i="2"/>
  <c r="R629" i="2" s="1"/>
  <c r="R649" i="2" s="1"/>
  <c r="R623" i="2"/>
  <c r="R624" i="2" s="1"/>
  <c r="R651" i="2" s="1"/>
  <c r="N628" i="2"/>
  <c r="N629" i="2" s="1"/>
  <c r="N649" i="2" s="1"/>
  <c r="N623" i="2"/>
  <c r="N624" i="2" s="1"/>
  <c r="N650" i="2" s="1"/>
  <c r="E537" i="2" l="1"/>
  <c r="F627" i="2"/>
  <c r="F629" i="2" s="1"/>
  <c r="F649" i="2" s="1"/>
  <c r="F9" i="17" s="1"/>
  <c r="E9" i="17" s="1"/>
  <c r="H649" i="2"/>
  <c r="F11" i="17" s="1"/>
  <c r="E11" i="17" s="1"/>
  <c r="J649" i="2"/>
  <c r="F13" i="17" s="1"/>
  <c r="S650" i="2"/>
  <c r="S624" i="2"/>
  <c r="F624" i="2"/>
  <c r="H18" i="4" l="1"/>
  <c r="AG349" i="2"/>
  <c r="AG351" i="2" s="1"/>
  <c r="X358" i="2"/>
  <c r="X384" i="2" s="1"/>
  <c r="AC358" i="2"/>
  <c r="AC384" i="2" s="1"/>
  <c r="T358" i="2"/>
  <c r="T384" i="2" s="1"/>
  <c r="W358" i="2"/>
  <c r="W384" i="2" s="1"/>
  <c r="AE358" i="2"/>
  <c r="AE384" i="2" s="1"/>
  <c r="AF358" i="2"/>
  <c r="AF384" i="2" s="1"/>
  <c r="Z358" i="2"/>
  <c r="Z384" i="2" s="1"/>
  <c r="S358" i="2"/>
  <c r="S384" i="2" s="1"/>
  <c r="AA358" i="2"/>
  <c r="AA384" i="2" s="1"/>
  <c r="Y358" i="2"/>
  <c r="Y384" i="2" s="1"/>
  <c r="R358" i="2"/>
  <c r="R382" i="2" s="1"/>
  <c r="R384" i="2" s="1"/>
  <c r="E22" i="4" s="1"/>
  <c r="V358" i="2"/>
  <c r="V384" i="2" s="1"/>
  <c r="O358" i="2"/>
  <c r="O382" i="2" s="1"/>
  <c r="O384" i="2" s="1"/>
  <c r="E19" i="4" s="1"/>
  <c r="U358" i="2"/>
  <c r="U384" i="2" s="1"/>
  <c r="AD358" i="2"/>
  <c r="AD384" i="2" s="1"/>
  <c r="AB358" i="2"/>
  <c r="AB384" i="2" s="1"/>
  <c r="Z349" i="2"/>
  <c r="Z351" i="2" s="1"/>
  <c r="Z386" i="2" s="1"/>
  <c r="Z394" i="2" s="1"/>
  <c r="AD349" i="2"/>
  <c r="AD351" i="2" s="1"/>
  <c r="P358" i="2"/>
  <c r="P382" i="2" s="1"/>
  <c r="P384" i="2" s="1"/>
  <c r="E20" i="4" s="1"/>
  <c r="T349" i="2"/>
  <c r="T351" i="2" s="1"/>
  <c r="AE349" i="2"/>
  <c r="AE351" i="2" s="1"/>
  <c r="AE386" i="2" s="1"/>
  <c r="AE394" i="2" s="1"/>
  <c r="X349" i="2"/>
  <c r="X351" i="2" s="1"/>
  <c r="Q358" i="2"/>
  <c r="Q382" i="2" s="1"/>
  <c r="Q384" i="2" s="1"/>
  <c r="E21" i="4" s="1"/>
  <c r="F21" i="4" s="1"/>
  <c r="H21" i="4" s="1"/>
  <c r="W349" i="2"/>
  <c r="W351" i="2" s="1"/>
  <c r="W386" i="2" s="1"/>
  <c r="W394" i="2" s="1"/>
  <c r="AF349" i="2"/>
  <c r="AF351" i="2" s="1"/>
  <c r="AF386" i="2" s="1"/>
  <c r="AF394" i="2" s="1"/>
  <c r="U349" i="2"/>
  <c r="U351" i="2" s="1"/>
  <c r="AC349" i="2"/>
  <c r="AC351" i="2" s="1"/>
  <c r="AA349" i="2"/>
  <c r="AA351" i="2" s="1"/>
  <c r="M349" i="2"/>
  <c r="M351" i="2" s="1"/>
  <c r="D17" i="4" s="1"/>
  <c r="N358" i="2"/>
  <c r="N382" i="2" s="1"/>
  <c r="N384" i="2" s="1"/>
  <c r="E18" i="4" s="1"/>
  <c r="Y349" i="2"/>
  <c r="Y351" i="2" s="1"/>
  <c r="AB349" i="2"/>
  <c r="AB351" i="2" s="1"/>
  <c r="V349" i="2"/>
  <c r="V351" i="2" s="1"/>
  <c r="V386" i="2" s="1"/>
  <c r="V394" i="2" s="1"/>
  <c r="O349" i="2"/>
  <c r="O351" i="2" s="1"/>
  <c r="S349" i="2"/>
  <c r="S351" i="2" s="1"/>
  <c r="Q349" i="2"/>
  <c r="Q351" i="2" s="1"/>
  <c r="D21" i="4" s="1"/>
  <c r="R349" i="2"/>
  <c r="R351" i="2" s="1"/>
  <c r="M358" i="2"/>
  <c r="M382" i="2" s="1"/>
  <c r="M384" i="2" s="1"/>
  <c r="K358" i="2"/>
  <c r="K513" i="2" s="1"/>
  <c r="K517" i="2" s="1"/>
  <c r="H358" i="2"/>
  <c r="H513" i="2" s="1"/>
  <c r="J358" i="2"/>
  <c r="J513" i="2" s="1"/>
  <c r="J542" i="2" s="1"/>
  <c r="J562" i="2" s="1"/>
  <c r="N349" i="2"/>
  <c r="N351" i="2" s="1"/>
  <c r="D18" i="4" s="1"/>
  <c r="L358" i="2"/>
  <c r="I358" i="2"/>
  <c r="G358" i="2"/>
  <c r="E349" i="2"/>
  <c r="J349" i="2"/>
  <c r="J351" i="2" s="1"/>
  <c r="D14" i="4" s="1"/>
  <c r="I349" i="2"/>
  <c r="I351" i="2" s="1"/>
  <c r="D13" i="4" s="1"/>
  <c r="L349" i="2"/>
  <c r="L351" i="2" s="1"/>
  <c r="D16" i="4" s="1"/>
  <c r="P349" i="2"/>
  <c r="P351" i="2" s="1"/>
  <c r="D20" i="4" s="1"/>
  <c r="H349" i="2"/>
  <c r="H351" i="2" s="1"/>
  <c r="D12" i="4" s="1"/>
  <c r="F358" i="2"/>
  <c r="F382" i="2" s="1"/>
  <c r="F384" i="2" s="1"/>
  <c r="E10" i="4" s="1"/>
  <c r="G349" i="2"/>
  <c r="G351" i="2" s="1"/>
  <c r="F349" i="2"/>
  <c r="F351" i="2" s="1"/>
  <c r="K349" i="2"/>
  <c r="K351" i="2" s="1"/>
  <c r="T386" i="2" l="1"/>
  <c r="T394" i="2" s="1"/>
  <c r="R386" i="2"/>
  <c r="R394" i="2" s="1"/>
  <c r="R561" i="2" s="1"/>
  <c r="S386" i="2"/>
  <c r="S394" i="2" s="1"/>
  <c r="AB386" i="2"/>
  <c r="AB394" i="2" s="1"/>
  <c r="AC386" i="2"/>
  <c r="AC394" i="2" s="1"/>
  <c r="F20" i="4"/>
  <c r="H20" i="4" s="1"/>
  <c r="F18" i="4"/>
  <c r="X386" i="2"/>
  <c r="X394" i="2" s="1"/>
  <c r="H382" i="2"/>
  <c r="H384" i="2" s="1"/>
  <c r="E12" i="4" s="1"/>
  <c r="F12" i="4" s="1"/>
  <c r="H12" i="4" s="1"/>
  <c r="F386" i="2"/>
  <c r="F394" i="2" s="1"/>
  <c r="F513" i="2"/>
  <c r="F531" i="2" s="1"/>
  <c r="F535" i="2" s="1"/>
  <c r="U386" i="2"/>
  <c r="U394" i="2" s="1"/>
  <c r="E17" i="4"/>
  <c r="F17" i="4" s="1"/>
  <c r="M386" i="2"/>
  <c r="J613" i="2"/>
  <c r="J650" i="2" s="1"/>
  <c r="G13" i="17" s="1"/>
  <c r="J587" i="2"/>
  <c r="S577" i="2"/>
  <c r="S578" i="2" s="1"/>
  <c r="S572" i="2"/>
  <c r="H542" i="2"/>
  <c r="H562" i="2" s="1"/>
  <c r="H531" i="2"/>
  <c r="H535" i="2" s="1"/>
  <c r="H517" i="2"/>
  <c r="L382" i="2"/>
  <c r="L384" i="2" s="1"/>
  <c r="E16" i="4" s="1"/>
  <c r="F16" i="4" s="1"/>
  <c r="H16" i="4" s="1"/>
  <c r="L513" i="2"/>
  <c r="R577" i="2"/>
  <c r="R578" i="2" s="1"/>
  <c r="R637" i="2" s="1"/>
  <c r="R635" i="2"/>
  <c r="R572" i="2"/>
  <c r="R573" i="2" s="1"/>
  <c r="D19" i="4"/>
  <c r="O386" i="2"/>
  <c r="O394" i="2" s="1"/>
  <c r="E351" i="2"/>
  <c r="AH349" i="2"/>
  <c r="P386" i="2"/>
  <c r="P394" i="2" s="1"/>
  <c r="R557" i="2"/>
  <c r="K531" i="2"/>
  <c r="K535" i="2" s="1"/>
  <c r="K382" i="2"/>
  <c r="K384" i="2" s="1"/>
  <c r="E15" i="4" s="1"/>
  <c r="J517" i="2"/>
  <c r="AG358" i="2"/>
  <c r="AH358" i="2" s="1"/>
  <c r="D15" i="4"/>
  <c r="D11" i="4"/>
  <c r="N386" i="2"/>
  <c r="N394" i="2" s="1"/>
  <c r="J531" i="2"/>
  <c r="J535" i="2" s="1"/>
  <c r="M513" i="2"/>
  <c r="R563" i="2"/>
  <c r="R638" i="2" s="1"/>
  <c r="G382" i="2"/>
  <c r="G513" i="2"/>
  <c r="R567" i="2"/>
  <c r="R568" i="2" s="1"/>
  <c r="J382" i="2"/>
  <c r="J384" i="2" s="1"/>
  <c r="E14" i="4" s="1"/>
  <c r="F14" i="4" s="1"/>
  <c r="H14" i="4" s="1"/>
  <c r="I513" i="2"/>
  <c r="I382" i="2"/>
  <c r="I384" i="2" s="1"/>
  <c r="E13" i="4" s="1"/>
  <c r="F13" i="4" s="1"/>
  <c r="H13" i="4" s="1"/>
  <c r="Q386" i="2"/>
  <c r="Q394" i="2" s="1"/>
  <c r="AA386" i="2"/>
  <c r="AA394" i="2" s="1"/>
  <c r="AD386" i="2"/>
  <c r="AD394" i="2" s="1"/>
  <c r="D10" i="4"/>
  <c r="Y386" i="2"/>
  <c r="Y394" i="2" s="1"/>
  <c r="D22" i="4"/>
  <c r="R639" i="2" l="1"/>
  <c r="I386" i="2"/>
  <c r="I394" i="2" s="1"/>
  <c r="I567" i="2" s="1"/>
  <c r="I568" i="2" s="1"/>
  <c r="H386" i="2"/>
  <c r="H394" i="2" s="1"/>
  <c r="F542" i="2"/>
  <c r="F562" i="2" s="1"/>
  <c r="F613" i="2" s="1"/>
  <c r="F650" i="2" s="1"/>
  <c r="G9" i="17" s="1"/>
  <c r="F517" i="2"/>
  <c r="I517" i="2"/>
  <c r="I531" i="2"/>
  <c r="I535" i="2" s="1"/>
  <c r="I542" i="2"/>
  <c r="I562" i="2" s="1"/>
  <c r="AH351" i="2"/>
  <c r="E386" i="2"/>
  <c r="I557" i="2"/>
  <c r="I563" i="2"/>
  <c r="I572" i="2"/>
  <c r="I573" i="2" s="1"/>
  <c r="I577" i="2"/>
  <c r="I578" i="2" s="1"/>
  <c r="I637" i="2" s="1"/>
  <c r="J386" i="2"/>
  <c r="J394" i="2" s="1"/>
  <c r="F15" i="4"/>
  <c r="H15" i="4" s="1"/>
  <c r="O557" i="2"/>
  <c r="S573" i="2"/>
  <c r="S638" i="2" s="1"/>
  <c r="F557" i="2"/>
  <c r="F577" i="2"/>
  <c r="F578" i="2" s="1"/>
  <c r="F637" i="2" s="1"/>
  <c r="F561" i="2"/>
  <c r="F572" i="2"/>
  <c r="F573" i="2" s="1"/>
  <c r="F563" i="2"/>
  <c r="F567" i="2"/>
  <c r="F568" i="2" s="1"/>
  <c r="F19" i="4"/>
  <c r="F10" i="4"/>
  <c r="H10" i="4" s="1"/>
  <c r="D26" i="4"/>
  <c r="D34" i="4" s="1"/>
  <c r="N567" i="2"/>
  <c r="N568" i="2" s="1"/>
  <c r="N563" i="2"/>
  <c r="N572" i="2"/>
  <c r="N573" i="2" s="1"/>
  <c r="N557" i="2"/>
  <c r="N561" i="2"/>
  <c r="N577" i="2"/>
  <c r="N578" i="2" s="1"/>
  <c r="N637" i="2" s="1"/>
  <c r="H613" i="2"/>
  <c r="H650" i="2" s="1"/>
  <c r="G11" i="17" s="1"/>
  <c r="H587" i="2"/>
  <c r="Q577" i="2"/>
  <c r="Q578" i="2" s="1"/>
  <c r="Q637" i="2" s="1"/>
  <c r="Q572" i="2"/>
  <c r="Q573" i="2" s="1"/>
  <c r="Q567" i="2"/>
  <c r="Q568" i="2" s="1"/>
  <c r="Q563" i="2"/>
  <c r="Q561" i="2"/>
  <c r="Q557" i="2"/>
  <c r="Q635" i="2"/>
  <c r="G517" i="2"/>
  <c r="G531" i="2"/>
  <c r="G535" i="2" s="1"/>
  <c r="G542" i="2"/>
  <c r="G562" i="2" s="1"/>
  <c r="M517" i="2"/>
  <c r="M531" i="2"/>
  <c r="M535" i="2" s="1"/>
  <c r="L386" i="2"/>
  <c r="L394" i="2" s="1"/>
  <c r="AG513" i="2"/>
  <c r="AH513" i="2" s="1"/>
  <c r="F22" i="4"/>
  <c r="H22" i="4" s="1"/>
  <c r="G384" i="2"/>
  <c r="AG382" i="2"/>
  <c r="AH382" i="2" s="1"/>
  <c r="P577" i="2"/>
  <c r="P578" i="2" s="1"/>
  <c r="P637" i="2" s="1"/>
  <c r="P567" i="2"/>
  <c r="P568" i="2" s="1"/>
  <c r="P557" i="2"/>
  <c r="P635" i="2"/>
  <c r="P563" i="2"/>
  <c r="P572" i="2"/>
  <c r="P573" i="2" s="1"/>
  <c r="P561" i="2"/>
  <c r="L517" i="2"/>
  <c r="L531" i="2"/>
  <c r="L535" i="2" s="1"/>
  <c r="K386" i="2"/>
  <c r="K394" i="2" s="1"/>
  <c r="F587" i="2" l="1"/>
  <c r="N638" i="2"/>
  <c r="I561" i="2"/>
  <c r="H557" i="2"/>
  <c r="H561" i="2"/>
  <c r="H563" i="2"/>
  <c r="H638" i="2" s="1"/>
  <c r="H567" i="2"/>
  <c r="H568" i="2" s="1"/>
  <c r="H577" i="2"/>
  <c r="H578" i="2" s="1"/>
  <c r="H637" i="2" s="1"/>
  <c r="H572" i="2"/>
  <c r="H573" i="2" s="1"/>
  <c r="P638" i="2"/>
  <c r="AG517" i="2"/>
  <c r="AH517" i="2" s="1"/>
  <c r="E11" i="4"/>
  <c r="AG384" i="2"/>
  <c r="AH384" i="2" s="1"/>
  <c r="G386" i="2"/>
  <c r="F638" i="2"/>
  <c r="D46" i="4"/>
  <c r="D48" i="4"/>
  <c r="D47" i="4"/>
  <c r="D49" i="4"/>
  <c r="D39" i="4"/>
  <c r="D41" i="4"/>
  <c r="D44" i="4"/>
  <c r="D40" i="4"/>
  <c r="D43" i="4"/>
  <c r="D35" i="4"/>
  <c r="D36" i="4"/>
  <c r="D37" i="4"/>
  <c r="D38" i="4"/>
  <c r="I638" i="2"/>
  <c r="I587" i="2"/>
  <c r="I613" i="2"/>
  <c r="I650" i="2" s="1"/>
  <c r="G12" i="17" s="1"/>
  <c r="D42" i="4"/>
  <c r="D33" i="4"/>
  <c r="D45" i="4"/>
  <c r="J567" i="2"/>
  <c r="J568" i="2" s="1"/>
  <c r="J572" i="2"/>
  <c r="J573" i="2" s="1"/>
  <c r="J557" i="2"/>
  <c r="J577" i="2"/>
  <c r="J578" i="2" s="1"/>
  <c r="J637" i="2" s="1"/>
  <c r="J561" i="2"/>
  <c r="J563" i="2"/>
  <c r="J638" i="2" s="1"/>
  <c r="G587" i="2"/>
  <c r="G613" i="2"/>
  <c r="G650" i="2" s="1"/>
  <c r="G10" i="17" s="1"/>
  <c r="E394" i="2"/>
  <c r="Q638" i="2"/>
  <c r="G588" i="2" l="1"/>
  <c r="AA602" i="2"/>
  <c r="AA603" i="2" s="1"/>
  <c r="AF602" i="2"/>
  <c r="AF603" i="2" s="1"/>
  <c r="J586" i="2"/>
  <c r="W602" i="2"/>
  <c r="W603" i="2" s="1"/>
  <c r="E395" i="2"/>
  <c r="Q586" i="2"/>
  <c r="P597" i="2"/>
  <c r="P598" i="2" s="1"/>
  <c r="N602" i="2"/>
  <c r="N603" i="2" s="1"/>
  <c r="N643" i="2" s="1"/>
  <c r="Z602" i="2"/>
  <c r="Z603" i="2" s="1"/>
  <c r="AE602" i="2"/>
  <c r="AE603" i="2" s="1"/>
  <c r="S602" i="2"/>
  <c r="S603" i="2" s="1"/>
  <c r="S643" i="2" s="1"/>
  <c r="I602" i="2"/>
  <c r="I603" i="2" s="1"/>
  <c r="I643" i="2" s="1"/>
  <c r="J597" i="2"/>
  <c r="J598" i="2" s="1"/>
  <c r="F597" i="2"/>
  <c r="F598" i="2" s="1"/>
  <c r="Q588" i="2"/>
  <c r="N588" i="2"/>
  <c r="I592" i="2"/>
  <c r="I593" i="2" s="1"/>
  <c r="C582" i="2"/>
  <c r="R586" i="2"/>
  <c r="H597" i="2"/>
  <c r="H598" i="2" s="1"/>
  <c r="F586" i="2"/>
  <c r="R602" i="2"/>
  <c r="R603" i="2" s="1"/>
  <c r="R643" i="2" s="1"/>
  <c r="Q597" i="2"/>
  <c r="Q598" i="2" s="1"/>
  <c r="Q602" i="2"/>
  <c r="Q603" i="2" s="1"/>
  <c r="Q643" i="2" s="1"/>
  <c r="X602" i="2"/>
  <c r="X603" i="2" s="1"/>
  <c r="AC602" i="2"/>
  <c r="AC603" i="2" s="1"/>
  <c r="T602" i="2"/>
  <c r="T603" i="2" s="1"/>
  <c r="G592" i="2"/>
  <c r="G593" i="2" s="1"/>
  <c r="V602" i="2"/>
  <c r="V603" i="2" s="1"/>
  <c r="F592" i="2"/>
  <c r="F593" i="2" s="1"/>
  <c r="U602" i="2"/>
  <c r="U603" i="2" s="1"/>
  <c r="P602" i="2"/>
  <c r="P603" i="2" s="1"/>
  <c r="P643" i="2" s="1"/>
  <c r="I586" i="2"/>
  <c r="H592" i="2"/>
  <c r="H593" i="2" s="1"/>
  <c r="R592" i="2"/>
  <c r="R593" i="2" s="1"/>
  <c r="N592" i="2"/>
  <c r="N593" i="2" s="1"/>
  <c r="AB602" i="2"/>
  <c r="AB603" i="2" s="1"/>
  <c r="I597" i="2"/>
  <c r="I598" i="2" s="1"/>
  <c r="N586" i="2"/>
  <c r="E641" i="2"/>
  <c r="F602" i="2"/>
  <c r="F603" i="2" s="1"/>
  <c r="F643" i="2" s="1"/>
  <c r="H586" i="2"/>
  <c r="H588" i="2"/>
  <c r="H644" i="2" s="1"/>
  <c r="S597" i="2"/>
  <c r="G602" i="2"/>
  <c r="G603" i="2" s="1"/>
  <c r="G643" i="2" s="1"/>
  <c r="J602" i="2"/>
  <c r="J603" i="2" s="1"/>
  <c r="J643" i="2" s="1"/>
  <c r="W395" i="2"/>
  <c r="V395" i="2"/>
  <c r="G597" i="2"/>
  <c r="G598" i="2" s="1"/>
  <c r="Y602" i="2"/>
  <c r="Y603" i="2" s="1"/>
  <c r="Q592" i="2"/>
  <c r="Q593" i="2" s="1"/>
  <c r="H602" i="2"/>
  <c r="H603" i="2" s="1"/>
  <c r="H643" i="2" s="1"/>
  <c r="R588" i="2"/>
  <c r="R644" i="2" s="1"/>
  <c r="I588" i="2"/>
  <c r="AD602" i="2"/>
  <c r="AD603" i="2" s="1"/>
  <c r="R597" i="2"/>
  <c r="R598" i="2" s="1"/>
  <c r="AF395" i="2"/>
  <c r="N597" i="2"/>
  <c r="N598" i="2" s="1"/>
  <c r="P592" i="2"/>
  <c r="P593" i="2" s="1"/>
  <c r="J588" i="2"/>
  <c r="J644" i="2" s="1"/>
  <c r="P588" i="2"/>
  <c r="G586" i="2"/>
  <c r="P586" i="2"/>
  <c r="J592" i="2"/>
  <c r="J593" i="2" s="1"/>
  <c r="F588" i="2"/>
  <c r="AB395" i="2"/>
  <c r="AC395" i="2"/>
  <c r="T395" i="2"/>
  <c r="H395" i="2"/>
  <c r="Z395" i="2"/>
  <c r="R395" i="2"/>
  <c r="AE395" i="2"/>
  <c r="S395" i="2"/>
  <c r="X395" i="2"/>
  <c r="U395" i="2"/>
  <c r="N395" i="2"/>
  <c r="F395" i="2"/>
  <c r="P395" i="2"/>
  <c r="I395" i="2"/>
  <c r="O395" i="2"/>
  <c r="AD395" i="2"/>
  <c r="AA395" i="2"/>
  <c r="Q395" i="2"/>
  <c r="Y395" i="2"/>
  <c r="J395" i="2"/>
  <c r="L395" i="2"/>
  <c r="I644" i="2"/>
  <c r="G394" i="2"/>
  <c r="AG386" i="2"/>
  <c r="AH386" i="2" s="1"/>
  <c r="AH1" i="2"/>
  <c r="K395" i="2"/>
  <c r="E26" i="4"/>
  <c r="F11" i="4"/>
  <c r="H11" i="4" s="1"/>
  <c r="N644" i="2" l="1"/>
  <c r="G644" i="2"/>
  <c r="P644" i="2"/>
  <c r="Q644" i="2"/>
  <c r="F644" i="2"/>
  <c r="E49" i="4"/>
  <c r="F26" i="4"/>
  <c r="H26" i="4" s="1"/>
  <c r="I11" i="4" s="1"/>
  <c r="S598" i="2"/>
  <c r="S644" i="2"/>
  <c r="R645" i="2"/>
  <c r="F582" i="2"/>
  <c r="R582" i="2"/>
  <c r="Q582" i="2"/>
  <c r="P582" i="2"/>
  <c r="N582" i="2"/>
  <c r="G582" i="2"/>
  <c r="H582" i="2"/>
  <c r="O582" i="2"/>
  <c r="I582" i="2"/>
  <c r="J582" i="2"/>
  <c r="G395" i="2"/>
  <c r="G577" i="2"/>
  <c r="G578" i="2" s="1"/>
  <c r="G637" i="2" s="1"/>
  <c r="G561" i="2"/>
  <c r="G563" i="2"/>
  <c r="G572" i="2"/>
  <c r="G573" i="2" s="1"/>
  <c r="G557" i="2"/>
  <c r="G567" i="2"/>
  <c r="G568" i="2" s="1"/>
  <c r="F641" i="2"/>
  <c r="H641" i="2"/>
  <c r="O641" i="2"/>
  <c r="P641" i="2" s="1"/>
  <c r="Q641" i="2" s="1"/>
  <c r="R641" i="2" s="1"/>
  <c r="S641" i="2" s="1"/>
  <c r="I641" i="2"/>
  <c r="J641" i="2"/>
  <c r="N641" i="2"/>
  <c r="G641" i="2"/>
  <c r="I18" i="4" l="1"/>
  <c r="I19" i="4"/>
  <c r="I26" i="4"/>
  <c r="I20" i="4"/>
  <c r="I12" i="4"/>
  <c r="I13" i="4"/>
  <c r="I16" i="4"/>
  <c r="I14" i="4"/>
  <c r="I10" i="4"/>
  <c r="I15" i="4"/>
  <c r="G638" i="2"/>
</calcChain>
</file>

<file path=xl/sharedStrings.xml><?xml version="1.0" encoding="utf-8"?>
<sst xmlns="http://schemas.openxmlformats.org/spreadsheetml/2006/main" count="2329" uniqueCount="1169">
  <si>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</si>
  <si>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</si>
  <si>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</si>
  <si>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</si>
  <si>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</si>
  <si>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</si>
  <si>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</si>
  <si>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</si>
  <si>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</si>
  <si>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</si>
  <si>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</si>
  <si>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</si>
  <si>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</si>
  <si>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</si>
  <si>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</si>
  <si>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</si>
  <si>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</si>
  <si>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</si>
  <si>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</si>
  <si>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</si>
  <si>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</si>
  <si>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</si>
  <si>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</si>
  <si>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</si>
  <si>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</si>
  <si>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</si>
  <si>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</si>
  <si>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</si>
  <si>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</si>
  <si>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</si>
  <si>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</si>
  <si>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</si>
  <si>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</si>
  <si>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</si>
  <si>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</si>
  <si>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</si>
  <si>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</si>
  <si>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</si>
  <si>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</si>
  <si>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</si>
  <si>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</si>
  <si>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</si>
  <si>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</si>
  <si>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</si>
  <si>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</si>
  <si>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</si>
  <si>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</si>
  <si>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</si>
  <si>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</si>
  <si>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</si>
  <si>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</si>
  <si>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</si>
  <si>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</si>
  <si>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</si>
  <si>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</si>
  <si>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</si>
  <si>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</si>
  <si>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</si>
  <si>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</si>
  <si>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</si>
  <si>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</si>
  <si>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</si>
  <si>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</si>
  <si>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</si>
  <si>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</si>
  <si>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</si>
  <si>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</si>
  <si>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</si>
  <si>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</si>
  <si>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</si>
  <si>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</si>
  <si>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</si>
  <si>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</si>
  <si>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</si>
  <si>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</si>
  <si>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</si>
  <si>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</si>
  <si>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</si>
  <si>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</si>
  <si>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</si>
  <si>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</si>
  <si>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</si>
  <si>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</si>
  <si>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</si>
  <si>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</si>
  <si>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</si>
  <si>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</si>
  <si>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</si>
  <si>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</si>
  <si>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</si>
  <si>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</si>
  <si>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</si>
  <si>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Less: Customer Deposits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</si>
  <si>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</si>
  <si>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</si>
  <si>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</si>
  <si>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</si>
  <si>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</si>
  <si>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</si>
  <si>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</si>
  <si>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</si>
  <si>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</si>
  <si>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</si>
  <si>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</si>
  <si>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</si>
  <si>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</si>
  <si>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</si>
  <si>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</si>
  <si>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</si>
  <si>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</si>
  <si>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</si>
  <si>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</si>
  <si>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</si>
  <si>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</si>
  <si>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</si>
  <si>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</si>
  <si>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</si>
  <si>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</si>
  <si>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</si>
  <si>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</si>
  <si>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</si>
  <si>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</si>
  <si>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</si>
  <si>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</si>
  <si>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</si>
  <si>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</si>
  <si>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</si>
  <si>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</si>
  <si>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</si>
  <si>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</si>
  <si>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</si>
  <si>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</si>
  <si>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</si>
  <si>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</si>
  <si>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</si>
  <si>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</si>
  <si>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</si>
  <si>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</si>
  <si>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</si>
  <si>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</si>
  <si>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</si>
  <si>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</si>
  <si>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</si>
  <si>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</si>
  <si>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</si>
  <si>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</si>
  <si>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</si>
  <si>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</si>
  <si>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</si>
  <si>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</si>
  <si>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</si>
  <si>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</si>
  <si>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</si>
  <si>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</si>
  <si>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</si>
  <si>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</si>
  <si>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</si>
  <si>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</si>
  <si>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</si>
  <si>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</si>
  <si>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</si>
  <si>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</si>
  <si>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</si>
  <si>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</si>
  <si>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</si>
  <si>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</si>
  <si>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</si>
  <si>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</si>
  <si>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</si>
  <si>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</si>
  <si>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</si>
  <si>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</si>
  <si>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</si>
  <si>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</si>
  <si>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</si>
  <si>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</si>
  <si>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</si>
  <si>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</si>
  <si>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</si>
  <si>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</si>
  <si>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</si>
  <si>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</si>
  <si>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</si>
  <si>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</si>
  <si>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</si>
  <si>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</si>
  <si>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</si>
  <si>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</si>
  <si>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</si>
  <si>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</si>
  <si>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</si>
  <si>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</si>
  <si>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</si>
  <si>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</si>
  <si>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</si>
  <si>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</si>
  <si>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</si>
  <si>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</si>
  <si>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</si>
  <si>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</si>
  <si>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</si>
  <si>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</si>
  <si>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</si>
  <si>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</si>
  <si>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</si>
  <si>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</si>
  <si>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</si>
  <si>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</si>
  <si>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</si>
  <si>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</si>
  <si>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</si>
  <si>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</si>
  <si>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</si>
  <si>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</si>
  <si>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</si>
  <si>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</si>
  <si>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</si>
  <si>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</si>
  <si>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</si>
  <si>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</si>
  <si>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</si>
  <si>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</si>
  <si>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</si>
  <si>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</si>
  <si>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</si>
  <si>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</si>
  <si>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</si>
  <si>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</si>
  <si>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</si>
  <si>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</si>
  <si>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</si>
  <si>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</si>
  <si>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</si>
  <si>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</si>
  <si>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</si>
  <si>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</si>
  <si>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</si>
  <si>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</si>
  <si>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</si>
  <si>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</si>
  <si>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</si>
  <si>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</si>
  <si>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</si>
  <si>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</si>
  <si>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</si>
  <si>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</si>
  <si>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</si>
  <si>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</si>
  <si>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</si>
  <si>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</si>
  <si>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</si>
  <si>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</si>
  <si>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</si>
  <si>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</si>
  <si>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</si>
  <si>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</si>
  <si>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</si>
  <si>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</si>
  <si>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</si>
  <si>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</si>
  <si>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</si>
  <si>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</si>
  <si>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</si>
  <si>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</si>
  <si>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</si>
  <si>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</si>
  <si>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</si>
  <si>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</si>
  <si>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</si>
  <si>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</si>
  <si>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</si>
  <si>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</si>
  <si>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</si>
  <si>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</si>
  <si>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</si>
  <si>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</si>
  <si>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</si>
  <si>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</si>
  <si>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</si>
  <si>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</si>
  <si>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</si>
  <si>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</si>
  <si>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</si>
  <si>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</si>
  <si>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</si>
  <si>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</si>
  <si>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</si>
  <si>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</si>
  <si>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</si>
  <si>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</si>
  <si>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</si>
  <si>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</si>
  <si>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</si>
  <si>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</si>
  <si>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</si>
  <si>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</si>
  <si>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</si>
  <si>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</si>
  <si>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</si>
  <si>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</si>
  <si>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</si>
  <si>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</si>
  <si>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</si>
  <si>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</si>
  <si>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</si>
  <si>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</si>
  <si>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</si>
  <si>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</si>
  <si>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</si>
  <si>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</si>
  <si>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</si>
  <si>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</si>
  <si>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</si>
  <si>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</si>
  <si>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</si>
  <si>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</si>
  <si>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</si>
  <si>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</si>
  <si>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</si>
  <si>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</si>
  <si>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</si>
  <si>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</si>
  <si>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</si>
  <si>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</si>
  <si>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</si>
  <si>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</si>
  <si>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</si>
  <si>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</si>
  <si>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</si>
  <si>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</si>
  <si>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</si>
  <si>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</si>
  <si>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</si>
  <si>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</si>
  <si>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</si>
  <si>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</si>
  <si>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</si>
  <si>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</si>
  <si>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</si>
  <si>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</si>
  <si>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</si>
  <si>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</si>
  <si>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</si>
  <si>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</si>
  <si>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</si>
  <si>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</si>
  <si>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</si>
  <si>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</si>
  <si>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</si>
  <si>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</si>
  <si>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</si>
  <si>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</si>
  <si>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</si>
  <si>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</si>
  <si>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</si>
  <si>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</si>
  <si>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</si>
  <si>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</si>
  <si>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</si>
  <si>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</si>
  <si>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</si>
  <si>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</si>
  <si>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</si>
  <si>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</si>
  <si>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</si>
  <si>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</si>
  <si>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</si>
  <si>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</si>
  <si>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</si>
  <si>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</si>
  <si>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</si>
  <si>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</si>
  <si>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</si>
  <si>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</si>
  <si>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</si>
  <si>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</si>
  <si>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</si>
  <si>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</si>
  <si>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</si>
  <si>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</si>
  <si>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</si>
  <si>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</si>
  <si>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</si>
  <si>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</si>
  <si>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</si>
  <si>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</si>
  <si>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</si>
  <si>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</si>
  <si>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</si>
  <si>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</si>
  <si>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</si>
  <si>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</si>
  <si>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</si>
  <si>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</si>
  <si>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</si>
  <si>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</si>
  <si>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</si>
  <si>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</si>
  <si>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</si>
  <si>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</si>
  <si>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</si>
  <si>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</si>
  <si>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</si>
  <si>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</si>
  <si>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</si>
  <si>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</si>
  <si>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</si>
  <si>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</si>
  <si>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</si>
  <si>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</si>
  <si>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</si>
  <si>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</si>
  <si>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</si>
  <si>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</si>
  <si>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</si>
  <si>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</si>
  <si>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</si>
  <si>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</si>
  <si>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</si>
  <si>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</si>
  <si>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</si>
  <si>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</si>
  <si>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</si>
  <si>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</si>
  <si>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</si>
  <si>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</si>
  <si>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</si>
  <si>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</si>
  <si>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</si>
  <si>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</si>
  <si>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</si>
  <si>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</si>
  <si>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</si>
  <si>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</si>
  <si>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</si>
  <si>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</si>
  <si>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</si>
  <si>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</si>
  <si>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</si>
  <si>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</si>
  <si>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</si>
  <si>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</si>
  <si>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</si>
  <si>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</si>
  <si>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</si>
  <si>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</si>
  <si>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</si>
  <si>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</si>
  <si>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</si>
  <si>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</si>
  <si>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</si>
  <si>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</si>
  <si>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</si>
  <si>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</si>
  <si>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</si>
  <si>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</si>
  <si>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</si>
  <si>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</si>
  <si>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</si>
  <si>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</si>
  <si>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</si>
  <si>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</si>
  <si>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</si>
  <si>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</si>
  <si>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</si>
  <si>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</si>
  <si>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</si>
  <si>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</si>
  <si>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</si>
  <si>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</si>
  <si>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</si>
  <si>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</si>
  <si>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</si>
  <si>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</si>
  <si>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</si>
  <si>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</si>
  <si>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</si>
  <si>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</si>
  <si>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</si>
  <si>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</si>
  <si>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</si>
  <si>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</si>
  <si>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</si>
  <si>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</si>
  <si>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</si>
  <si>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</si>
  <si>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</si>
  <si>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</si>
  <si>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</si>
  <si>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</si>
  <si>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</si>
  <si>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</si>
  <si>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</si>
  <si>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</si>
  <si>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</si>
  <si>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</si>
  <si>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</si>
  <si>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</si>
  <si>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</si>
  <si>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</si>
  <si>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</si>
  <si>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</si>
  <si>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</si>
  <si>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</si>
  <si>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</si>
  <si>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</si>
  <si>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</si>
  <si>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</si>
  <si>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</si>
  <si>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</si>
  <si>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</si>
  <si>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</si>
  <si>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</si>
  <si>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</si>
  <si>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</si>
  <si>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</si>
  <si>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</si>
  <si>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</si>
  <si>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</si>
  <si>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</si>
  <si>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</si>
  <si>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</si>
  <si>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</si>
  <si>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</si>
  <si>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</si>
  <si>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</si>
  <si>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</si>
  <si>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</si>
  <si>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</si>
  <si>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</si>
  <si>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</si>
  <si>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</si>
  <si>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</si>
  <si>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</si>
  <si>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</si>
  <si>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</si>
  <si>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</si>
  <si>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</si>
  <si>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</si>
  <si>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</si>
  <si>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</si>
  <si>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</si>
  <si>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</si>
  <si>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</si>
  <si>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</si>
  <si>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</si>
  <si>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</si>
  <si>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</si>
  <si>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</si>
  <si>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</si>
  <si>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</si>
  <si>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</si>
  <si>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</si>
  <si>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</si>
  <si>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</si>
  <si>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</si>
  <si>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</si>
  <si>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</si>
  <si>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</si>
  <si>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</si>
  <si>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</si>
  <si>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</si>
  <si>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</si>
  <si>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</si>
  <si>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</si>
  <si>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</si>
  <si>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</si>
  <si>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</si>
  <si>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</si>
  <si>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</si>
  <si>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</si>
  <si>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</si>
  <si>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</si>
  <si>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</si>
  <si>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</si>
  <si>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</si>
  <si>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</si>
  <si>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</si>
  <si>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</si>
  <si>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</si>
  <si>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</si>
  <si>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</si>
  <si>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</si>
  <si>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</si>
  <si>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</si>
  <si>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</si>
  <si>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</si>
  <si>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</si>
  <si>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</si>
  <si>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</si>
  <si>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</si>
  <si>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</si>
  <si>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</si>
  <si>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</si>
  <si>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</si>
  <si>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</si>
  <si>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</si>
  <si>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</si>
  <si>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</si>
  <si>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</si>
  <si>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</si>
  <si>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</si>
  <si>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</si>
  <si>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</si>
  <si>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</si>
  <si>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</si>
  <si>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</si>
  <si>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</si>
  <si>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</si>
  <si>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</si>
  <si>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</si>
  <si>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</si>
  <si>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</si>
  <si>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</si>
  <si>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</si>
  <si>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</si>
  <si>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 xml:space="preserve">Average Customers 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</si>
  <si>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</si>
  <si>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</si>
  <si>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</si>
  <si>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</si>
  <si>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</si>
  <si>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</si>
  <si>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</si>
  <si>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</si>
  <si>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</si>
  <si>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</si>
  <si>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</si>
  <si>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</si>
  <si>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</si>
  <si>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</si>
  <si>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</si>
  <si>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</si>
  <si>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</si>
  <si>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</si>
  <si>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</si>
  <si>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</si>
  <si>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</si>
  <si>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</si>
  <si>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</si>
  <si>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</si>
  <si>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</si>
  <si>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</si>
  <si>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</si>
  <si>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</si>
  <si>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</si>
  <si>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</si>
  <si>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</si>
  <si>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</si>
  <si>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</si>
  <si>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</si>
  <si>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</si>
  <si>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</si>
  <si>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</si>
  <si>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</si>
  <si>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</si>
  <si>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</si>
  <si>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</si>
  <si>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</si>
  <si>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</si>
  <si>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</si>
  <si>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</si>
  <si>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</si>
  <si>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</si>
  <si>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</si>
  <si>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</si>
  <si>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</si>
  <si>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</si>
  <si>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</si>
  <si>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</si>
  <si>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</si>
  <si>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</si>
  <si>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</si>
  <si>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</si>
  <si>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</si>
  <si>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</si>
  <si>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</si>
  <si>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</si>
  <si>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</si>
  <si>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</si>
  <si>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</si>
  <si>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</si>
  <si>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</si>
  <si>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</si>
  <si>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</si>
  <si>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</si>
  <si>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</si>
  <si>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</si>
  <si>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</si>
  <si>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</si>
  <si>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</si>
  <si>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</si>
  <si>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</si>
  <si>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</si>
  <si>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</si>
  <si>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</si>
  <si>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</si>
  <si>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</si>
  <si>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</si>
  <si>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</si>
  <si>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</si>
  <si>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</si>
  <si>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</si>
  <si>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</si>
  <si>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</si>
  <si>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</si>
  <si>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</si>
  <si>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</si>
  <si>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</si>
  <si>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</si>
  <si>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</si>
  <si>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</si>
  <si>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</si>
  <si>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Residential Service</t>
  </si>
  <si>
    <t>Rate 30</t>
  </si>
  <si>
    <t>Metered CP</t>
  </si>
  <si>
    <t>Calculated CP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</si>
  <si>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</si>
  <si>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</si>
  <si>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</si>
  <si>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</si>
  <si>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</si>
  <si>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</si>
  <si>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</si>
  <si>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</si>
  <si>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</si>
  <si>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</si>
  <si>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</si>
  <si>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</si>
  <si>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</si>
  <si>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</si>
  <si>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</si>
  <si>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</si>
  <si>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</si>
  <si>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</si>
  <si>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</si>
  <si>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</si>
  <si>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</si>
  <si>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</si>
  <si>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</si>
  <si>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</si>
  <si>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</si>
  <si>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</si>
  <si>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</si>
  <si>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</si>
  <si>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</si>
  <si>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</si>
  <si>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</si>
  <si>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</si>
  <si>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</si>
  <si>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</si>
  <si>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</si>
  <si>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</si>
  <si>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</si>
  <si>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</si>
  <si>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</si>
  <si>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</si>
  <si>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</si>
  <si>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</si>
  <si>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</si>
  <si>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</si>
  <si>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</si>
  <si>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</si>
  <si>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</si>
  <si>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</si>
  <si>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</si>
  <si>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</si>
  <si>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</si>
  <si>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</si>
  <si>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</si>
  <si>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</si>
  <si>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</si>
  <si>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</si>
  <si>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</si>
  <si>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</si>
  <si>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</si>
  <si>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</si>
  <si>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</si>
  <si>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</si>
  <si>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</si>
  <si>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</si>
  <si>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</si>
  <si>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</si>
  <si>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</si>
  <si>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</si>
  <si>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</si>
  <si>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</si>
  <si>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</si>
  <si>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</si>
  <si>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</si>
  <si>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</si>
  <si>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</si>
  <si>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</si>
  <si>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</si>
  <si>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</si>
  <si>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</si>
  <si>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</si>
  <si>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</si>
  <si>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</si>
  <si>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</si>
  <si>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</si>
  <si>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</si>
  <si>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</si>
  <si>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</si>
  <si>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</si>
  <si>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</si>
  <si>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</si>
  <si>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</si>
  <si>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</si>
  <si>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</si>
  <si>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</si>
  <si>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</si>
  <si>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</si>
  <si>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</si>
  <si>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</si>
  <si>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</si>
  <si>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</si>
  <si>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</si>
  <si>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</si>
  <si>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</si>
  <si>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</si>
  <si>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</si>
  <si>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</si>
  <si>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</si>
  <si>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</si>
  <si>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</si>
  <si>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</si>
  <si>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</si>
  <si>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</si>
  <si>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</si>
  <si>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</si>
  <si>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</si>
  <si>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</si>
  <si>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</si>
  <si>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</si>
  <si>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</si>
  <si>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</si>
  <si>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</si>
  <si>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</si>
  <si>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</si>
  <si>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</si>
  <si>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</si>
  <si>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</si>
  <si>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</si>
  <si>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</si>
  <si>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</si>
  <si>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</si>
  <si>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</si>
  <si>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</si>
  <si>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</si>
  <si>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</si>
  <si>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</si>
  <si>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</si>
  <si>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</si>
  <si>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</si>
  <si>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</si>
  <si>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</si>
  <si>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</si>
  <si>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Donations</t>
  </si>
  <si>
    <t>DONAT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</si>
  <si>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</si>
  <si>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</si>
  <si>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</si>
  <si>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</si>
  <si>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</si>
  <si>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</si>
  <si>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</si>
  <si>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Purchases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</si>
  <si>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</si>
  <si>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</si>
  <si>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</si>
  <si>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</si>
  <si>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</si>
  <si>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</si>
  <si>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</si>
  <si>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</si>
  <si>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</si>
  <si>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</si>
  <si>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</si>
  <si>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</si>
  <si>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</si>
  <si>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</si>
  <si>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</si>
  <si>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</si>
  <si>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</si>
  <si>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</si>
  <si>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</si>
  <si>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</si>
  <si>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</si>
  <si>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</si>
  <si>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</si>
  <si>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</si>
  <si>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</si>
  <si>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</si>
  <si>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</si>
  <si>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</si>
  <si>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</si>
  <si>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</si>
  <si>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</si>
  <si>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</si>
  <si>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</si>
  <si>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</si>
  <si>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</si>
  <si>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</si>
  <si>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</si>
  <si>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</si>
  <si>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</si>
  <si>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</si>
  <si>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</si>
  <si>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</si>
  <si>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</si>
  <si>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</si>
  <si>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</si>
  <si>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</si>
  <si>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</si>
  <si>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</si>
  <si>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</si>
  <si>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</si>
  <si>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</si>
  <si>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</si>
  <si>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</si>
  <si>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</si>
  <si>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</si>
  <si>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</si>
  <si>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</si>
  <si>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</si>
  <si>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</si>
  <si>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</si>
  <si>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</si>
  <si>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</si>
  <si>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Variance $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</si>
  <si>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</si>
  <si>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</si>
  <si>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</si>
  <si>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</si>
  <si>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</si>
  <si>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</si>
  <si>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</si>
  <si>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</si>
  <si>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</si>
  <si>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</si>
  <si>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</si>
  <si>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kWh</t>
  </si>
  <si>
    <t>To Remove Fuel Expense Recoverable through the FAC</t>
  </si>
  <si>
    <t>Rate Case Expenses</t>
  </si>
  <si>
    <t>Unitized Rate of Return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</si>
  <si>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</si>
  <si>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</si>
  <si>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</si>
  <si>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</si>
  <si>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</si>
  <si>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</si>
  <si>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</si>
  <si>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</si>
  <si>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</si>
  <si>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Materials and Supplies (13-Month Avg)</t>
  </si>
  <si>
    <t>Prepayments (13-Month Average)</t>
  </si>
  <si>
    <t>$/Month</t>
  </si>
  <si>
    <t>$/KWH</t>
  </si>
  <si>
    <t>$/KW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</si>
  <si>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</si>
  <si>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</si>
  <si>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</si>
  <si>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</si>
  <si>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</si>
  <si>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</si>
  <si>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</si>
  <si>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</si>
  <si>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</si>
  <si>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</si>
  <si>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</si>
  <si>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</si>
  <si>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</si>
  <si>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</si>
  <si>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</si>
  <si>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</si>
  <si>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</si>
  <si>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</si>
  <si>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</si>
  <si>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</si>
  <si>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</si>
  <si>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</si>
  <si>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</si>
  <si>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</si>
  <si>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</si>
  <si>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</si>
  <si>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</si>
  <si>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</si>
  <si>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</si>
  <si>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</si>
  <si>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</si>
  <si>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</si>
  <si>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</si>
  <si>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</si>
  <si>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</si>
  <si>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</si>
  <si>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</si>
  <si>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</si>
  <si>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</si>
  <si>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</si>
  <si>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</si>
  <si>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</si>
  <si>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</si>
  <si>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</si>
  <si>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</si>
  <si>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</si>
  <si>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</si>
  <si>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</si>
  <si>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</si>
  <si>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</si>
  <si>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</si>
  <si>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AMORT Property Losses &amp; Unrecover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</si>
  <si>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</si>
  <si>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</si>
  <si>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</si>
  <si>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</si>
  <si>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</si>
  <si>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</si>
  <si>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</si>
  <si>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</si>
  <si>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</si>
  <si>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</si>
  <si>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</si>
  <si>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</si>
  <si>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.</t>
  </si>
  <si>
    <t>Share of</t>
  </si>
  <si>
    <t>&lt;reserved&gt;</t>
  </si>
  <si>
    <t>Wages &amp; Salaries</t>
  </si>
  <si>
    <t>Variance</t>
  </si>
  <si>
    <t>Method</t>
  </si>
  <si>
    <t xml:space="preserve">Distribution </t>
  </si>
  <si>
    <t>Labor Expenses - for Labor Allocator</t>
  </si>
  <si>
    <t>Energy Usage (kWh)</t>
  </si>
  <si>
    <t>Residential</t>
  </si>
  <si>
    <t>GENERAL</t>
  </si>
  <si>
    <t>Reported:</t>
  </si>
  <si>
    <t>Variance:</t>
  </si>
  <si>
    <t xml:space="preserve">Share of </t>
  </si>
  <si>
    <t>reserved</t>
  </si>
  <si>
    <t>Target</t>
  </si>
  <si>
    <t>MEADE COUNTY R.E.C.C.</t>
  </si>
  <si>
    <t>Small Comm</t>
  </si>
  <si>
    <t>3 Phase</t>
  </si>
  <si>
    <t>3 Ph 0-999 KVA TOD</t>
  </si>
  <si>
    <t>3A</t>
  </si>
  <si>
    <t>Large 1000 KVA TOD</t>
  </si>
  <si>
    <t>Private Outdoor Lighting</t>
  </si>
  <si>
    <t>Street &amp; Hwy Lights</t>
  </si>
  <si>
    <t>X</t>
  </si>
  <si>
    <t>Rural Rate</t>
  </si>
  <si>
    <t>CP Demand (kW)</t>
  </si>
  <si>
    <t>Demand Rate ($/kW)</t>
  </si>
  <si>
    <t>Demand Charge $</t>
  </si>
  <si>
    <t>Energy Rate ($/kWh)</t>
  </si>
  <si>
    <t>Energy Charge $</t>
  </si>
  <si>
    <t>Renewable Resource Energy $</t>
  </si>
  <si>
    <t>FAC $</t>
  </si>
  <si>
    <t>Non-FAC PPA $</t>
  </si>
  <si>
    <t>ES $</t>
  </si>
  <si>
    <t>MRSM $</t>
  </si>
  <si>
    <t>Large Industrial Rate</t>
  </si>
  <si>
    <t>Actual Demand (kW)</t>
  </si>
  <si>
    <t>Adjustment</t>
  </si>
  <si>
    <t>Total Demand $</t>
  </si>
  <si>
    <t>Total Energy $</t>
  </si>
  <si>
    <t>Total $</t>
  </si>
  <si>
    <t>Total Demand %</t>
  </si>
  <si>
    <t>Total Energy %</t>
  </si>
  <si>
    <t>ES Demand / Energy Split</t>
  </si>
  <si>
    <t>Energy Portion</t>
  </si>
  <si>
    <t>Demand Portion</t>
  </si>
  <si>
    <t>NS Non-FAC PPA $</t>
  </si>
  <si>
    <t>LB935</t>
  </si>
  <si>
    <t>4A CWC</t>
  </si>
  <si>
    <t>6A CWC</t>
  </si>
  <si>
    <t>1-0 F CU</t>
  </si>
  <si>
    <t>1/0 ACSR</t>
  </si>
  <si>
    <t>3/0 ACSR</t>
  </si>
  <si>
    <t>2 ACSR</t>
  </si>
  <si>
    <t>4 ACSR</t>
  </si>
  <si>
    <t>1/0 WP</t>
  </si>
  <si>
    <t>4/0 QPC</t>
  </si>
  <si>
    <t>500 MCM</t>
  </si>
  <si>
    <t>336.4 WIRE</t>
  </si>
  <si>
    <t>336.4 QUAD WIRE</t>
  </si>
  <si>
    <t>4/0 UG WIRE</t>
  </si>
  <si>
    <t>PRIMARY 1/O UG WIRE</t>
  </si>
  <si>
    <t>350 MCM UG</t>
  </si>
  <si>
    <t>1 1/2 CONV TRANS</t>
  </si>
  <si>
    <t>3 CONV TRANS</t>
  </si>
  <si>
    <t>5 CONV TRANS</t>
  </si>
  <si>
    <t>7 1/2 CONV TRANS</t>
  </si>
  <si>
    <t>10 CONV TRANS</t>
  </si>
  <si>
    <t>15 CONV TRANS</t>
  </si>
  <si>
    <t>25 CONV TRANS</t>
  </si>
  <si>
    <t>37 1/2 CONV TRANS</t>
  </si>
  <si>
    <t>50 CONV TRANS</t>
  </si>
  <si>
    <t>1 1/2 CSP TRANS</t>
  </si>
  <si>
    <t>3 CSP TRANS</t>
  </si>
  <si>
    <t>5 CSP TRANS</t>
  </si>
  <si>
    <t>7 1/2 CSP TRANS</t>
  </si>
  <si>
    <t>10 CSP TRANS</t>
  </si>
  <si>
    <t>15 CSP TRANS</t>
  </si>
  <si>
    <t>25 CSP TRANS</t>
  </si>
  <si>
    <t>37 1/2 CSP TRANS</t>
  </si>
  <si>
    <t>50 CSP TRANS</t>
  </si>
  <si>
    <t>SINGLE PHASE 25 KVA PADMOUNT</t>
  </si>
  <si>
    <t>SINGLE PHASE 37.5 KVA PADMOUNT</t>
  </si>
  <si>
    <t>SINGLE PHASE 50 KVA PADMOUNT</t>
  </si>
  <si>
    <t>75 CONV TRANS</t>
  </si>
  <si>
    <t>100 CONV TRANS</t>
  </si>
  <si>
    <t>150 CONV TRANS</t>
  </si>
  <si>
    <t>250 CONV TRANS</t>
  </si>
  <si>
    <t>500 CONV TRANS</t>
  </si>
  <si>
    <t>333 CONV KVA TRANS</t>
  </si>
  <si>
    <t>SINGLE PHASE 75 KVA PADMOUNT</t>
  </si>
  <si>
    <t>THREE PHASE 75 KVA PADMOUNT</t>
  </si>
  <si>
    <t>THREE PHASE 112.5 KVA PADMOUNT</t>
  </si>
  <si>
    <t>THREE PHASE 150 KVA PADMOUNT</t>
  </si>
  <si>
    <t>THREE PHASE 300 KVA PADMOUNT</t>
  </si>
  <si>
    <t>THREE PHASE 500 KVA PADMOUNT</t>
  </si>
  <si>
    <t>THREE PHASE 750 KVA PADMOUNT</t>
  </si>
  <si>
    <t>THREE PHASE 1000 KVA PADMOUNT</t>
  </si>
  <si>
    <t>THREE PHASE 1500 KVA PADMOUNT</t>
  </si>
  <si>
    <t>THREE PHASE 2500 KVA PADMOUNT</t>
  </si>
  <si>
    <t>THREE PHASE 2000 KVA PADMOUNT</t>
  </si>
  <si>
    <t>Installation Option Costs</t>
  </si>
  <si>
    <t>Installation Option Splits</t>
  </si>
  <si>
    <t>Classified Cost-Based Rates</t>
  </si>
  <si>
    <t>Fuel Adjustment Clause</t>
  </si>
  <si>
    <t>Environmental Surcharge</t>
  </si>
  <si>
    <t>Member Rate Stability Mechanism</t>
  </si>
  <si>
    <t>Non-Smelter Non-FAC PPA</t>
  </si>
  <si>
    <t>Year-End Customer Normalization</t>
  </si>
  <si>
    <t>Depreciation Expense Normalization</t>
  </si>
  <si>
    <t>Advertising &amp; Donations</t>
  </si>
  <si>
    <t>Directors Expense</t>
  </si>
  <si>
    <t>Life Insurance Premiums</t>
  </si>
  <si>
    <t>Retirement Plan Contributions</t>
  </si>
  <si>
    <t>Health, Dental &amp; Vision Insurance Premiums</t>
  </si>
  <si>
    <t>Demand Rev (excl ES)</t>
  </si>
  <si>
    <t>Energy Rev (excl ES)</t>
  </si>
  <si>
    <t>Total Rev (excl ES)</t>
  </si>
  <si>
    <t xml:space="preserve">To Remove Expenses Recoverable through the ES </t>
  </si>
  <si>
    <t xml:space="preserve">Jan  </t>
  </si>
  <si>
    <t xml:space="preserve">Feb  </t>
  </si>
  <si>
    <t>Energy  On Peak (kWh)</t>
  </si>
  <si>
    <t>Energy  Off Peak (kWh)</t>
  </si>
  <si>
    <t>Energy Rate On Peak $/kWh)</t>
  </si>
  <si>
    <t>Energy Rate Off Peak ($/kWh)</t>
  </si>
  <si>
    <t>Energy Charge On Peak $</t>
  </si>
  <si>
    <t>Energy Charge Off Peak $</t>
  </si>
  <si>
    <t>SC</t>
  </si>
  <si>
    <t>167 KVA CONV</t>
  </si>
  <si>
    <t>75 CSP TRANS</t>
  </si>
  <si>
    <t>SINGLE PHASE 15 KVA PADMOUNT</t>
  </si>
  <si>
    <t>SINGLE PHASE 100 KVA PADMOUNT</t>
  </si>
  <si>
    <t>THREE PHASE 225 KVA PADMOUNT</t>
  </si>
  <si>
    <t>$/Day</t>
  </si>
  <si>
    <t>NA</t>
  </si>
  <si>
    <t>After Proposed Increase</t>
  </si>
  <si>
    <t>Proposed Increase</t>
  </si>
  <si>
    <t xml:space="preserve"> Interest Expense</t>
  </si>
  <si>
    <t>Total PFAs:</t>
  </si>
  <si>
    <t>FAC</t>
  </si>
  <si>
    <t>ES</t>
  </si>
  <si>
    <t>MRSM</t>
  </si>
  <si>
    <t>NFPPA</t>
  </si>
  <si>
    <t>Special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</si>
</sst>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_(&quot;$&quot;* #,##0.000_);_(&quot;$&quot;* \(#,##0.000\);_(&quot;$&quot;* &quot;-&quot;??_);_(@_)"/>
    <numFmt numFmtId="182" formatCode="0.0%"/>
  </numFmts>
  <fonts count="23" x14ac:knownFonts="1">
    <font>
      <sz val="11"/>
      <name val="Times New Roman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theme="0"/>
      <name val="Arial"/>
      <family val="2"/>
    </font>
    <font>
      <b/>
      <sz val="10"/>
      <color rgb="FF7030A0"/>
      <name val="Arial"/>
      <family val="2"/>
    </font>
    <font>
      <sz val="10"/>
      <color rgb="FFFF0000"/>
      <name val="Arial"/>
      <family val="2"/>
    </font>
    <font>
      <sz val="10"/>
      <color rgb="FF0000CC"/>
      <name val="Arial"/>
      <family val="2"/>
    </font>
    <font>
      <sz val="10"/>
      <color rgb="FF7030A0"/>
      <name val="Arial"/>
      <family val="2"/>
    </font>
    <font>
      <sz val="11"/>
      <color rgb="FF0D04BC"/>
      <name val="Times New Roman"/>
      <family val="1"/>
    </font>
    <font>
      <sz val="11"/>
      <color rgb="FFFF0000"/>
      <name val="Times New Roman"/>
      <family val="1"/>
    </font>
    <font>
      <sz val="11"/>
      <color rgb="FF0000CC"/>
      <name val="Times New Roman"/>
      <family val="1"/>
    </font>
    <font>
      <b/>
      <u/>
      <sz val="11"/>
      <name val="Times New Roman"/>
      <family val="1"/>
    </font>
    <font>
      <sz val="8"/>
      <name val="Times New Roman"/>
      <family val="1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88">
    <xf numFmtId="0" fontId="0" fillId="0" borderId="0" xfId="0"/>
    <xf numFmtId="0" fontId="0" fillId="0" borderId="0" xfId="0" applyAlignment="1">
      <alignment horizontal="centerContinuous"/>
    </xf>
    <xf numFmtId="0" fontId="2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1" fillId="0" borderId="0" xfId="0" applyFont="1"/>
    <xf numFmtId="167" fontId="0" fillId="0" borderId="0" xfId="0" applyNumberForma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6" fontId="3" fillId="0" borderId="0" xfId="1" applyNumberFormat="1" applyFont="1" applyAlignment="1">
      <alignment horizontal="center"/>
    </xf>
    <xf numFmtId="177" fontId="3" fillId="0" borderId="2" xfId="1" applyNumberFormat="1" applyFont="1" applyBorder="1" applyAlignment="1">
      <alignment horizontal="left"/>
    </xf>
    <xf numFmtId="177" fontId="3" fillId="0" borderId="2" xfId="1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166" fontId="4" fillId="0" borderId="0" xfId="1" applyNumberFormat="1" applyFont="1"/>
    <xf numFmtId="43" fontId="4" fillId="0" borderId="0" xfId="1" applyFont="1"/>
    <xf numFmtId="0" fontId="4" fillId="0" borderId="3" xfId="0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6" fontId="3" fillId="0" borderId="2" xfId="1" applyNumberFormat="1" applyFont="1" applyBorder="1" applyAlignment="1">
      <alignment horizontal="right"/>
    </xf>
    <xf numFmtId="177" fontId="4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166" fontId="4" fillId="0" borderId="0" xfId="0" applyNumberFormat="1" applyFont="1"/>
    <xf numFmtId="44" fontId="4" fillId="0" borderId="3" xfId="0" applyNumberFormat="1" applyFont="1" applyBorder="1"/>
    <xf numFmtId="166" fontId="4" fillId="0" borderId="3" xfId="1" applyNumberFormat="1" applyFont="1" applyBorder="1"/>
    <xf numFmtId="171" fontId="4" fillId="0" borderId="0" xfId="1" applyNumberFormat="1" applyFont="1"/>
    <xf numFmtId="170" fontId="4" fillId="0" borderId="0" xfId="1" applyNumberFormat="1" applyFont="1"/>
    <xf numFmtId="177" fontId="4" fillId="0" borderId="0" xfId="1" applyNumberFormat="1" applyFont="1"/>
    <xf numFmtId="44" fontId="4" fillId="0" borderId="0" xfId="2" applyFont="1"/>
    <xf numFmtId="165" fontId="4" fillId="0" borderId="0" xfId="2" applyNumberFormat="1" applyFont="1"/>
    <xf numFmtId="168" fontId="4" fillId="0" borderId="0" xfId="0" applyNumberFormat="1" applyFont="1"/>
    <xf numFmtId="10" fontId="4" fillId="0" borderId="4" xfId="3" applyNumberFormat="1" applyFont="1" applyBorder="1"/>
    <xf numFmtId="10" fontId="4" fillId="0" borderId="5" xfId="0" applyNumberFormat="1" applyFont="1" applyBorder="1"/>
    <xf numFmtId="10" fontId="4" fillId="0" borderId="0" xfId="0" applyNumberFormat="1" applyFont="1"/>
    <xf numFmtId="43" fontId="4" fillId="0" borderId="0" xfId="1" applyFont="1" applyFill="1"/>
    <xf numFmtId="172" fontId="4" fillId="0" borderId="0" xfId="1" applyNumberFormat="1" applyFont="1" applyFill="1"/>
    <xf numFmtId="166" fontId="4" fillId="0" borderId="0" xfId="1" applyNumberFormat="1" applyFont="1" applyFill="1"/>
    <xf numFmtId="43" fontId="3" fillId="0" borderId="0" xfId="1" applyFont="1" applyFill="1" applyBorder="1" applyAlignment="1">
      <alignment horizontal="center"/>
    </xf>
    <xf numFmtId="166" fontId="3" fillId="0" borderId="0" xfId="1" applyNumberFormat="1" applyFont="1" applyFill="1" applyBorder="1" applyAlignment="1"/>
    <xf numFmtId="43" fontId="3" fillId="0" borderId="0" xfId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 wrapText="1"/>
    </xf>
    <xf numFmtId="172" fontId="4" fillId="0" borderId="0" xfId="1" applyNumberFormat="1" applyFont="1" applyFill="1" applyAlignment="1">
      <alignment horizontal="center"/>
    </xf>
    <xf numFmtId="43" fontId="3" fillId="0" borderId="0" xfId="1" applyFont="1" applyFill="1" applyAlignment="1">
      <alignment horizontal="right"/>
    </xf>
    <xf numFmtId="166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center"/>
    </xf>
    <xf numFmtId="172" fontId="3" fillId="0" borderId="0" xfId="1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172" fontId="3" fillId="0" borderId="1" xfId="1" applyNumberFormat="1" applyFont="1" applyFill="1" applyBorder="1" applyAlignment="1">
      <alignment horizontal="right"/>
    </xf>
    <xf numFmtId="165" fontId="4" fillId="0" borderId="0" xfId="2" applyNumberFormat="1" applyFont="1" applyFill="1"/>
    <xf numFmtId="10" fontId="4" fillId="0" borderId="0" xfId="3" applyNumberFormat="1" applyFont="1" applyFill="1"/>
    <xf numFmtId="165" fontId="4" fillId="0" borderId="0" xfId="2" applyNumberFormat="1" applyFont="1" applyFill="1" applyBorder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5" fontId="4" fillId="0" borderId="6" xfId="2" applyNumberFormat="1" applyFont="1" applyFill="1" applyBorder="1" applyAlignment="1">
      <alignment vertical="center"/>
    </xf>
    <xf numFmtId="10" fontId="4" fillId="0" borderId="6" xfId="3" applyNumberFormat="1" applyFont="1" applyFill="1" applyBorder="1" applyAlignment="1">
      <alignment vertical="center"/>
    </xf>
    <xf numFmtId="43" fontId="4" fillId="0" borderId="6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4" fontId="4" fillId="0" borderId="0" xfId="2" applyFont="1" applyFill="1" applyBorder="1"/>
    <xf numFmtId="43" fontId="4" fillId="0" borderId="0" xfId="1" applyFont="1" applyFill="1" applyAlignment="1">
      <alignment horizontal="right"/>
    </xf>
    <xf numFmtId="43" fontId="4" fillId="0" borderId="0" xfId="0" applyNumberFormat="1" applyFont="1"/>
    <xf numFmtId="166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Continuous"/>
    </xf>
    <xf numFmtId="2" fontId="4" fillId="0" borderId="0" xfId="0" applyNumberFormat="1" applyFont="1"/>
    <xf numFmtId="165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3" fillId="0" borderId="0" xfId="0" quotePrefix="1" applyFont="1"/>
    <xf numFmtId="0" fontId="4" fillId="0" borderId="0" xfId="0" quotePrefix="1" applyFont="1"/>
    <xf numFmtId="169" fontId="4" fillId="0" borderId="0" xfId="0" applyNumberFormat="1" applyFont="1"/>
    <xf numFmtId="169" fontId="4" fillId="0" borderId="0" xfId="1" applyNumberFormat="1" applyFont="1" applyFill="1"/>
    <xf numFmtId="169" fontId="4" fillId="0" borderId="0" xfId="0" applyNumberFormat="1" applyFont="1" applyAlignment="1">
      <alignment horizontal="centerContinuous"/>
    </xf>
    <xf numFmtId="166" fontId="4" fillId="0" borderId="0" xfId="1" applyNumberFormat="1" applyFont="1" applyFill="1" applyAlignment="1">
      <alignment horizontal="centerContinuous"/>
    </xf>
    <xf numFmtId="171" fontId="4" fillId="0" borderId="0" xfId="1" applyNumberFormat="1" applyFont="1" applyFill="1"/>
    <xf numFmtId="165" fontId="4" fillId="0" borderId="3" xfId="2" applyNumberFormat="1" applyFont="1" applyFill="1" applyBorder="1"/>
    <xf numFmtId="10" fontId="3" fillId="0" borderId="9" xfId="3" applyNumberFormat="1" applyFont="1" applyFill="1" applyBorder="1"/>
    <xf numFmtId="165" fontId="4" fillId="0" borderId="3" xfId="0" applyNumberFormat="1" applyFont="1" applyBorder="1"/>
    <xf numFmtId="172" fontId="4" fillId="0" borderId="0" xfId="0" applyNumberFormat="1" applyFont="1"/>
    <xf numFmtId="167" fontId="4" fillId="0" borderId="0" xfId="0" applyNumberFormat="1" applyFont="1"/>
    <xf numFmtId="164" fontId="4" fillId="0" borderId="0" xfId="2" applyNumberFormat="1" applyFont="1" applyFill="1"/>
    <xf numFmtId="164" fontId="4" fillId="0" borderId="0" xfId="0" applyNumberFormat="1" applyFont="1"/>
    <xf numFmtId="172" fontId="7" fillId="0" borderId="0" xfId="0" applyNumberFormat="1" applyFont="1" applyAlignment="1">
      <alignment vertical="center"/>
    </xf>
    <xf numFmtId="176" fontId="4" fillId="0" borderId="0" xfId="0" applyNumberFormat="1" applyFont="1"/>
    <xf numFmtId="172" fontId="7" fillId="0" borderId="0" xfId="0" applyNumberFormat="1" applyFont="1"/>
    <xf numFmtId="43" fontId="7" fillId="0" borderId="0" xfId="1" applyFont="1" applyFill="1"/>
    <xf numFmtId="172" fontId="4" fillId="0" borderId="0" xfId="0" applyNumberFormat="1" applyFont="1" applyAlignment="1">
      <alignment vertical="center"/>
    </xf>
    <xf numFmtId="178" fontId="4" fillId="0" borderId="0" xfId="0" applyNumberFormat="1" applyFont="1"/>
    <xf numFmtId="171" fontId="4" fillId="0" borderId="0" xfId="0" applyNumberFormat="1" applyFont="1"/>
    <xf numFmtId="10" fontId="4" fillId="0" borderId="0" xfId="0" applyNumberFormat="1" applyFont="1" applyAlignment="1">
      <alignment horizontal="right"/>
    </xf>
    <xf numFmtId="43" fontId="4" fillId="0" borderId="0" xfId="0" applyNumberFormat="1" applyFont="1" applyAlignment="1">
      <alignment horizontal="right"/>
    </xf>
    <xf numFmtId="172" fontId="4" fillId="0" borderId="0" xfId="0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left"/>
    </xf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66" fontId="4" fillId="0" borderId="0" xfId="1" applyNumberFormat="1" applyFont="1" applyFill="1" applyAlignment="1"/>
    <xf numFmtId="166" fontId="4" fillId="0" borderId="0" xfId="3" applyNumberFormat="1" applyFont="1" applyFill="1" applyAlignment="1"/>
    <xf numFmtId="165" fontId="4" fillId="0" borderId="0" xfId="2" applyNumberFormat="1" applyFont="1" applyFill="1" applyAlignment="1"/>
    <xf numFmtId="9" fontId="4" fillId="0" borderId="0" xfId="3" applyFont="1" applyFill="1"/>
    <xf numFmtId="0" fontId="4" fillId="0" borderId="3" xfId="0" applyFont="1" applyBorder="1" applyAlignment="1">
      <alignment horizontal="center"/>
    </xf>
    <xf numFmtId="166" fontId="4" fillId="0" borderId="3" xfId="1" applyNumberFormat="1" applyFont="1" applyFill="1" applyBorder="1" applyAlignment="1"/>
    <xf numFmtId="165" fontId="4" fillId="0" borderId="3" xfId="2" applyNumberFormat="1" applyFont="1" applyFill="1" applyBorder="1" applyAlignment="1"/>
    <xf numFmtId="166" fontId="4" fillId="0" borderId="3" xfId="0" applyNumberFormat="1" applyFont="1" applyBorder="1"/>
    <xf numFmtId="10" fontId="4" fillId="0" borderId="3" xfId="3" applyNumberFormat="1" applyFont="1" applyFill="1" applyBorder="1"/>
    <xf numFmtId="44" fontId="4" fillId="0" borderId="0" xfId="2" applyFont="1" applyFill="1"/>
    <xf numFmtId="166" fontId="3" fillId="0" borderId="0" xfId="1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66" fontId="8" fillId="0" borderId="0" xfId="1" applyNumberFormat="1" applyFont="1" applyFill="1" applyAlignment="1">
      <alignment horizontal="left"/>
    </xf>
    <xf numFmtId="166" fontId="8" fillId="0" borderId="0" xfId="1" applyNumberFormat="1" applyFont="1" applyFill="1" applyAlignment="1">
      <alignment horizontal="center"/>
    </xf>
    <xf numFmtId="180" fontId="8" fillId="0" borderId="0" xfId="1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0" fontId="7" fillId="0" borderId="0" xfId="0" applyFont="1"/>
    <xf numFmtId="4" fontId="4" fillId="0" borderId="0" xfId="0" applyNumberFormat="1" applyFont="1"/>
    <xf numFmtId="166" fontId="4" fillId="0" borderId="0" xfId="0" applyNumberFormat="1" applyFont="1" applyAlignment="1">
      <alignment horizontal="center"/>
    </xf>
    <xf numFmtId="166" fontId="4" fillId="0" borderId="0" xfId="3" applyNumberFormat="1" applyFont="1" applyFill="1" applyAlignment="1">
      <alignment horizontal="right"/>
    </xf>
    <xf numFmtId="179" fontId="5" fillId="0" borderId="0" xfId="0" applyNumberFormat="1" applyFont="1" applyAlignment="1">
      <alignment horizontal="center"/>
    </xf>
    <xf numFmtId="179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1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right"/>
    </xf>
    <xf numFmtId="10" fontId="4" fillId="0" borderId="0" xfId="3" applyNumberFormat="1" applyFont="1" applyFill="1" applyAlignment="1">
      <alignment horizontal="right"/>
    </xf>
    <xf numFmtId="0" fontId="4" fillId="0" borderId="6" xfId="0" applyFont="1" applyBorder="1"/>
    <xf numFmtId="166" fontId="4" fillId="0" borderId="6" xfId="1" applyNumberFormat="1" applyFont="1" applyFill="1" applyBorder="1" applyAlignment="1">
      <alignment horizontal="center"/>
    </xf>
    <xf numFmtId="166" fontId="4" fillId="0" borderId="6" xfId="1" applyNumberFormat="1" applyFont="1" applyFill="1" applyBorder="1"/>
    <xf numFmtId="44" fontId="4" fillId="0" borderId="6" xfId="2" applyFont="1" applyFill="1" applyBorder="1"/>
    <xf numFmtId="165" fontId="4" fillId="0" borderId="6" xfId="0" applyNumberFormat="1" applyFont="1" applyBorder="1"/>
    <xf numFmtId="10" fontId="4" fillId="0" borderId="6" xfId="0" applyNumberFormat="1" applyFont="1" applyBorder="1"/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0" xfId="1" applyNumberFormat="1" applyFont="1" applyFill="1" applyBorder="1"/>
    <xf numFmtId="165" fontId="4" fillId="0" borderId="0" xfId="2" applyNumberFormat="1" applyFont="1" applyFill="1" applyAlignment="1">
      <alignment horizontal="center"/>
    </xf>
    <xf numFmtId="166" fontId="4" fillId="0" borderId="6" xfId="1" applyNumberFormat="1" applyFont="1" applyFill="1" applyBorder="1" applyAlignment="1">
      <alignment horizontal="right"/>
    </xf>
    <xf numFmtId="44" fontId="4" fillId="0" borderId="6" xfId="2" applyFont="1" applyFill="1" applyBorder="1" applyAlignment="1">
      <alignment horizontal="right"/>
    </xf>
    <xf numFmtId="165" fontId="4" fillId="0" borderId="6" xfId="0" applyNumberFormat="1" applyFont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166" fontId="4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70" fontId="4" fillId="0" borderId="0" xfId="1" applyNumberFormat="1" applyFont="1" applyFill="1"/>
    <xf numFmtId="43" fontId="7" fillId="0" borderId="0" xfId="1" applyFont="1" applyFill="1" applyAlignment="1">
      <alignment vertical="center"/>
    </xf>
    <xf numFmtId="44" fontId="4" fillId="0" borderId="0" xfId="0" applyNumberFormat="1" applyFont="1"/>
    <xf numFmtId="172" fontId="3" fillId="0" borderId="0" xfId="1" applyNumberFormat="1" applyFont="1" applyFill="1" applyBorder="1" applyAlignment="1">
      <alignment horizontal="center"/>
    </xf>
    <xf numFmtId="43" fontId="4" fillId="0" borderId="0" xfId="1" applyFont="1" applyFill="1" applyBorder="1"/>
    <xf numFmtId="171" fontId="4" fillId="0" borderId="0" xfId="1" applyNumberFormat="1" applyFont="1" applyFill="1" applyBorder="1"/>
    <xf numFmtId="171" fontId="4" fillId="2" borderId="0" xfId="1" applyNumberFormat="1" applyFont="1" applyFill="1"/>
    <xf numFmtId="43" fontId="4" fillId="0" borderId="1" xfId="1" applyFont="1" applyFill="1" applyBorder="1" applyAlignment="1">
      <alignment horizontal="center"/>
    </xf>
    <xf numFmtId="0" fontId="4" fillId="0" borderId="0" xfId="0" quotePrefix="1" applyFont="1" applyAlignment="1">
      <alignment horizontal="left"/>
    </xf>
    <xf numFmtId="166" fontId="6" fillId="0" borderId="0" xfId="1" applyNumberFormat="1" applyFont="1" applyFill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166" fontId="3" fillId="0" borderId="0" xfId="1" applyNumberFormat="1" applyFont="1" applyFill="1"/>
    <xf numFmtId="43" fontId="3" fillId="0" borderId="0" xfId="1" applyFont="1" applyFill="1" applyBorder="1"/>
    <xf numFmtId="10" fontId="3" fillId="0" borderId="0" xfId="3" applyNumberFormat="1" applyFont="1" applyFill="1" applyBorder="1"/>
    <xf numFmtId="0" fontId="4" fillId="0" borderId="3" xfId="0" applyFont="1" applyBorder="1"/>
    <xf numFmtId="175" fontId="4" fillId="0" borderId="0" xfId="0" applyNumberFormat="1" applyFont="1"/>
    <xf numFmtId="174" fontId="4" fillId="0" borderId="0" xfId="0" applyNumberFormat="1" applyFont="1"/>
    <xf numFmtId="173" fontId="4" fillId="0" borderId="0" xfId="0" applyNumberFormat="1" applyFont="1"/>
    <xf numFmtId="0" fontId="6" fillId="0" borderId="0" xfId="0" applyFont="1"/>
    <xf numFmtId="10" fontId="4" fillId="0" borderId="0" xfId="0" applyNumberFormat="1" applyFont="1" applyAlignment="1">
      <alignment horizontal="left"/>
    </xf>
    <xf numFmtId="44" fontId="4" fillId="0" borderId="0" xfId="2" applyFont="1" applyAlignment="1">
      <alignment horizontal="right"/>
    </xf>
    <xf numFmtId="166" fontId="9" fillId="0" borderId="0" xfId="1" applyNumberFormat="1" applyFont="1" applyFill="1"/>
    <xf numFmtId="165" fontId="12" fillId="0" borderId="0" xfId="2" applyNumberFormat="1" applyFont="1" applyFill="1" applyAlignment="1">
      <alignment horizontal="right"/>
    </xf>
    <xf numFmtId="166" fontId="12" fillId="0" borderId="0" xfId="1" applyNumberFormat="1" applyFont="1"/>
    <xf numFmtId="43" fontId="12" fillId="0" borderId="0" xfId="1" applyFont="1"/>
    <xf numFmtId="44" fontId="4" fillId="0" borderId="0" xfId="0" applyNumberFormat="1" applyFont="1" applyAlignment="1">
      <alignment horizontal="center"/>
    </xf>
    <xf numFmtId="165" fontId="12" fillId="0" borderId="0" xfId="2" applyNumberFormat="1" applyFont="1" applyFill="1"/>
    <xf numFmtId="166" fontId="12" fillId="0" borderId="0" xfId="1" applyNumberFormat="1" applyFont="1" applyFill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7" fontId="4" fillId="0" borderId="0" xfId="1" applyNumberFormat="1" applyFont="1" applyFill="1"/>
    <xf numFmtId="181" fontId="4" fillId="0" borderId="0" xfId="0" applyNumberFormat="1" applyFont="1"/>
    <xf numFmtId="182" fontId="4" fillId="0" borderId="0" xfId="3" applyNumberFormat="1" applyFont="1" applyFill="1" applyAlignment="1">
      <alignment horizontal="right"/>
    </xf>
    <xf numFmtId="182" fontId="4" fillId="0" borderId="6" xfId="3" applyNumberFormat="1" applyFont="1" applyFill="1" applyBorder="1" applyAlignment="1">
      <alignment horizontal="right" vertical="center"/>
    </xf>
    <xf numFmtId="44" fontId="12" fillId="0" borderId="0" xfId="2" applyFont="1"/>
    <xf numFmtId="0" fontId="3" fillId="0" borderId="0" xfId="1" applyNumberFormat="1" applyFont="1" applyFill="1"/>
    <xf numFmtId="165" fontId="12" fillId="0" borderId="0" xfId="2" applyNumberFormat="1" applyFont="1" applyFill="1" applyAlignment="1"/>
    <xf numFmtId="182" fontId="4" fillId="0" borderId="0" xfId="3" applyNumberFormat="1" applyFont="1"/>
    <xf numFmtId="0" fontId="4" fillId="0" borderId="10" xfId="0" applyFont="1" applyBorder="1"/>
    <xf numFmtId="166" fontId="4" fillId="0" borderId="10" xfId="1" applyNumberFormat="1" applyFont="1" applyBorder="1"/>
    <xf numFmtId="166" fontId="1" fillId="0" borderId="0" xfId="1" applyNumberFormat="1" applyFont="1" applyFill="1"/>
    <xf numFmtId="10" fontId="1" fillId="0" borderId="0" xfId="3" applyNumberFormat="1" applyFont="1" applyFill="1"/>
    <xf numFmtId="166" fontId="14" fillId="0" borderId="0" xfId="1" applyNumberFormat="1" applyFont="1" applyFill="1"/>
    <xf numFmtId="0" fontId="17" fillId="0" borderId="0" xfId="0" applyFont="1" applyAlignment="1">
      <alignment horizontal="right"/>
    </xf>
    <xf numFmtId="165" fontId="0" fillId="0" borderId="0" xfId="2" applyNumberFormat="1" applyFont="1" applyFill="1" applyAlignment="1">
      <alignment horizontal="right"/>
    </xf>
    <xf numFmtId="165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170" fontId="16" fillId="0" borderId="0" xfId="1" applyNumberFormat="1" applyFont="1" applyAlignment="1">
      <alignment horizontal="right"/>
    </xf>
    <xf numFmtId="170" fontId="15" fillId="0" borderId="0" xfId="1" applyNumberFormat="1" applyFont="1" applyAlignment="1">
      <alignment horizontal="right"/>
    </xf>
    <xf numFmtId="165" fontId="15" fillId="0" borderId="0" xfId="2" applyNumberFormat="1" applyFont="1" applyFill="1" applyAlignment="1">
      <alignment horizontal="right"/>
    </xf>
    <xf numFmtId="165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43" fontId="1" fillId="0" borderId="0" xfId="1" applyFont="1" applyFill="1"/>
    <xf numFmtId="0" fontId="10" fillId="0" borderId="1" xfId="0" applyFont="1" applyBorder="1" applyAlignment="1">
      <alignment horizontal="right"/>
    </xf>
    <xf numFmtId="43" fontId="4" fillId="0" borderId="0" xfId="1" applyFont="1" applyFill="1" applyBorder="1" applyAlignment="1">
      <alignment horizontal="center"/>
    </xf>
    <xf numFmtId="43" fontId="4" fillId="0" borderId="0" xfId="1" applyFont="1" applyAlignment="1">
      <alignment horizontal="left"/>
    </xf>
    <xf numFmtId="166" fontId="7" fillId="0" borderId="0" xfId="1" applyNumberFormat="1" applyFont="1" applyFill="1"/>
    <xf numFmtId="165" fontId="16" fillId="0" borderId="0" xfId="2" applyNumberFormat="1" applyFont="1" applyFill="1" applyAlignment="1">
      <alignment horizontal="right"/>
    </xf>
    <xf numFmtId="165" fontId="16" fillId="0" borderId="0" xfId="2" applyNumberFormat="1" applyFont="1" applyAlignment="1">
      <alignment horizontal="right"/>
    </xf>
    <xf numFmtId="43" fontId="4" fillId="3" borderId="0" xfId="1" applyFont="1" applyFill="1"/>
    <xf numFmtId="171" fontId="19" fillId="0" borderId="0" xfId="1" applyNumberFormat="1" applyFont="1" applyFill="1" applyBorder="1"/>
    <xf numFmtId="177" fontId="4" fillId="0" borderId="0" xfId="1" applyNumberFormat="1" applyFont="1" applyFill="1" applyAlignment="1">
      <alignment horizontal="center"/>
    </xf>
    <xf numFmtId="10" fontId="3" fillId="0" borderId="9" xfId="3" applyNumberFormat="1" applyFont="1" applyFill="1" applyBorder="1" applyAlignment="1">
      <alignment horizontal="right"/>
    </xf>
    <xf numFmtId="165" fontId="4" fillId="0" borderId="0" xfId="3" applyNumberFormat="1" applyFont="1" applyFill="1" applyAlignment="1">
      <alignment horizontal="right"/>
    </xf>
    <xf numFmtId="165" fontId="12" fillId="4" borderId="0" xfId="2" applyNumberFormat="1" applyFont="1" applyFill="1"/>
    <xf numFmtId="43" fontId="4" fillId="2" borderId="0" xfId="1" applyFont="1" applyFill="1"/>
    <xf numFmtId="166" fontId="21" fillId="0" borderId="0" xfId="1" applyNumberFormat="1" applyFont="1" applyFill="1" applyAlignment="1">
      <alignment horizontal="left"/>
    </xf>
    <xf numFmtId="0" fontId="21" fillId="0" borderId="0" xfId="1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72" fontId="4" fillId="0" borderId="0" xfId="1" applyNumberFormat="1" applyFont="1" applyFill="1" applyBorder="1"/>
    <xf numFmtId="0" fontId="20" fillId="0" borderId="6" xfId="0" applyFont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0" xfId="0" applyFont="1" applyFill="1"/>
    <xf numFmtId="0" fontId="11" fillId="0" borderId="0" xfId="0" applyFont="1" applyFill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right"/>
    </xf>
    <xf numFmtId="0" fontId="22" fillId="0" borderId="1" xfId="0" applyFont="1" applyBorder="1" applyAlignment="1">
      <alignment horizontal="right"/>
    </xf>
    <xf numFmtId="0" fontId="21" fillId="0" borderId="0" xfId="0" applyFont="1" applyAlignment="1">
      <alignment horizontal="right"/>
    </xf>
    <xf numFmtId="165" fontId="21" fillId="0" borderId="0" xfId="2" applyNumberFormat="1" applyFont="1" applyFill="1" applyBorder="1"/>
    <xf numFmtId="0" fontId="21" fillId="0" borderId="0" xfId="0" applyFont="1"/>
    <xf numFmtId="165" fontId="21" fillId="0" borderId="0" xfId="2" applyNumberFormat="1" applyFont="1" applyFill="1"/>
    <xf numFmtId="166" fontId="21" fillId="0" borderId="0" xfId="1" applyNumberFormat="1" applyFont="1" applyFill="1"/>
    <xf numFmtId="165" fontId="21" fillId="0" borderId="0" xfId="0" applyNumberFormat="1" applyFont="1"/>
    <xf numFmtId="169" fontId="21" fillId="0" borderId="0" xfId="0" applyNumberFormat="1" applyFont="1"/>
    <xf numFmtId="171" fontId="21" fillId="0" borderId="0" xfId="1" applyNumberFormat="1" applyFont="1" applyFill="1"/>
    <xf numFmtId="166" fontId="21" fillId="0" borderId="0" xfId="0" applyNumberFormat="1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right" wrapText="1"/>
    </xf>
    <xf numFmtId="0" fontId="22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166" fontId="21" fillId="0" borderId="0" xfId="1" applyNumberFormat="1" applyFont="1" applyFill="1" applyAlignment="1">
      <alignment wrapText="1"/>
    </xf>
    <xf numFmtId="165" fontId="21" fillId="0" borderId="0" xfId="0" applyNumberFormat="1" applyFont="1" applyFill="1"/>
    <xf numFmtId="43" fontId="21" fillId="0" borderId="0" xfId="1" applyFont="1" applyFill="1"/>
    <xf numFmtId="166" fontId="21" fillId="0" borderId="3" xfId="1" applyNumberFormat="1" applyFont="1" applyFill="1" applyBorder="1"/>
    <xf numFmtId="10" fontId="22" fillId="0" borderId="9" xfId="3" applyNumberFormat="1" applyFont="1" applyFill="1" applyBorder="1"/>
    <xf numFmtId="43" fontId="22" fillId="0" borderId="0" xfId="1" applyFont="1" applyFill="1" applyBorder="1"/>
    <xf numFmtId="165" fontId="21" fillId="4" borderId="0" xfId="0" applyNumberFormat="1" applyFont="1" applyFill="1"/>
    <xf numFmtId="165" fontId="21" fillId="0" borderId="3" xfId="0" applyNumberFormat="1" applyFont="1" applyBorder="1"/>
    <xf numFmtId="172" fontId="21" fillId="0" borderId="0" xfId="1" applyNumberFormat="1" applyFont="1" applyFill="1"/>
    <xf numFmtId="167" fontId="21" fillId="0" borderId="0" xfId="0" applyNumberFormat="1" applyFont="1"/>
    <xf numFmtId="181" fontId="21" fillId="0" borderId="0" xfId="0" applyNumberFormat="1" applyFont="1"/>
    <xf numFmtId="165" fontId="21" fillId="0" borderId="0" xfId="2" applyNumberFormat="1" applyFont="1"/>
    <xf numFmtId="165" fontId="21" fillId="0" borderId="4" xfId="0" applyNumberFormat="1" applyFont="1" applyBorder="1"/>
    <xf numFmtId="172" fontId="21" fillId="0" borderId="0" xfId="0" applyNumberFormat="1" applyFont="1" applyAlignment="1">
      <alignment vertical="center"/>
    </xf>
    <xf numFmtId="172" fontId="21" fillId="0" borderId="0" xfId="0" applyNumberFormat="1" applyFont="1"/>
    <xf numFmtId="43" fontId="21" fillId="0" borderId="0" xfId="0" applyNumberFormat="1" applyFont="1"/>
    <xf numFmtId="178" fontId="21" fillId="0" borderId="0" xfId="0" applyNumberFormat="1" applyFont="1"/>
    <xf numFmtId="0" fontId="21" fillId="0" borderId="0" xfId="0" applyFont="1" applyAlignment="1">
      <alignment vertical="center"/>
    </xf>
    <xf numFmtId="10" fontId="21" fillId="0" borderId="0" xfId="0" applyNumberFormat="1" applyFont="1"/>
    <xf numFmtId="10" fontId="22" fillId="0" borderId="4" xfId="3" applyNumberFormat="1" applyFont="1" applyFill="1" applyBorder="1"/>
    <xf numFmtId="165" fontId="21" fillId="0" borderId="0" xfId="2" applyNumberFormat="1" applyFont="1" applyFill="1" applyAlignment="1"/>
    <xf numFmtId="0" fontId="21" fillId="0" borderId="0" xfId="0" applyFont="1" applyFill="1"/>
    <xf numFmtId="166" fontId="21" fillId="0" borderId="0" xfId="1" applyNumberFormat="1" applyFont="1" applyFill="1" applyAlignment="1"/>
    <xf numFmtId="177" fontId="3" fillId="0" borderId="0" xfId="1" applyNumberFormat="1" applyFont="1" applyFill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113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ndense val="0"/>
        <extend val="0"/>
        <color rgb="FF9C0006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00CC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0"/>
  <sheetViews>
    <sheetView view="pageBreakPreview" zoomScaleNormal="100" zoomScaleSheetLayoutView="100" workbookViewId="0">
      <selection activeCell="M14" sqref="M14"/>
    </sheetView>
  </sheetViews>
  <sheetFormatPr defaultRowHeight="12.75" x14ac:dyDescent="0.2"/>
  <cols>
    <col min="1" max="1" width="4.42578125" style="14" customWidth="1"/>
    <col min="2" max="2" width="22.28515625" style="29" bestFit="1" customWidth="1"/>
    <col min="3" max="3" width="6.85546875" style="47" bestFit="1" customWidth="1"/>
    <col min="4" max="4" width="14" style="47" bestFit="1" customWidth="1"/>
    <col min="5" max="5" width="15.7109375" style="47" customWidth="1"/>
    <col min="6" max="6" width="12.85546875" style="48" bestFit="1" customWidth="1"/>
    <col min="7" max="7" width="13.42578125" style="14" bestFit="1" customWidth="1"/>
    <col min="8" max="9" width="14.28515625" style="49" bestFit="1" customWidth="1"/>
    <col min="10" max="10" width="2.28515625" style="14" customWidth="1"/>
    <col min="11" max="11" width="10.140625" style="49" bestFit="1" customWidth="1"/>
    <col min="12" max="12" width="10.42578125" style="49" bestFit="1" customWidth="1"/>
    <col min="13" max="13" width="8.5703125" style="14" customWidth="1"/>
    <col min="14" max="14" width="14" style="14" bestFit="1" customWidth="1"/>
    <col min="15" max="16" width="9.28515625" style="14" bestFit="1" customWidth="1"/>
    <col min="17" max="16384" width="9.140625" style="14"/>
  </cols>
  <sheetData>
    <row r="1" spans="1:16" x14ac:dyDescent="0.2">
      <c r="A1" s="13" t="s">
        <v>1040</v>
      </c>
      <c r="I1" s="199">
        <v>2024</v>
      </c>
    </row>
    <row r="2" spans="1:16" x14ac:dyDescent="0.2">
      <c r="A2" s="13" t="s">
        <v>676</v>
      </c>
      <c r="C2" s="50"/>
      <c r="D2" s="50"/>
      <c r="E2" s="50"/>
      <c r="F2" s="50"/>
      <c r="H2" s="51"/>
      <c r="I2" s="51"/>
      <c r="K2" s="51"/>
      <c r="L2" s="51"/>
      <c r="M2" s="51"/>
    </row>
    <row r="3" spans="1:16" x14ac:dyDescent="0.2">
      <c r="A3" s="13"/>
      <c r="C3" s="13"/>
      <c r="D3" s="52"/>
      <c r="E3" s="52"/>
      <c r="F3" s="53"/>
      <c r="H3" s="54"/>
      <c r="I3" s="55"/>
      <c r="K3" s="54"/>
      <c r="L3" s="54"/>
      <c r="M3" s="55"/>
    </row>
    <row r="4" spans="1:16" x14ac:dyDescent="0.2">
      <c r="F4" s="56"/>
    </row>
    <row r="5" spans="1:16" x14ac:dyDescent="0.2">
      <c r="A5" s="13"/>
      <c r="B5" s="16"/>
      <c r="C5" s="57"/>
      <c r="D5" s="57"/>
      <c r="E5" s="57"/>
      <c r="F5" s="57"/>
      <c r="G5" s="57"/>
      <c r="I5" s="48"/>
      <c r="M5" s="48"/>
    </row>
    <row r="6" spans="1:16" s="16" customFormat="1" x14ac:dyDescent="0.2">
      <c r="C6" s="57"/>
      <c r="D6" s="57" t="s">
        <v>909</v>
      </c>
      <c r="E6" s="57" t="s">
        <v>909</v>
      </c>
      <c r="F6" s="57"/>
      <c r="H6" s="57" t="s">
        <v>909</v>
      </c>
      <c r="I6" s="57" t="s">
        <v>946</v>
      </c>
      <c r="J6" s="14"/>
      <c r="K6" s="58"/>
      <c r="L6" s="58"/>
      <c r="M6" s="59"/>
      <c r="O6" s="14"/>
    </row>
    <row r="7" spans="1:16" s="16" customFormat="1" x14ac:dyDescent="0.2">
      <c r="C7" s="57"/>
      <c r="D7" s="57" t="s">
        <v>675</v>
      </c>
      <c r="E7" s="57" t="s">
        <v>675</v>
      </c>
      <c r="F7" s="60"/>
      <c r="G7" s="23"/>
      <c r="H7" s="23" t="s">
        <v>334</v>
      </c>
      <c r="I7" s="23" t="s">
        <v>334</v>
      </c>
      <c r="J7" s="14"/>
      <c r="M7" s="59"/>
      <c r="O7" s="14"/>
    </row>
    <row r="8" spans="1:16" s="16" customFormat="1" ht="13.5" thickBot="1" x14ac:dyDescent="0.25">
      <c r="A8" s="61" t="s">
        <v>952</v>
      </c>
      <c r="B8" s="62" t="s">
        <v>753</v>
      </c>
      <c r="C8" s="62" t="s">
        <v>872</v>
      </c>
      <c r="D8" s="63" t="s">
        <v>348</v>
      </c>
      <c r="E8" s="63" t="s">
        <v>674</v>
      </c>
      <c r="F8" s="63" t="s">
        <v>347</v>
      </c>
      <c r="G8" s="64" t="s">
        <v>76</v>
      </c>
      <c r="H8" s="63" t="s">
        <v>870</v>
      </c>
      <c r="I8" s="63" t="s">
        <v>870</v>
      </c>
      <c r="J8" s="14"/>
      <c r="L8" s="58"/>
      <c r="M8" s="59"/>
      <c r="O8" s="14"/>
    </row>
    <row r="9" spans="1:16" x14ac:dyDescent="0.2">
      <c r="A9" s="29"/>
      <c r="B9" s="13"/>
      <c r="C9" s="16"/>
      <c r="F9" s="47"/>
      <c r="G9" s="48"/>
      <c r="H9" s="14"/>
      <c r="I9" s="58"/>
      <c r="K9" s="16"/>
      <c r="L9" s="16"/>
      <c r="M9" s="59"/>
      <c r="N9" s="16"/>
      <c r="P9" s="16"/>
    </row>
    <row r="10" spans="1:16" ht="15" x14ac:dyDescent="0.25">
      <c r="A10" s="29">
        <v>1</v>
      </c>
      <c r="B10" s="231" t="s">
        <v>1033</v>
      </c>
      <c r="C10" s="232">
        <v>1</v>
      </c>
      <c r="D10" s="65">
        <f>'Alloc &amp; Returns'!F$351</f>
        <v>44107994.223148175</v>
      </c>
      <c r="E10" s="65">
        <f>'Alloc &amp; Returns'!F$384</f>
        <v>44290739.199762397</v>
      </c>
      <c r="F10" s="65">
        <f>D10-E10</f>
        <v>-182744.97661422193</v>
      </c>
      <c r="G10" s="65">
        <f>'Alloc &amp; Returns'!F$392</f>
        <v>131028302.40791772</v>
      </c>
      <c r="H10" s="66">
        <f>IF(G10=0,0,F10/G10)</f>
        <v>-1.3946984983847206E-3</v>
      </c>
      <c r="I10" s="47">
        <f t="shared" ref="I10:I16" si="0">H10/H$26</f>
        <v>-0.10119921447784137</v>
      </c>
      <c r="K10" s="16"/>
      <c r="L10" s="205"/>
      <c r="M10" s="217"/>
      <c r="N10" s="143"/>
      <c r="P10" s="16"/>
    </row>
    <row r="11" spans="1:16" ht="15" x14ac:dyDescent="0.25">
      <c r="A11" s="29">
        <v>2</v>
      </c>
      <c r="B11" s="231" t="s">
        <v>1041</v>
      </c>
      <c r="C11" s="232">
        <v>2</v>
      </c>
      <c r="D11" s="65">
        <f>'Alloc &amp; Returns'!G$351</f>
        <v>3507739.4894487243</v>
      </c>
      <c r="E11" s="65">
        <f>'Alloc &amp; Returns'!G$384</f>
        <v>3310698.6749633639</v>
      </c>
      <c r="F11" s="65">
        <f t="shared" ref="F11:F26" si="1">D11-E11</f>
        <v>197040.8144853604</v>
      </c>
      <c r="G11" s="65">
        <f>'Alloc &amp; Returns'!G$392</f>
        <v>8712372.1867899727</v>
      </c>
      <c r="H11" s="66">
        <f t="shared" ref="H11:H19" si="2">IF(G11=0,0,F11/G11)</f>
        <v>2.2616207189142024E-2</v>
      </c>
      <c r="I11" s="47">
        <f t="shared" si="0"/>
        <v>1.6410302331722619</v>
      </c>
      <c r="L11" s="205"/>
      <c r="M11" s="217"/>
      <c r="N11" s="143"/>
      <c r="P11" s="16"/>
    </row>
    <row r="12" spans="1:16" ht="15" x14ac:dyDescent="0.25">
      <c r="A12" s="29">
        <v>3</v>
      </c>
      <c r="B12" s="231" t="s">
        <v>1042</v>
      </c>
      <c r="C12" s="232">
        <v>3</v>
      </c>
      <c r="D12" s="65">
        <f>'Alloc &amp; Returns'!H$351</f>
        <v>8045153.1493976004</v>
      </c>
      <c r="E12" s="65">
        <f>'Alloc &amp; Returns'!H$384</f>
        <v>6395893.075221587</v>
      </c>
      <c r="F12" s="65">
        <f t="shared" si="1"/>
        <v>1649260.0741760135</v>
      </c>
      <c r="G12" s="65">
        <f>'Alloc &amp; Returns'!H$392</f>
        <v>8237264.9394362504</v>
      </c>
      <c r="H12" s="66">
        <f t="shared" si="2"/>
        <v>0.20021937940591322</v>
      </c>
      <c r="I12" s="47">
        <f t="shared" si="0"/>
        <v>14.527902584383598</v>
      </c>
      <c r="L12" s="205"/>
      <c r="M12" s="217"/>
      <c r="N12" s="143"/>
      <c r="P12" s="16"/>
    </row>
    <row r="13" spans="1:16" ht="15" x14ac:dyDescent="0.25">
      <c r="A13" s="29">
        <v>4</v>
      </c>
      <c r="B13" s="231" t="s">
        <v>1043</v>
      </c>
      <c r="C13" s="232" t="s">
        <v>1044</v>
      </c>
      <c r="D13" s="65">
        <f>'Alloc &amp; Returns'!I$351</f>
        <v>187092.65477318439</v>
      </c>
      <c r="E13" s="65">
        <f>'Alloc &amp; Returns'!I$384</f>
        <v>139790.94260171108</v>
      </c>
      <c r="F13" s="65">
        <f t="shared" si="1"/>
        <v>47301.712171473308</v>
      </c>
      <c r="G13" s="65">
        <f>'Alloc &amp; Returns'!I$392</f>
        <v>157138.15281622345</v>
      </c>
      <c r="H13" s="66">
        <f t="shared" si="2"/>
        <v>0.30101990715643517</v>
      </c>
      <c r="I13" s="47">
        <f t="shared" si="0"/>
        <v>21.841981031531102</v>
      </c>
      <c r="L13" s="205"/>
      <c r="M13" s="217"/>
      <c r="N13" s="143"/>
      <c r="P13" s="16"/>
    </row>
    <row r="14" spans="1:16" ht="15" x14ac:dyDescent="0.25">
      <c r="A14" s="29">
        <v>5</v>
      </c>
      <c r="B14" s="231" t="s">
        <v>1045</v>
      </c>
      <c r="C14" s="232">
        <v>4</v>
      </c>
      <c r="D14" s="65">
        <f>'Alloc &amp; Returns'!J$351</f>
        <v>949209.15186268731</v>
      </c>
      <c r="E14" s="65">
        <f>'Alloc &amp; Returns'!J$384</f>
        <v>745774.22228011221</v>
      </c>
      <c r="F14" s="65">
        <f t="shared" si="1"/>
        <v>203434.9295825751</v>
      </c>
      <c r="G14" s="65">
        <f>'Alloc &amp; Returns'!J$392</f>
        <v>1088226.6141145076</v>
      </c>
      <c r="H14" s="66">
        <f t="shared" si="2"/>
        <v>0.18694169665029794</v>
      </c>
      <c r="I14" s="47">
        <f t="shared" si="0"/>
        <v>13.56447495718643</v>
      </c>
      <c r="L14" s="205"/>
      <c r="M14" s="217"/>
      <c r="N14" s="143"/>
      <c r="P14" s="16"/>
    </row>
    <row r="15" spans="1:16" ht="15" x14ac:dyDescent="0.25">
      <c r="A15" s="29">
        <v>6</v>
      </c>
      <c r="B15" s="231" t="s">
        <v>1046</v>
      </c>
      <c r="C15" s="232">
        <v>5</v>
      </c>
      <c r="D15" s="65">
        <f>'Alloc &amp; Returns'!K$351</f>
        <v>1376233.007569087</v>
      </c>
      <c r="E15" s="65">
        <f>'Alloc &amp; Returns'!K$384</f>
        <v>1156876.4085174014</v>
      </c>
      <c r="F15" s="65">
        <f t="shared" si="1"/>
        <v>219356.59905168554</v>
      </c>
      <c r="G15" s="65">
        <f>'Alloc &amp; Returns'!K$392</f>
        <v>5920284.2636516523</v>
      </c>
      <c r="H15" s="66">
        <f t="shared" si="2"/>
        <v>3.7051700439192356E-2</v>
      </c>
      <c r="I15" s="47">
        <f t="shared" si="0"/>
        <v>2.6884684997203223</v>
      </c>
      <c r="L15" s="205"/>
      <c r="M15" s="217"/>
      <c r="N15" s="143"/>
      <c r="P15" s="16"/>
    </row>
    <row r="16" spans="1:16" ht="15" x14ac:dyDescent="0.25">
      <c r="A16" s="29">
        <v>7</v>
      </c>
      <c r="B16" s="231" t="s">
        <v>1047</v>
      </c>
      <c r="C16" s="232">
        <v>6</v>
      </c>
      <c r="D16" s="65">
        <f>'Alloc &amp; Returns'!L$351</f>
        <v>133443.20312743727</v>
      </c>
      <c r="E16" s="65">
        <f>'Alloc &amp; Returns'!L$384</f>
        <v>120467.23700414094</v>
      </c>
      <c r="F16" s="65">
        <f t="shared" si="1"/>
        <v>12975.966123296326</v>
      </c>
      <c r="G16" s="65">
        <f>'Alloc &amp; Returns'!L$392</f>
        <v>615362.97238905681</v>
      </c>
      <c r="H16" s="66">
        <f t="shared" si="2"/>
        <v>2.1086686566335042E-2</v>
      </c>
      <c r="I16" s="47">
        <f t="shared" si="0"/>
        <v>1.5300483358410522</v>
      </c>
      <c r="L16" s="205"/>
      <c r="M16" s="217"/>
      <c r="N16" s="143"/>
      <c r="P16" s="16"/>
    </row>
    <row r="17" spans="1:16" ht="15" x14ac:dyDescent="0.25">
      <c r="A17" s="29">
        <v>8</v>
      </c>
      <c r="B17" s="231" t="s">
        <v>1168</v>
      </c>
      <c r="C17" s="233" t="s">
        <v>1152</v>
      </c>
      <c r="D17" s="65">
        <f>'Alloc &amp; Returns'!M$351</f>
        <v>18088434.433325939</v>
      </c>
      <c r="E17" s="65">
        <f>'Alloc &amp; Returns'!M$384</f>
        <v>18088434.433325939</v>
      </c>
      <c r="F17" s="65">
        <f t="shared" si="1"/>
        <v>0</v>
      </c>
      <c r="G17" s="144" t="str">
        <f>'Alloc &amp; Returns'!M$394</f>
        <v>NA</v>
      </c>
      <c r="H17" s="228" t="str">
        <f>G17</f>
        <v>NA</v>
      </c>
      <c r="I17" s="76" t="str">
        <f>H17</f>
        <v>NA</v>
      </c>
      <c r="L17" s="58"/>
      <c r="M17" s="11"/>
      <c r="N17" s="4"/>
      <c r="P17" s="16"/>
    </row>
    <row r="18" spans="1:16" hidden="1" x14ac:dyDescent="0.2">
      <c r="A18" s="29">
        <v>9</v>
      </c>
      <c r="B18" s="14" t="s">
        <v>1038</v>
      </c>
      <c r="C18" s="29" t="s">
        <v>1048</v>
      </c>
      <c r="D18" s="65">
        <f>'Alloc &amp; Returns'!N$351</f>
        <v>0</v>
      </c>
      <c r="E18" s="65">
        <f>'Alloc &amp; Returns'!N$384</f>
        <v>0</v>
      </c>
      <c r="F18" s="65">
        <f t="shared" si="1"/>
        <v>0</v>
      </c>
      <c r="G18" s="65">
        <f>'Alloc &amp; Returns'!N$392</f>
        <v>0</v>
      </c>
      <c r="H18" s="66">
        <f t="shared" si="2"/>
        <v>0</v>
      </c>
      <c r="I18" s="47">
        <f>H18/H$26</f>
        <v>0</v>
      </c>
      <c r="J18" s="59"/>
      <c r="L18" s="58"/>
      <c r="M18" s="59"/>
      <c r="N18" s="16"/>
      <c r="P18" s="16"/>
    </row>
    <row r="19" spans="1:16" hidden="1" x14ac:dyDescent="0.2">
      <c r="A19" s="29">
        <v>10</v>
      </c>
      <c r="B19" s="14" t="s">
        <v>1038</v>
      </c>
      <c r="C19" s="29" t="s">
        <v>1048</v>
      </c>
      <c r="D19" s="65">
        <f>'Alloc &amp; Returns'!O$351</f>
        <v>0</v>
      </c>
      <c r="E19" s="65">
        <f>'Alloc &amp; Returns'!O$384</f>
        <v>0</v>
      </c>
      <c r="F19" s="65">
        <f t="shared" si="1"/>
        <v>0</v>
      </c>
      <c r="G19" s="65">
        <f>'Alloc &amp; Returns'!O$392</f>
        <v>0</v>
      </c>
      <c r="H19" s="66">
        <f t="shared" si="2"/>
        <v>0</v>
      </c>
      <c r="I19" s="47">
        <f>H19/H$26</f>
        <v>0</v>
      </c>
      <c r="J19" s="59"/>
      <c r="L19" s="58"/>
      <c r="M19" s="59"/>
      <c r="N19" s="16"/>
      <c r="P19" s="16"/>
    </row>
    <row r="20" spans="1:16" hidden="1" x14ac:dyDescent="0.2">
      <c r="A20" s="29"/>
      <c r="B20" s="14"/>
      <c r="C20" s="29"/>
      <c r="D20" s="65">
        <f>'Alloc &amp; Returns'!P$351</f>
        <v>0</v>
      </c>
      <c r="E20" s="65">
        <f>'Alloc &amp; Returns'!P$384</f>
        <v>0</v>
      </c>
      <c r="F20" s="65">
        <f t="shared" si="1"/>
        <v>0</v>
      </c>
      <c r="G20" s="65">
        <f>'Alloc &amp; Returns'!P$392</f>
        <v>0</v>
      </c>
      <c r="H20" s="66" t="e">
        <f t="shared" ref="H20:H22" si="3">F20/G20</f>
        <v>#DIV/0!</v>
      </c>
      <c r="I20" s="47" t="e">
        <f>H20/H$26</f>
        <v>#DIV/0!</v>
      </c>
      <c r="J20" s="59"/>
      <c r="L20" s="58"/>
      <c r="M20" s="59"/>
      <c r="N20" s="16"/>
      <c r="P20" s="16"/>
    </row>
    <row r="21" spans="1:16" hidden="1" x14ac:dyDescent="0.2">
      <c r="A21" s="29"/>
      <c r="B21" s="14"/>
      <c r="C21" s="29"/>
      <c r="D21" s="67">
        <f>'Alloc &amp; Returns'!Q$351</f>
        <v>0</v>
      </c>
      <c r="E21" s="65">
        <f>'Alloc &amp; Returns'!Q$384</f>
        <v>0</v>
      </c>
      <c r="F21" s="67">
        <f t="shared" si="1"/>
        <v>0</v>
      </c>
      <c r="G21" s="65">
        <f>'Alloc &amp; Returns'!Q$392</f>
        <v>0</v>
      </c>
      <c r="H21" s="66" t="e">
        <f t="shared" si="3"/>
        <v>#DIV/0!</v>
      </c>
      <c r="I21" s="66" t="e">
        <f>'Alloc &amp; Returns'!Q330</f>
        <v>#DIV/0!</v>
      </c>
      <c r="J21" s="59"/>
      <c r="L21" s="58"/>
      <c r="M21" s="49"/>
      <c r="N21" s="16"/>
      <c r="P21" s="16"/>
    </row>
    <row r="22" spans="1:16" hidden="1" x14ac:dyDescent="0.2">
      <c r="A22" s="29"/>
      <c r="B22" s="14"/>
      <c r="C22" s="29"/>
      <c r="D22" s="67">
        <f>'Alloc &amp; Returns'!R$351</f>
        <v>0</v>
      </c>
      <c r="E22" s="65">
        <f>'Alloc &amp; Returns'!R$384</f>
        <v>0</v>
      </c>
      <c r="F22" s="67">
        <f t="shared" si="1"/>
        <v>0</v>
      </c>
      <c r="G22" s="67">
        <f>'Alloc &amp; Returns'!R$392</f>
        <v>0</v>
      </c>
      <c r="H22" s="66" t="e">
        <f t="shared" si="3"/>
        <v>#DIV/0!</v>
      </c>
      <c r="I22" s="66" t="e">
        <f>'Alloc &amp; Returns'!R330</f>
        <v>#DIV/0!</v>
      </c>
      <c r="J22" s="59"/>
      <c r="L22" s="58"/>
      <c r="M22" s="49"/>
      <c r="N22" s="16"/>
      <c r="P22" s="16"/>
    </row>
    <row r="23" spans="1:16" hidden="1" x14ac:dyDescent="0.2">
      <c r="A23" s="29"/>
      <c r="B23" s="14"/>
      <c r="C23" s="29"/>
      <c r="D23" s="67"/>
      <c r="E23" s="65"/>
      <c r="F23" s="67"/>
      <c r="G23" s="67"/>
      <c r="H23" s="66"/>
      <c r="I23" s="66"/>
      <c r="J23" s="59"/>
      <c r="L23" s="58"/>
      <c r="M23" s="49"/>
      <c r="N23" s="16"/>
      <c r="P23" s="16"/>
    </row>
    <row r="24" spans="1:16" hidden="1" x14ac:dyDescent="0.2">
      <c r="A24" s="29"/>
      <c r="B24" s="14"/>
      <c r="C24" s="29"/>
      <c r="D24" s="67"/>
      <c r="E24" s="65"/>
      <c r="F24" s="67"/>
      <c r="G24" s="67"/>
      <c r="H24" s="66"/>
      <c r="I24" s="66"/>
      <c r="J24" s="59"/>
      <c r="L24" s="58"/>
      <c r="M24" s="49"/>
      <c r="N24" s="16"/>
      <c r="P24" s="16"/>
    </row>
    <row r="25" spans="1:16" hidden="1" x14ac:dyDescent="0.2">
      <c r="A25" s="29"/>
      <c r="B25" s="14"/>
      <c r="C25" s="29"/>
      <c r="D25" s="67"/>
      <c r="E25" s="65"/>
      <c r="F25" s="67"/>
      <c r="G25" s="67"/>
      <c r="H25" s="66"/>
      <c r="I25" s="66"/>
      <c r="J25" s="59"/>
      <c r="L25" s="58"/>
      <c r="M25" s="59"/>
      <c r="N25" s="16"/>
      <c r="P25" s="16"/>
    </row>
    <row r="26" spans="1:16" s="74" customFormat="1" ht="26.25" customHeight="1" thickBot="1" x14ac:dyDescent="0.25">
      <c r="A26" s="68">
        <v>9</v>
      </c>
      <c r="B26" s="69" t="s">
        <v>0</v>
      </c>
      <c r="C26" s="70"/>
      <c r="D26" s="71">
        <f>SUM(D10:D25)</f>
        <v>76395299.312652841</v>
      </c>
      <c r="E26" s="71">
        <f>SUM(E10:E25)</f>
        <v>74248674.193676651</v>
      </c>
      <c r="F26" s="71">
        <f t="shared" si="1"/>
        <v>2146625.1189761907</v>
      </c>
      <c r="G26" s="71">
        <f>SUM(G10:G25)</f>
        <v>155758951.53711537</v>
      </c>
      <c r="H26" s="72">
        <f>F26/G26</f>
        <v>1.378171268997453E-2</v>
      </c>
      <c r="I26" s="73">
        <f>H26/H$26</f>
        <v>1</v>
      </c>
      <c r="J26" s="59"/>
      <c r="N26" s="16"/>
      <c r="O26" s="16"/>
      <c r="P26" s="16"/>
    </row>
    <row r="27" spans="1:16" ht="13.5" thickTop="1" x14ac:dyDescent="0.2">
      <c r="A27" s="29"/>
      <c r="B27" s="14"/>
      <c r="C27" s="29"/>
      <c r="D27" s="67"/>
      <c r="E27" s="67"/>
      <c r="F27" s="67"/>
      <c r="G27" s="67"/>
      <c r="H27" s="66"/>
      <c r="I27" s="47"/>
      <c r="J27" s="59"/>
      <c r="K27" s="58"/>
      <c r="N27" s="16"/>
      <c r="O27" s="16"/>
      <c r="P27" s="16"/>
    </row>
    <row r="28" spans="1:16" ht="21" customHeight="1" thickBot="1" x14ac:dyDescent="0.25">
      <c r="A28" s="29"/>
      <c r="B28" s="14"/>
      <c r="C28" s="29"/>
      <c r="D28" s="67"/>
      <c r="E28" s="67"/>
      <c r="F28" s="67"/>
      <c r="G28" s="67"/>
      <c r="H28" s="235" t="s">
        <v>1160</v>
      </c>
      <c r="I28" s="235"/>
      <c r="J28" s="59"/>
      <c r="K28" s="58"/>
      <c r="N28" s="16"/>
      <c r="O28" s="16"/>
      <c r="P28" s="16"/>
    </row>
    <row r="29" spans="1:16" ht="13.5" thickTop="1" x14ac:dyDescent="0.2">
      <c r="A29" s="29"/>
      <c r="B29" s="14"/>
      <c r="C29" s="29"/>
      <c r="F29" s="47"/>
      <c r="G29" s="48"/>
      <c r="H29" s="57" t="s">
        <v>909</v>
      </c>
      <c r="I29" s="57" t="s">
        <v>946</v>
      </c>
      <c r="J29" s="49"/>
      <c r="K29" s="58"/>
      <c r="N29" s="16"/>
      <c r="O29" s="16"/>
      <c r="P29" s="16"/>
    </row>
    <row r="30" spans="1:16" x14ac:dyDescent="0.2">
      <c r="A30" s="16"/>
      <c r="B30" s="16"/>
      <c r="C30" s="29"/>
      <c r="D30" s="57" t="s">
        <v>1025</v>
      </c>
      <c r="E30" s="57" t="s">
        <v>1037</v>
      </c>
      <c r="F30" s="47"/>
      <c r="G30" s="48"/>
      <c r="H30" s="23" t="s">
        <v>334</v>
      </c>
      <c r="I30" s="23" t="s">
        <v>334</v>
      </c>
      <c r="J30" s="49"/>
    </row>
    <row r="31" spans="1:16" ht="13.5" thickBot="1" x14ac:dyDescent="0.25">
      <c r="A31" s="61" t="s">
        <v>952</v>
      </c>
      <c r="B31" s="62" t="s">
        <v>753</v>
      </c>
      <c r="C31" s="62" t="s">
        <v>872</v>
      </c>
      <c r="D31" s="63" t="s">
        <v>348</v>
      </c>
      <c r="E31" s="63" t="s">
        <v>11</v>
      </c>
      <c r="F31" s="47"/>
      <c r="G31" s="48"/>
      <c r="H31" s="63" t="s">
        <v>870</v>
      </c>
      <c r="I31" s="63" t="s">
        <v>870</v>
      </c>
      <c r="J31" s="49"/>
    </row>
    <row r="32" spans="1:16" x14ac:dyDescent="0.2">
      <c r="A32" s="29"/>
      <c r="B32" s="14"/>
      <c r="C32" s="16"/>
      <c r="D32" s="130"/>
      <c r="E32" s="130"/>
      <c r="F32" s="47"/>
      <c r="G32" s="48"/>
      <c r="H32" s="14"/>
      <c r="J32" s="49"/>
    </row>
    <row r="33" spans="1:13" x14ac:dyDescent="0.2">
      <c r="A33" s="29">
        <f>A26+1</f>
        <v>10</v>
      </c>
      <c r="B33" s="14" t="str">
        <f t="shared" ref="B33:C38" si="4">B10</f>
        <v>Residential</v>
      </c>
      <c r="C33" s="29">
        <f t="shared" si="4"/>
        <v>1</v>
      </c>
      <c r="D33" s="196">
        <f t="shared" ref="D33:D49" si="5">D10/D$26</f>
        <v>0.57736529105846257</v>
      </c>
      <c r="E33" s="196">
        <f>'Billing Det'!O8</f>
        <v>0.34329578944410277</v>
      </c>
      <c r="F33" s="47"/>
      <c r="G33" s="48"/>
      <c r="H33" s="66">
        <v>1.1967147513704073E-2</v>
      </c>
      <c r="I33" s="47">
        <v>0.47826445871610979</v>
      </c>
      <c r="J33" s="49"/>
    </row>
    <row r="34" spans="1:13" x14ac:dyDescent="0.2">
      <c r="A34" s="29">
        <f>A33+1</f>
        <v>11</v>
      </c>
      <c r="B34" s="14" t="str">
        <f t="shared" si="4"/>
        <v>Small Comm</v>
      </c>
      <c r="C34" s="29">
        <f t="shared" si="4"/>
        <v>2</v>
      </c>
      <c r="D34" s="196">
        <f t="shared" si="5"/>
        <v>4.5915645609202568E-2</v>
      </c>
      <c r="E34" s="196">
        <f>'Billing Det'!O9</f>
        <v>2.6687582973460605E-2</v>
      </c>
      <c r="F34" s="47"/>
      <c r="G34" s="48"/>
      <c r="H34" s="66">
        <v>2.2616207189142024E-2</v>
      </c>
      <c r="I34" s="47">
        <v>0.9038518224280222</v>
      </c>
      <c r="J34" s="49"/>
      <c r="M34" s="49"/>
    </row>
    <row r="35" spans="1:13" x14ac:dyDescent="0.2">
      <c r="A35" s="29">
        <f t="shared" ref="A35:A39" si="6">A34+1</f>
        <v>12</v>
      </c>
      <c r="B35" s="14" t="str">
        <f t="shared" si="4"/>
        <v>3 Phase</v>
      </c>
      <c r="C35" s="29">
        <f t="shared" si="4"/>
        <v>3</v>
      </c>
      <c r="D35" s="196">
        <f t="shared" si="5"/>
        <v>0.10530953110704203</v>
      </c>
      <c r="E35" s="196">
        <f>'Billing Det'!O10</f>
        <v>6.7363490343615176E-2</v>
      </c>
      <c r="F35" s="47"/>
      <c r="G35" s="48"/>
      <c r="H35" s="66">
        <v>0.20021937940591322</v>
      </c>
      <c r="I35" s="47">
        <v>8.0017241373843095</v>
      </c>
      <c r="J35" s="49"/>
      <c r="M35" s="49"/>
    </row>
    <row r="36" spans="1:13" x14ac:dyDescent="0.2">
      <c r="A36" s="29">
        <f t="shared" si="6"/>
        <v>13</v>
      </c>
      <c r="B36" s="14" t="str">
        <f t="shared" si="4"/>
        <v>3 Ph 0-999 KVA TOD</v>
      </c>
      <c r="C36" s="29" t="str">
        <f t="shared" si="4"/>
        <v>3A</v>
      </c>
      <c r="D36" s="196">
        <f t="shared" si="5"/>
        <v>2.4490074187352192E-3</v>
      </c>
      <c r="E36" s="196">
        <f>'Billing Det'!O11</f>
        <v>9.0652480041545215E-4</v>
      </c>
      <c r="F36" s="47"/>
      <c r="H36" s="66">
        <v>0.30101990715643517</v>
      </c>
      <c r="I36" s="47">
        <v>12.030195399035854</v>
      </c>
    </row>
    <row r="37" spans="1:13" x14ac:dyDescent="0.2">
      <c r="A37" s="29">
        <f t="shared" si="6"/>
        <v>14</v>
      </c>
      <c r="B37" s="14" t="str">
        <f t="shared" si="4"/>
        <v>Large 1000 KVA TOD</v>
      </c>
      <c r="C37" s="29">
        <f t="shared" si="4"/>
        <v>4</v>
      </c>
      <c r="D37" s="196">
        <f t="shared" si="5"/>
        <v>1.2424968033412446E-2</v>
      </c>
      <c r="E37" s="196">
        <f>'Billing Det'!O12</f>
        <v>7.1694448459113701E-3</v>
      </c>
      <c r="F37" s="47"/>
      <c r="H37" s="66">
        <v>0.18694169665029794</v>
      </c>
      <c r="I37" s="47">
        <v>7.4710844215416961</v>
      </c>
    </row>
    <row r="38" spans="1:13" x14ac:dyDescent="0.2">
      <c r="A38" s="29">
        <f t="shared" si="6"/>
        <v>15</v>
      </c>
      <c r="B38" s="14" t="str">
        <f t="shared" si="4"/>
        <v>Private Outdoor Lighting</v>
      </c>
      <c r="C38" s="29">
        <f t="shared" si="4"/>
        <v>5</v>
      </c>
      <c r="D38" s="196">
        <f t="shared" si="5"/>
        <v>1.8014629433373404E-2</v>
      </c>
      <c r="E38" s="196">
        <f>'Billing Det'!O13</f>
        <v>1.042131048195253E-2</v>
      </c>
      <c r="F38" s="47"/>
      <c r="H38" s="66">
        <v>3.7051700439192356E-2</v>
      </c>
      <c r="I38" s="47">
        <v>1.4807631839391378</v>
      </c>
    </row>
    <row r="39" spans="1:13" x14ac:dyDescent="0.2">
      <c r="A39" s="29">
        <f t="shared" si="6"/>
        <v>16</v>
      </c>
      <c r="B39" s="14" t="str">
        <f t="shared" ref="B39:C39" si="7">B16</f>
        <v>Street &amp; Hwy Lights</v>
      </c>
      <c r="C39" s="29">
        <f t="shared" si="7"/>
        <v>6</v>
      </c>
      <c r="D39" s="196">
        <f t="shared" si="5"/>
        <v>1.7467462570087211E-3</v>
      </c>
      <c r="E39" s="196">
        <f>'Billing Det'!O14</f>
        <v>1.0813352348112799E-3</v>
      </c>
      <c r="F39" s="47"/>
      <c r="H39" s="66">
        <v>2.1086686566335042E-2</v>
      </c>
      <c r="I39" s="47">
        <v>0.84272486197865693</v>
      </c>
    </row>
    <row r="40" spans="1:13" x14ac:dyDescent="0.2">
      <c r="A40" s="29">
        <v>17</v>
      </c>
      <c r="B40" s="14" t="str">
        <f t="shared" ref="B40:C40" si="8">B17</f>
        <v>Special Contract</v>
      </c>
      <c r="C40" s="29" t="str">
        <f t="shared" si="8"/>
        <v>SC</v>
      </c>
      <c r="D40" s="196">
        <f t="shared" si="5"/>
        <v>0.23677418108276294</v>
      </c>
      <c r="E40" s="196">
        <f>'Billing Det'!O15</f>
        <v>0.5430745218757308</v>
      </c>
      <c r="F40" s="47"/>
      <c r="H40" s="228" t="s">
        <v>1159</v>
      </c>
      <c r="I40" s="76" t="s">
        <v>1159</v>
      </c>
    </row>
    <row r="41" spans="1:13" hidden="1" x14ac:dyDescent="0.2">
      <c r="A41" s="29"/>
      <c r="B41" s="14" t="str">
        <f t="shared" ref="B41:C41" si="9">B18</f>
        <v>reserved</v>
      </c>
      <c r="C41" s="29" t="str">
        <f t="shared" si="9"/>
        <v>X</v>
      </c>
      <c r="D41" s="196">
        <f t="shared" si="5"/>
        <v>0</v>
      </c>
      <c r="E41" s="196">
        <f>'Billing Det'!O16</f>
        <v>0</v>
      </c>
      <c r="F41" s="47"/>
      <c r="H41" s="66">
        <v>0</v>
      </c>
      <c r="I41" s="47">
        <v>0</v>
      </c>
    </row>
    <row r="42" spans="1:13" hidden="1" x14ac:dyDescent="0.2">
      <c r="A42" s="29"/>
      <c r="B42" s="14" t="str">
        <f t="shared" ref="B42:C42" si="10">B19</f>
        <v>reserved</v>
      </c>
      <c r="C42" s="29" t="str">
        <f t="shared" si="10"/>
        <v>X</v>
      </c>
      <c r="D42" s="196">
        <f t="shared" si="5"/>
        <v>0</v>
      </c>
      <c r="E42" s="196">
        <f>'Billing Det'!O17</f>
        <v>0</v>
      </c>
      <c r="F42" s="47"/>
      <c r="H42" s="66">
        <v>0</v>
      </c>
      <c r="I42" s="47">
        <v>0</v>
      </c>
    </row>
    <row r="43" spans="1:13" hidden="1" x14ac:dyDescent="0.2">
      <c r="A43" s="29"/>
      <c r="B43" s="14"/>
      <c r="D43" s="196">
        <f t="shared" si="5"/>
        <v>0</v>
      </c>
      <c r="E43" s="196"/>
      <c r="F43" s="47"/>
      <c r="H43" s="66" t="e">
        <v>#DIV/0!</v>
      </c>
      <c r="I43" s="47" t="e">
        <v>#DIV/0!</v>
      </c>
    </row>
    <row r="44" spans="1:13" hidden="1" x14ac:dyDescent="0.2">
      <c r="A44" s="29"/>
      <c r="B44" s="14"/>
      <c r="D44" s="196">
        <f t="shared" si="5"/>
        <v>0</v>
      </c>
      <c r="E44" s="196"/>
      <c r="F44" s="47"/>
      <c r="H44" s="66" t="e">
        <v>#DIV/0!</v>
      </c>
      <c r="I44" s="66" t="e">
        <v>#DIV/0!</v>
      </c>
    </row>
    <row r="45" spans="1:13" hidden="1" x14ac:dyDescent="0.2">
      <c r="A45" s="29"/>
      <c r="B45" s="14"/>
      <c r="D45" s="196">
        <f t="shared" si="5"/>
        <v>0</v>
      </c>
      <c r="E45" s="196"/>
      <c r="F45" s="47"/>
      <c r="H45" s="66" t="e">
        <v>#DIV/0!</v>
      </c>
      <c r="I45" s="66" t="e">
        <v>#DIV/0!</v>
      </c>
    </row>
    <row r="46" spans="1:13" hidden="1" x14ac:dyDescent="0.2">
      <c r="A46" s="29"/>
      <c r="B46" s="14"/>
      <c r="D46" s="196">
        <f t="shared" si="5"/>
        <v>0</v>
      </c>
      <c r="E46" s="196"/>
      <c r="F46" s="47"/>
      <c r="H46" s="66"/>
      <c r="I46" s="66"/>
    </row>
    <row r="47" spans="1:13" hidden="1" x14ac:dyDescent="0.2">
      <c r="A47" s="29"/>
      <c r="B47" s="14"/>
      <c r="D47" s="196">
        <f t="shared" si="5"/>
        <v>0</v>
      </c>
      <c r="E47" s="196"/>
      <c r="F47" s="47"/>
      <c r="H47" s="66"/>
      <c r="I47" s="66"/>
    </row>
    <row r="48" spans="1:13" hidden="1" x14ac:dyDescent="0.2">
      <c r="A48" s="29"/>
      <c r="B48" s="14"/>
      <c r="D48" s="196">
        <f t="shared" si="5"/>
        <v>0</v>
      </c>
      <c r="E48" s="196"/>
      <c r="F48" s="47"/>
      <c r="H48" s="66"/>
      <c r="I48" s="66"/>
    </row>
    <row r="49" spans="1:9" ht="27" customHeight="1" thickBot="1" x14ac:dyDescent="0.25">
      <c r="A49" s="68">
        <v>18</v>
      </c>
      <c r="B49" s="69" t="s">
        <v>0</v>
      </c>
      <c r="C49" s="69"/>
      <c r="D49" s="197">
        <f t="shared" si="5"/>
        <v>1</v>
      </c>
      <c r="E49" s="197">
        <f>E26/E$26</f>
        <v>1</v>
      </c>
      <c r="F49" s="47"/>
      <c r="H49" s="72">
        <v>2.5022029748624039E-2</v>
      </c>
      <c r="I49" s="73">
        <v>1</v>
      </c>
    </row>
    <row r="50" spans="1:9" ht="13.5" thickTop="1" x14ac:dyDescent="0.2">
      <c r="F50" s="47"/>
    </row>
  </sheetData>
  <mergeCells count="1">
    <mergeCell ref="H28:I28"/>
  </mergeCells>
  <phoneticPr fontId="0" type="noConversion"/>
  <conditionalFormatting sqref="H21:H22">
    <cfRule type="cellIs" dxfId="112" priority="52" stopIfTrue="1" operator="lessThan">
      <formula>$H$26</formula>
    </cfRule>
    <cfRule type="cellIs" dxfId="111" priority="53" stopIfTrue="1" operator="greaterThan">
      <formula>$H$26</formula>
    </cfRule>
  </conditionalFormatting>
  <conditionalFormatting sqref="I21:I22">
    <cfRule type="cellIs" dxfId="110" priority="44" stopIfTrue="1" operator="lessThan">
      <formula>$I$26</formula>
    </cfRule>
    <cfRule type="cellIs" dxfId="109" priority="45" stopIfTrue="1" operator="greaterThan">
      <formula>$I$26</formula>
    </cfRule>
  </conditionalFormatting>
  <conditionalFormatting sqref="H18:H19">
    <cfRule type="cellIs" dxfId="108" priority="25" operator="greaterThan">
      <formula>$H$26</formula>
    </cfRule>
    <cfRule type="cellIs" dxfId="107" priority="26" operator="lessThan">
      <formula>$H$26</formula>
    </cfRule>
  </conditionalFormatting>
  <conditionalFormatting sqref="I18:I19">
    <cfRule type="cellIs" dxfId="106" priority="23" operator="greaterThan">
      <formula>$I$26</formula>
    </cfRule>
    <cfRule type="cellIs" dxfId="105" priority="24" operator="lessThan">
      <formula>$I$26</formula>
    </cfRule>
  </conditionalFormatting>
  <conditionalFormatting sqref="I27">
    <cfRule type="cellIs" dxfId="104" priority="19" operator="greaterThan">
      <formula>$I$26</formula>
    </cfRule>
    <cfRule type="cellIs" dxfId="103" priority="20" operator="lessThan">
      <formula>$I$26</formula>
    </cfRule>
  </conditionalFormatting>
  <conditionalFormatting sqref="L10:L16">
    <cfRule type="cellIs" dxfId="102" priority="17" stopIfTrue="1" operator="lessThan">
      <formula>$G$24</formula>
    </cfRule>
    <cfRule type="cellIs" dxfId="101" priority="18" stopIfTrue="1" operator="greaterThan">
      <formula>$G$24</formula>
    </cfRule>
  </conditionalFormatting>
  <conditionalFormatting sqref="M10:M16">
    <cfRule type="cellIs" dxfId="100" priority="15" stopIfTrue="1" operator="lessThan">
      <formula>$H$24</formula>
    </cfRule>
    <cfRule type="cellIs" dxfId="99" priority="16" stopIfTrue="1" operator="greaterThan">
      <formula>$H$24</formula>
    </cfRule>
  </conditionalFormatting>
  <conditionalFormatting sqref="H27">
    <cfRule type="cellIs" dxfId="98" priority="13" operator="greaterThan">
      <formula>$H$26</formula>
    </cfRule>
    <cfRule type="cellIs" dxfId="97" priority="14" operator="lessThan">
      <formula>$H$26</formula>
    </cfRule>
  </conditionalFormatting>
  <conditionalFormatting sqref="H44:H45">
    <cfRule type="cellIs" dxfId="96" priority="7" stopIfTrue="1" operator="lessThan">
      <formula>$H$26</formula>
    </cfRule>
    <cfRule type="cellIs" dxfId="95" priority="8" stopIfTrue="1" operator="greaterThan">
      <formula>$H$26</formula>
    </cfRule>
  </conditionalFormatting>
  <conditionalFormatting sqref="I44:I45">
    <cfRule type="cellIs" dxfId="94" priority="5" stopIfTrue="1" operator="lessThan">
      <formula>$I$26</formula>
    </cfRule>
    <cfRule type="cellIs" dxfId="93" priority="6" stopIfTrue="1" operator="greaterThan">
      <formula>$I$26</formula>
    </cfRule>
  </conditionalFormatting>
  <conditionalFormatting sqref="H41:H42">
    <cfRule type="cellIs" dxfId="92" priority="3" operator="greaterThan">
      <formula>$H$26</formula>
    </cfRule>
    <cfRule type="cellIs" dxfId="91" priority="4" operator="lessThan">
      <formula>$H$26</formula>
    </cfRule>
  </conditionalFormatting>
  <conditionalFormatting sqref="I41:I42">
    <cfRule type="cellIs" dxfId="90" priority="1" operator="greaterThan">
      <formula>$I$26</formula>
    </cfRule>
    <cfRule type="cellIs" dxfId="89" priority="2" operator="lessThan">
      <formula>$I$26</formula>
    </cfRule>
  </conditionalFormatting>
  <pageMargins left="0.75" right="0.75" top="1" bottom="1" header="0.5" footer="0.5"/>
  <pageSetup orientation="landscape" r:id="rId1"/>
  <headerFooter alignWithMargins="0">
    <oddFooter>&amp;RExhibit JW-3
Page 1 of 2</oddFooter>
  </headerFooter>
  <ignoredErrors>
    <ignoredError sqref="F26 H17:I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38"/>
  <sheetViews>
    <sheetView view="pageBreakPreview" zoomScaleNormal="100" zoomScaleSheetLayoutView="100" workbookViewId="0">
      <selection activeCell="M14" sqref="M14"/>
    </sheetView>
  </sheetViews>
  <sheetFormatPr defaultRowHeight="12.75" x14ac:dyDescent="0.2"/>
  <cols>
    <col min="1" max="1" width="4.42578125" style="14" customWidth="1"/>
    <col min="2" max="2" width="19.140625" style="29" bestFit="1" customWidth="1"/>
    <col min="3" max="3" width="7.28515625" style="29" customWidth="1"/>
    <col min="4" max="4" width="3.42578125" style="47" customWidth="1"/>
    <col min="5" max="5" width="10.7109375" style="47" bestFit="1" customWidth="1"/>
    <col min="6" max="6" width="10.7109375" style="47" customWidth="1"/>
    <col min="7" max="7" width="10.7109375" style="47" bestFit="1" customWidth="1"/>
    <col min="8" max="8" width="9" style="48" bestFit="1" customWidth="1"/>
    <col min="9" max="9" width="9.7109375" style="14" bestFit="1" customWidth="1"/>
    <col min="10" max="10" width="6.7109375" style="49" bestFit="1" customWidth="1"/>
    <col min="11" max="11" width="8.7109375" style="49" bestFit="1" customWidth="1"/>
    <col min="12" max="12" width="15.7109375" style="49" customWidth="1"/>
    <col min="13" max="13" width="9.7109375" style="14" bestFit="1" customWidth="1"/>
    <col min="14" max="14" width="8.7109375" style="14" bestFit="1" customWidth="1"/>
    <col min="15" max="15" width="8.28515625" style="14" bestFit="1" customWidth="1"/>
    <col min="16" max="16384" width="9.140625" style="14"/>
  </cols>
  <sheetData>
    <row r="1" spans="1:15" x14ac:dyDescent="0.2">
      <c r="A1" s="13" t="str">
        <f>'Summary of Returns'!A1</f>
        <v>MEADE COUNTY R.E.C.C.</v>
      </c>
    </row>
    <row r="2" spans="1:15" x14ac:dyDescent="0.2">
      <c r="A2" s="13" t="s">
        <v>960</v>
      </c>
      <c r="D2" s="50"/>
      <c r="E2" s="50"/>
      <c r="F2" s="50"/>
      <c r="G2" s="50"/>
      <c r="H2" s="50"/>
      <c r="J2" s="236"/>
      <c r="K2" s="236"/>
      <c r="L2" s="236"/>
      <c r="M2" s="236"/>
    </row>
    <row r="3" spans="1:15" x14ac:dyDescent="0.2">
      <c r="A3" s="13"/>
      <c r="D3" s="13"/>
      <c r="E3" s="52"/>
      <c r="F3" s="52"/>
      <c r="G3" s="52"/>
      <c r="H3" s="53"/>
      <c r="J3" s="54"/>
      <c r="K3" s="54"/>
      <c r="L3" s="54"/>
      <c r="M3" s="55"/>
    </row>
    <row r="4" spans="1:15" x14ac:dyDescent="0.2">
      <c r="E4" s="237" t="s">
        <v>1128</v>
      </c>
      <c r="F4" s="238"/>
      <c r="G4" s="238"/>
      <c r="H4" s="239"/>
    </row>
    <row r="5" spans="1:15" s="16" customFormat="1" x14ac:dyDescent="0.2">
      <c r="K5" s="58"/>
      <c r="L5" s="58"/>
      <c r="M5" s="59"/>
    </row>
    <row r="6" spans="1:15" s="16" customFormat="1" x14ac:dyDescent="0.2">
      <c r="A6" s="29"/>
      <c r="B6" s="29"/>
      <c r="C6" s="29"/>
      <c r="D6" s="14"/>
      <c r="E6" s="219" t="s">
        <v>724</v>
      </c>
      <c r="F6" s="219" t="s">
        <v>724</v>
      </c>
      <c r="G6" s="219" t="s">
        <v>11</v>
      </c>
      <c r="H6" s="219" t="s">
        <v>10</v>
      </c>
      <c r="L6" s="58"/>
      <c r="M6" s="59"/>
    </row>
    <row r="7" spans="1:15" s="16" customFormat="1" ht="13.5" thickBot="1" x14ac:dyDescent="0.25">
      <c r="A7" s="29" t="s">
        <v>952</v>
      </c>
      <c r="B7" s="170" t="s">
        <v>753</v>
      </c>
      <c r="C7" s="170" t="s">
        <v>872</v>
      </c>
      <c r="D7" s="47"/>
      <c r="E7" s="170" t="s">
        <v>1158</v>
      </c>
      <c r="F7" s="170" t="s">
        <v>957</v>
      </c>
      <c r="G7" s="170" t="s">
        <v>958</v>
      </c>
      <c r="H7" s="170" t="s">
        <v>959</v>
      </c>
      <c r="I7" s="59"/>
      <c r="L7" s="58"/>
      <c r="M7" s="59"/>
    </row>
    <row r="8" spans="1:15" x14ac:dyDescent="0.2">
      <c r="A8" s="29"/>
      <c r="B8" s="14"/>
      <c r="D8" s="14"/>
      <c r="H8" s="14"/>
      <c r="I8" s="59"/>
      <c r="J8" s="16"/>
      <c r="L8" s="58"/>
      <c r="M8" s="59"/>
      <c r="N8" s="16"/>
      <c r="O8" s="16"/>
    </row>
    <row r="9" spans="1:15" x14ac:dyDescent="0.2">
      <c r="A9" s="29">
        <v>1</v>
      </c>
      <c r="B9" s="14" t="str">
        <f>'Summary of Returns'!B10</f>
        <v>Residential</v>
      </c>
      <c r="C9" s="29">
        <f>'Summary of Returns'!C10</f>
        <v>1</v>
      </c>
      <c r="E9" s="226">
        <f>F9*12/365</f>
        <v>1.1526676832537643</v>
      </c>
      <c r="F9" s="167">
        <f>'Alloc &amp; Returns'!F649</f>
        <v>35.060308698968669</v>
      </c>
      <c r="G9" s="234">
        <f>'Alloc &amp; Returns'!F650</f>
        <v>0.10562933398918795</v>
      </c>
      <c r="H9" s="77">
        <f>'Alloc &amp; Returns'!F651</f>
        <v>0</v>
      </c>
      <c r="I9" s="166"/>
      <c r="J9" s="16"/>
      <c r="M9" s="59"/>
      <c r="N9" s="16"/>
      <c r="O9" s="16"/>
    </row>
    <row r="10" spans="1:15" x14ac:dyDescent="0.2">
      <c r="A10" s="29">
        <v>2</v>
      </c>
      <c r="B10" s="14" t="str">
        <f>'Summary of Returns'!B11</f>
        <v>Small Comm</v>
      </c>
      <c r="C10" s="29">
        <f>'Summary of Returns'!C11</f>
        <v>2</v>
      </c>
      <c r="D10" s="13"/>
      <c r="E10" s="226">
        <f>F10*12/365</f>
        <v>1.1958317140906356</v>
      </c>
      <c r="F10" s="167">
        <f>'Alloc &amp; Returns'!G649</f>
        <v>36.3732146369235</v>
      </c>
      <c r="G10" s="168">
        <f>'Alloc &amp; Returns'!G650</f>
        <v>0.10537998273866922</v>
      </c>
      <c r="H10" s="77">
        <f>'Alloc &amp; Returns'!G651</f>
        <v>0</v>
      </c>
      <c r="I10" s="166"/>
      <c r="J10" s="16"/>
      <c r="M10" s="59"/>
      <c r="N10" s="16"/>
      <c r="O10" s="16"/>
    </row>
    <row r="11" spans="1:15" x14ac:dyDescent="0.2">
      <c r="A11" s="29">
        <v>3</v>
      </c>
      <c r="B11" s="14" t="str">
        <f>'Summary of Returns'!B12</f>
        <v>3 Phase</v>
      </c>
      <c r="C11" s="29">
        <f>'Summary of Returns'!C12</f>
        <v>3</v>
      </c>
      <c r="E11" s="226">
        <f>F11*12/365</f>
        <v>1.9790705756266673</v>
      </c>
      <c r="F11" s="167">
        <f>'Alloc &amp; Returns'!H649</f>
        <v>60.196730008644465</v>
      </c>
      <c r="G11" s="168">
        <f>'Alloc &amp; Returns'!H650</f>
        <v>5.8450352552247037E-2</v>
      </c>
      <c r="H11" s="77">
        <f>'Alloc &amp; Returns'!H651</f>
        <v>10.155550510707155</v>
      </c>
      <c r="I11" s="166"/>
      <c r="J11" s="16"/>
      <c r="M11" s="59"/>
      <c r="N11" s="16"/>
      <c r="O11" s="16"/>
    </row>
    <row r="12" spans="1:15" x14ac:dyDescent="0.2">
      <c r="A12" s="29">
        <v>4</v>
      </c>
      <c r="B12" s="14" t="str">
        <f>'Summary of Returns'!B13</f>
        <v>3 Ph 0-999 KVA TOD</v>
      </c>
      <c r="C12" s="29" t="str">
        <f>'Summary of Returns'!C13</f>
        <v>3A</v>
      </c>
      <c r="D12" s="13"/>
      <c r="E12" s="226">
        <f>F12*12/365</f>
        <v>7.1973165756706878</v>
      </c>
      <c r="F12" s="77">
        <f>'Alloc &amp; Returns'!I649</f>
        <v>218.91837917665009</v>
      </c>
      <c r="G12" s="225">
        <f>'Alloc &amp; Returns'!I650</f>
        <v>0.11167424321321356</v>
      </c>
      <c r="H12" s="167">
        <f>'Alloc &amp; Returns'!I651</f>
        <v>10.438562642911794</v>
      </c>
      <c r="I12" s="166"/>
      <c r="J12" s="16"/>
      <c r="M12" s="59"/>
      <c r="N12" s="16"/>
      <c r="O12" s="16"/>
    </row>
    <row r="13" spans="1:15" x14ac:dyDescent="0.2">
      <c r="A13" s="29">
        <v>5</v>
      </c>
      <c r="B13" s="14" t="str">
        <f>'Summary of Returns'!B14</f>
        <v>Large 1000 KVA TOD</v>
      </c>
      <c r="C13" s="29">
        <f>'Summary of Returns'!C14</f>
        <v>4</v>
      </c>
      <c r="E13" s="230"/>
      <c r="F13" s="167">
        <f>'Alloc &amp; Returns'!J649</f>
        <v>227.29328080214458</v>
      </c>
      <c r="G13" s="168">
        <f>'Alloc &amp; Returns'!J650</f>
        <v>5.6565547114464002E-2</v>
      </c>
      <c r="H13" s="77">
        <f>'Alloc &amp; Returns'!J651</f>
        <v>8.7862529865161747</v>
      </c>
      <c r="I13" s="166"/>
      <c r="J13" s="16"/>
      <c r="K13" s="226"/>
      <c r="M13" s="59"/>
      <c r="N13" s="16"/>
      <c r="O13" s="16"/>
    </row>
    <row r="14" spans="1:15" ht="15" customHeight="1" x14ac:dyDescent="0.2">
      <c r="A14" s="29"/>
      <c r="B14" s="14"/>
      <c r="C14" s="14"/>
      <c r="H14" s="56"/>
      <c r="I14" s="59"/>
      <c r="J14" s="16"/>
      <c r="K14" s="58"/>
      <c r="L14" s="58"/>
      <c r="M14" s="59"/>
      <c r="N14" s="16"/>
      <c r="O14" s="16"/>
    </row>
    <row r="15" spans="1:15" ht="15" customHeight="1" x14ac:dyDescent="0.2">
      <c r="A15" s="29"/>
      <c r="B15" s="14"/>
      <c r="C15" s="14"/>
      <c r="D15" s="13"/>
      <c r="E15" s="52"/>
      <c r="F15" s="52"/>
      <c r="G15" s="52"/>
      <c r="H15" s="53"/>
      <c r="I15" s="59"/>
      <c r="J15" s="16"/>
      <c r="K15" s="58"/>
      <c r="L15" s="58"/>
      <c r="M15" s="59"/>
      <c r="N15" s="16"/>
      <c r="O15" s="16"/>
    </row>
    <row r="16" spans="1:15" ht="15" customHeight="1" x14ac:dyDescent="0.2">
      <c r="A16" s="29"/>
      <c r="B16" s="14"/>
      <c r="C16" s="14"/>
      <c r="H16" s="56"/>
      <c r="I16" s="59"/>
      <c r="J16" s="16"/>
      <c r="K16" s="58"/>
      <c r="L16" s="58"/>
      <c r="M16" s="59"/>
      <c r="N16" s="16"/>
      <c r="O16" s="16"/>
    </row>
    <row r="17" spans="1:15" ht="15" customHeight="1" x14ac:dyDescent="0.2">
      <c r="A17" s="29"/>
      <c r="B17" s="14"/>
      <c r="C17" s="14"/>
      <c r="D17" s="13"/>
      <c r="E17" s="52"/>
      <c r="F17" s="52"/>
      <c r="G17" s="52"/>
      <c r="H17" s="53"/>
      <c r="I17" s="59"/>
      <c r="J17" s="16"/>
      <c r="K17" s="58"/>
      <c r="L17" s="58"/>
      <c r="M17" s="59"/>
      <c r="N17" s="16"/>
      <c r="O17" s="16"/>
    </row>
    <row r="18" spans="1:15" ht="15" customHeight="1" x14ac:dyDescent="0.2">
      <c r="A18" s="29"/>
      <c r="B18" s="14"/>
      <c r="C18" s="14"/>
      <c r="H18" s="56"/>
      <c r="I18" s="59"/>
      <c r="J18" s="16"/>
      <c r="K18" s="58"/>
      <c r="L18" s="58"/>
      <c r="M18" s="59"/>
      <c r="N18" s="16"/>
      <c r="O18" s="16"/>
    </row>
    <row r="19" spans="1:15" x14ac:dyDescent="0.2">
      <c r="A19" s="29"/>
      <c r="B19" s="14"/>
      <c r="C19" s="14"/>
      <c r="D19" s="13"/>
      <c r="E19" s="52"/>
      <c r="F19" s="52"/>
      <c r="G19" s="52"/>
      <c r="H19" s="53"/>
      <c r="I19" s="59"/>
      <c r="J19" s="16"/>
      <c r="K19" s="58"/>
      <c r="L19" s="58"/>
      <c r="M19" s="59"/>
      <c r="N19" s="16"/>
      <c r="O19" s="16"/>
    </row>
    <row r="20" spans="1:15" s="74" customFormat="1" ht="26.25" customHeight="1" x14ac:dyDescent="0.2">
      <c r="A20" s="68"/>
      <c r="B20" s="14"/>
      <c r="C20" s="14"/>
      <c r="D20" s="47"/>
      <c r="E20" s="47"/>
      <c r="F20" s="47"/>
      <c r="G20" s="47"/>
      <c r="H20" s="56"/>
      <c r="I20" s="59"/>
      <c r="J20" s="16"/>
      <c r="K20" s="58"/>
      <c r="L20" s="58"/>
      <c r="M20" s="59"/>
      <c r="N20" s="16"/>
      <c r="O20" s="16"/>
    </row>
    <row r="21" spans="1:15" x14ac:dyDescent="0.2">
      <c r="A21" s="68"/>
      <c r="B21" s="14"/>
      <c r="C21" s="14"/>
      <c r="E21" s="52"/>
      <c r="F21" s="52"/>
      <c r="G21" s="52"/>
      <c r="H21" s="53"/>
      <c r="I21" s="59"/>
      <c r="J21" s="16"/>
      <c r="K21" s="58"/>
      <c r="L21" s="58"/>
      <c r="M21" s="59"/>
      <c r="N21" s="16"/>
      <c r="O21" s="16"/>
    </row>
    <row r="22" spans="1:15" x14ac:dyDescent="0.2">
      <c r="A22" s="68"/>
      <c r="B22" s="14"/>
      <c r="C22" s="14"/>
      <c r="H22" s="56"/>
      <c r="I22" s="59"/>
      <c r="J22" s="16"/>
      <c r="K22" s="58"/>
      <c r="L22" s="58"/>
      <c r="M22" s="59"/>
      <c r="N22" s="16"/>
      <c r="O22" s="16"/>
    </row>
    <row r="23" spans="1:15" x14ac:dyDescent="0.2">
      <c r="A23" s="68"/>
      <c r="B23" s="14"/>
      <c r="C23" s="14"/>
      <c r="E23" s="52"/>
      <c r="F23" s="52"/>
      <c r="G23" s="52"/>
      <c r="H23" s="53"/>
      <c r="I23" s="59"/>
      <c r="J23" s="16"/>
      <c r="K23" s="58"/>
      <c r="L23" s="58"/>
      <c r="M23" s="59"/>
      <c r="N23" s="16"/>
      <c r="O23" s="16"/>
    </row>
    <row r="24" spans="1:15" x14ac:dyDescent="0.2">
      <c r="A24" s="68"/>
      <c r="B24" s="74"/>
      <c r="C24" s="14"/>
      <c r="H24" s="56"/>
      <c r="I24" s="59"/>
      <c r="J24" s="16"/>
      <c r="K24" s="58"/>
      <c r="L24" s="58"/>
      <c r="M24" s="59"/>
      <c r="N24" s="16"/>
      <c r="O24" s="16"/>
    </row>
    <row r="25" spans="1:15" x14ac:dyDescent="0.2">
      <c r="A25" s="68"/>
      <c r="B25" s="74"/>
      <c r="C25" s="14"/>
      <c r="E25" s="52"/>
      <c r="F25" s="52"/>
      <c r="G25" s="52"/>
      <c r="H25" s="53"/>
      <c r="I25" s="59"/>
      <c r="J25" s="16"/>
      <c r="K25" s="58"/>
      <c r="L25" s="58"/>
      <c r="M25" s="59"/>
      <c r="N25" s="16"/>
      <c r="O25" s="16"/>
    </row>
    <row r="26" spans="1:15" x14ac:dyDescent="0.2">
      <c r="A26" s="68"/>
      <c r="B26" s="74"/>
      <c r="C26" s="14"/>
      <c r="E26" s="74"/>
      <c r="F26" s="74"/>
      <c r="H26" s="74"/>
      <c r="I26" s="49"/>
      <c r="J26" s="16"/>
      <c r="K26" s="58"/>
      <c r="L26" s="58"/>
      <c r="M26" s="59"/>
      <c r="N26" s="16"/>
      <c r="O26" s="16"/>
    </row>
    <row r="27" spans="1:15" x14ac:dyDescent="0.2">
      <c r="A27" s="68"/>
      <c r="B27" s="74"/>
      <c r="C27" s="14"/>
      <c r="E27" s="74"/>
      <c r="F27" s="74"/>
      <c r="H27" s="74"/>
      <c r="I27" s="49"/>
      <c r="J27" s="16"/>
      <c r="K27" s="58"/>
      <c r="L27" s="58"/>
      <c r="M27" s="59"/>
      <c r="N27" s="16"/>
      <c r="O27" s="16"/>
    </row>
    <row r="28" spans="1:15" x14ac:dyDescent="0.2">
      <c r="A28" s="68"/>
      <c r="B28" s="74"/>
      <c r="C28" s="14"/>
      <c r="E28" s="74"/>
      <c r="F28" s="74"/>
      <c r="H28" s="74"/>
      <c r="I28" s="49"/>
      <c r="J28" s="14"/>
      <c r="M28" s="49"/>
    </row>
    <row r="29" spans="1:15" x14ac:dyDescent="0.2">
      <c r="A29" s="68"/>
      <c r="B29" s="74"/>
      <c r="C29" s="14"/>
      <c r="E29" s="74"/>
      <c r="F29" s="74"/>
      <c r="H29" s="74"/>
      <c r="I29" s="49"/>
      <c r="J29" s="14"/>
      <c r="M29" s="49"/>
    </row>
    <row r="30" spans="1:15" x14ac:dyDescent="0.2">
      <c r="A30" s="68"/>
      <c r="B30" s="74"/>
      <c r="C30" s="14"/>
      <c r="E30" s="74"/>
      <c r="F30" s="74"/>
      <c r="H30" s="74"/>
      <c r="I30" s="49"/>
      <c r="J30" s="14"/>
      <c r="M30" s="49"/>
    </row>
    <row r="31" spans="1:15" x14ac:dyDescent="0.2">
      <c r="A31" s="68"/>
      <c r="B31" s="74"/>
      <c r="C31" s="14"/>
      <c r="E31" s="74"/>
      <c r="F31" s="74"/>
      <c r="H31" s="74"/>
    </row>
    <row r="32" spans="1:15" x14ac:dyDescent="0.2">
      <c r="A32" s="68"/>
      <c r="B32" s="74"/>
      <c r="C32" s="14"/>
      <c r="E32" s="74"/>
      <c r="F32" s="74"/>
      <c r="H32" s="74"/>
    </row>
    <row r="33" spans="1:8" x14ac:dyDescent="0.2">
      <c r="A33" s="68"/>
      <c r="B33" s="74"/>
      <c r="C33" s="14"/>
      <c r="E33" s="74"/>
      <c r="F33" s="74"/>
      <c r="H33" s="74"/>
    </row>
    <row r="34" spans="1:8" x14ac:dyDescent="0.2">
      <c r="A34" s="68"/>
      <c r="B34" s="74"/>
      <c r="C34" s="14"/>
      <c r="E34" s="74"/>
      <c r="F34" s="74"/>
      <c r="H34" s="74"/>
    </row>
    <row r="35" spans="1:8" x14ac:dyDescent="0.2">
      <c r="A35" s="68"/>
      <c r="B35" s="74"/>
      <c r="C35" s="14"/>
      <c r="E35" s="74"/>
      <c r="F35" s="74"/>
      <c r="H35" s="74"/>
    </row>
    <row r="36" spans="1:8" x14ac:dyDescent="0.2">
      <c r="A36" s="68"/>
      <c r="B36" s="74"/>
      <c r="C36" s="14"/>
      <c r="E36" s="74"/>
      <c r="F36" s="74"/>
      <c r="H36" s="74"/>
    </row>
    <row r="37" spans="1:8" x14ac:dyDescent="0.2">
      <c r="A37" s="68"/>
      <c r="B37" s="74"/>
      <c r="C37" s="14"/>
      <c r="E37" s="74"/>
      <c r="F37" s="74"/>
      <c r="H37" s="74"/>
    </row>
    <row r="38" spans="1:8" x14ac:dyDescent="0.2">
      <c r="A38" s="68"/>
      <c r="B38" s="74"/>
      <c r="C38" s="74"/>
      <c r="E38" s="74"/>
      <c r="F38" s="74"/>
      <c r="H38" s="74"/>
    </row>
  </sheetData>
  <mergeCells count="2">
    <mergeCell ref="J2:M2"/>
    <mergeCell ref="E4:H4"/>
  </mergeCells>
  <pageMargins left="0.75" right="0.75" top="1" bottom="1" header="0.5" footer="0.5"/>
  <pageSetup orientation="landscape" r:id="rId1"/>
  <headerFooter alignWithMargins="0">
    <oddFooter>&amp;RExhibit JW-3
Page 2 of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08"/>
  <sheetViews>
    <sheetView view="pageBreakPreview" zoomScale="75" zoomScaleNormal="75" zoomScaleSheetLayoutView="75" workbookViewId="0">
      <pane xSplit="6" ySplit="3" topLeftCell="G4" activePane="bottomRight" state="frozen"/>
      <selection activeCell="H10" sqref="H10:I26"/>
      <selection pane="topRight" activeCell="H10" sqref="H10:I26"/>
      <selection pane="bottomLeft" activeCell="H10" sqref="H10:I26"/>
      <selection pane="bottomRight" activeCell="I114" sqref="I114"/>
    </sheetView>
  </sheetViews>
  <sheetFormatPr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5" style="14" bestFit="1" customWidth="1"/>
    <col min="5" max="5" width="2.7109375" style="246" customWidth="1"/>
    <col min="6" max="6" width="18.85546875" style="253" customWidth="1"/>
    <col min="7" max="7" width="2.285156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79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bestFit="1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14062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/>
    <col min="32" max="32" width="18.140625" style="14" customWidth="1"/>
    <col min="33" max="16384" width="9.140625" style="14"/>
  </cols>
  <sheetData>
    <row r="1" spans="1:30" x14ac:dyDescent="0.2">
      <c r="A1" s="79"/>
      <c r="B1" s="79"/>
      <c r="C1" s="79"/>
      <c r="D1" s="79"/>
      <c r="E1" s="243"/>
      <c r="F1" s="248"/>
      <c r="G1" s="79"/>
      <c r="H1" s="79"/>
      <c r="I1" s="79"/>
      <c r="J1" s="79"/>
      <c r="K1" s="79"/>
      <c r="L1" s="79"/>
      <c r="M1" s="79"/>
      <c r="N1" s="79"/>
      <c r="O1" s="79"/>
      <c r="P1" s="79"/>
      <c r="AC1" s="29" t="str">
        <f>IF(COUNTIF(AC4:AC490,"err"),"err","ok")</f>
        <v>ok</v>
      </c>
    </row>
    <row r="2" spans="1:30" ht="48" customHeight="1" thickBot="1" x14ac:dyDescent="0.25">
      <c r="A2" s="13"/>
      <c r="B2" s="13"/>
      <c r="C2" s="23"/>
      <c r="D2" s="15" t="s">
        <v>208</v>
      </c>
      <c r="E2" s="244"/>
      <c r="F2" s="249" t="s">
        <v>0</v>
      </c>
      <c r="G2" s="23"/>
      <c r="H2" s="80" t="s">
        <v>910</v>
      </c>
      <c r="I2" s="80"/>
      <c r="K2" s="81" t="s">
        <v>350</v>
      </c>
      <c r="L2" s="13"/>
      <c r="M2" s="81" t="s">
        <v>1</v>
      </c>
      <c r="N2" s="82"/>
      <c r="O2" s="80" t="s">
        <v>356</v>
      </c>
      <c r="P2" s="80"/>
      <c r="Q2" s="13"/>
      <c r="R2" s="80" t="s">
        <v>3</v>
      </c>
      <c r="S2" s="80"/>
      <c r="T2" s="13"/>
      <c r="U2" s="83" t="s">
        <v>4</v>
      </c>
      <c r="V2" s="23"/>
      <c r="W2" s="81" t="s">
        <v>755</v>
      </c>
      <c r="X2" s="82"/>
      <c r="Y2" s="81" t="s">
        <v>999</v>
      </c>
      <c r="Z2" s="82"/>
      <c r="AA2" s="81" t="s">
        <v>470</v>
      </c>
      <c r="AB2" s="13"/>
      <c r="AC2" s="13"/>
    </row>
    <row r="3" spans="1:30" ht="13.5" thickBot="1" x14ac:dyDescent="0.25">
      <c r="A3" s="84" t="s">
        <v>6</v>
      </c>
      <c r="B3" s="84"/>
      <c r="C3" s="85" t="s">
        <v>7</v>
      </c>
      <c r="D3" s="85" t="s">
        <v>8</v>
      </c>
      <c r="E3" s="245"/>
      <c r="F3" s="250" t="s">
        <v>9</v>
      </c>
      <c r="G3" s="83"/>
      <c r="H3" s="83" t="s">
        <v>10</v>
      </c>
      <c r="I3" s="83" t="s">
        <v>11</v>
      </c>
      <c r="J3" s="83"/>
      <c r="K3" s="83" t="s">
        <v>10</v>
      </c>
      <c r="L3" s="83"/>
      <c r="M3" s="83" t="s">
        <v>10</v>
      </c>
      <c r="N3" s="83"/>
      <c r="O3" s="83" t="s">
        <v>10</v>
      </c>
      <c r="P3" s="83" t="s">
        <v>12</v>
      </c>
      <c r="Q3" s="80"/>
      <c r="R3" s="83" t="s">
        <v>10</v>
      </c>
      <c r="S3" s="83" t="s">
        <v>12</v>
      </c>
      <c r="T3" s="83"/>
      <c r="U3" s="83" t="s">
        <v>12</v>
      </c>
      <c r="V3" s="83"/>
      <c r="W3" s="83" t="s">
        <v>12</v>
      </c>
      <c r="X3" s="83"/>
      <c r="Y3" s="83" t="s">
        <v>12</v>
      </c>
      <c r="Z3" s="83"/>
      <c r="AA3" s="83" t="s">
        <v>12</v>
      </c>
      <c r="AB3" s="83" t="s">
        <v>13</v>
      </c>
      <c r="AC3" s="86" t="s">
        <v>14</v>
      </c>
    </row>
    <row r="4" spans="1:30" x14ac:dyDescent="0.2">
      <c r="F4" s="251"/>
      <c r="G4" s="28"/>
      <c r="H4" s="87"/>
      <c r="I4" s="87"/>
      <c r="J4" s="87"/>
      <c r="K4" s="87"/>
      <c r="L4" s="87"/>
      <c r="M4" s="87"/>
      <c r="N4" s="87"/>
      <c r="O4" s="87"/>
      <c r="P4" s="87"/>
      <c r="Q4" s="88"/>
      <c r="R4" s="87"/>
      <c r="S4" s="87"/>
      <c r="T4" s="87"/>
      <c r="U4" s="87"/>
      <c r="V4" s="87"/>
      <c r="W4" s="87"/>
      <c r="X4" s="87"/>
      <c r="Y4" s="87"/>
      <c r="Z4" s="87"/>
      <c r="AA4" s="87"/>
      <c r="AC4" s="29"/>
    </row>
    <row r="5" spans="1:30" x14ac:dyDescent="0.2">
      <c r="A5" s="27" t="s">
        <v>15</v>
      </c>
      <c r="F5" s="252"/>
      <c r="G5" s="67"/>
      <c r="H5" s="87"/>
      <c r="I5" s="87"/>
      <c r="J5" s="87"/>
      <c r="K5" s="87"/>
      <c r="L5" s="87"/>
      <c r="M5" s="87"/>
      <c r="N5" s="87"/>
      <c r="O5" s="87"/>
      <c r="P5" s="87"/>
      <c r="Q5" s="88"/>
      <c r="R5" s="87"/>
      <c r="S5" s="87"/>
      <c r="T5" s="87"/>
      <c r="U5" s="87"/>
      <c r="V5" s="87"/>
      <c r="W5" s="87"/>
      <c r="X5" s="87"/>
      <c r="Y5" s="87"/>
      <c r="Z5" s="87"/>
      <c r="AA5" s="87"/>
      <c r="AC5" s="29"/>
    </row>
    <row r="6" spans="1:30" x14ac:dyDescent="0.2">
      <c r="AC6" s="29"/>
    </row>
    <row r="7" spans="1:30" x14ac:dyDescent="0.2">
      <c r="A7" s="27" t="s">
        <v>358</v>
      </c>
      <c r="AC7" s="29"/>
    </row>
    <row r="8" spans="1:30" x14ac:dyDescent="0.2">
      <c r="A8" s="89">
        <v>301</v>
      </c>
      <c r="B8" s="14" t="s">
        <v>360</v>
      </c>
      <c r="C8" s="14" t="s">
        <v>361</v>
      </c>
      <c r="D8" s="14" t="s">
        <v>392</v>
      </c>
      <c r="F8" s="254">
        <v>0</v>
      </c>
      <c r="G8" s="65"/>
      <c r="H8" s="49">
        <f>IF(VLOOKUP($D8,$C$5:$AA$496,6,)=0,0,((VLOOKUP($D8,$C$5:$AA$496,6,)/VLOOKUP($D8,$C$5:$AA$496,4,))*$F8))</f>
        <v>0</v>
      </c>
      <c r="I8" s="49">
        <f>IF(VLOOKUP($D8,$C$5:$AA$496,7,)=0,0,((VLOOKUP($D8,$C$5:$AA$496,7,)/VLOOKUP($D8,$C$5:$AA$496,4,))*$F8))</f>
        <v>0</v>
      </c>
      <c r="J8" s="49"/>
      <c r="K8" s="49">
        <f>IF(VLOOKUP($D8,$C$5:$AA$496,9,)=0,0,((VLOOKUP($D8,$C$5:$AA$496,9,)/VLOOKUP($D8,$C$5:$AA$496,4,))*$F8))</f>
        <v>0</v>
      </c>
      <c r="L8" s="49"/>
      <c r="M8" s="49">
        <f>IF(VLOOKUP($D8,$C$5:$AA$496,11,)=0,0,((VLOOKUP($D8,$C$5:$AA$496,11,)/VLOOKUP($D8,$C$5:$AA$496,4,))*$F8))</f>
        <v>0</v>
      </c>
      <c r="N8" s="49"/>
      <c r="O8" s="49">
        <f>IF(VLOOKUP($D8,$C$5:$AA$496,13,)=0,0,((VLOOKUP($D8,$C$5:$AA$496,13,)/VLOOKUP($D8,$C$5:$AA$496,4,))*$F8))</f>
        <v>0</v>
      </c>
      <c r="P8" s="49">
        <f>IF(VLOOKUP($D8,$C$5:$AA$496,14,)=0,0,((VLOOKUP($D8,$C$5:$AA$496,14,)/VLOOKUP($D8,$C$5:$AA$496,4,))*$F8))</f>
        <v>0</v>
      </c>
      <c r="Q8" s="49"/>
      <c r="R8" s="49">
        <f>IF(VLOOKUP($D8,$C$5:$AA$496,16,)=0,0,((VLOOKUP($D8,$C$5:$AA$496,16,)/VLOOKUP($D8,$C$5:$AA$496,4,))*$F8))</f>
        <v>0</v>
      </c>
      <c r="S8" s="49">
        <f>IF(VLOOKUP($D8,$C$5:$AA$496,17,)=0,0,((VLOOKUP($D8,$C$5:$AA$496,17,)/VLOOKUP($D8,$C$5:$AA$496,4,))*$F8))</f>
        <v>0</v>
      </c>
      <c r="T8" s="49"/>
      <c r="U8" s="49">
        <f>IF(VLOOKUP($D8,$C$5:$AA$496,19,)=0,0,((VLOOKUP($D8,$C$5:$AA$496,19,)/VLOOKUP($D8,$C$5:$AA$496,4,))*$F8))</f>
        <v>0</v>
      </c>
      <c r="V8" s="49"/>
      <c r="W8" s="49">
        <f>IF(VLOOKUP($D8,$C$5:$AA$496,21,)=0,0,((VLOOKUP($D8,$C$5:$AA$496,21,)/VLOOKUP($D8,$C$5:$AA$496,4,))*$F8))</f>
        <v>0</v>
      </c>
      <c r="X8" s="49"/>
      <c r="Y8" s="49">
        <f>IF(VLOOKUP($D8,$C$5:$AA$496,23,)=0,0,((VLOOKUP($D8,$C$5:$AA$496,23,)/VLOOKUP($D8,$C$5:$AA$496,4,))*$F8))</f>
        <v>0</v>
      </c>
      <c r="Z8" s="49"/>
      <c r="AA8" s="49">
        <f>IF(VLOOKUP($D8,$C$5:$AA$496,25,)=0,0,((VLOOKUP($D8,$C$5:$AA$496,25,)/VLOOKUP($D8,$C$5:$AA$496,4,))*$F8))</f>
        <v>0</v>
      </c>
      <c r="AB8" s="49">
        <f>SUM(H8:AA8)</f>
        <v>0</v>
      </c>
      <c r="AC8" s="29" t="str">
        <f>IF(ABS(AB8-F8)&lt;1,"ok","err")</f>
        <v>ok</v>
      </c>
      <c r="AD8" s="35"/>
    </row>
    <row r="9" spans="1:30" x14ac:dyDescent="0.2">
      <c r="A9" s="89">
        <v>302</v>
      </c>
      <c r="B9" s="14" t="s">
        <v>829</v>
      </c>
      <c r="C9" s="14" t="s">
        <v>830</v>
      </c>
      <c r="D9" s="14" t="s">
        <v>392</v>
      </c>
      <c r="F9" s="255">
        <v>0</v>
      </c>
      <c r="G9" s="49"/>
      <c r="H9" s="49">
        <f>IF(VLOOKUP($D9,$C$5:$AA$496,6,)=0,0,((VLOOKUP($D9,$C$5:$AA$496,6,)/VLOOKUP($D9,$C$5:$AA$496,4,))*$F9))</f>
        <v>0</v>
      </c>
      <c r="I9" s="49">
        <f>IF(VLOOKUP($D9,$C$5:$AA$496,7,)=0,0,((VLOOKUP($D9,$C$5:$AA$496,7,)/VLOOKUP($D9,$C$5:$AA$496,4,))*$F9))</f>
        <v>0</v>
      </c>
      <c r="J9" s="49"/>
      <c r="K9" s="49">
        <f>IF(VLOOKUP($D9,$C$5:$AA$496,9,)=0,0,((VLOOKUP($D9,$C$5:$AA$496,9,)/VLOOKUP($D9,$C$5:$AA$496,4,))*$F9))</f>
        <v>0</v>
      </c>
      <c r="L9" s="49"/>
      <c r="M9" s="49">
        <f>IF(VLOOKUP($D9,$C$5:$AA$496,11,)=0,0,((VLOOKUP($D9,$C$5:$AA$496,11,)/VLOOKUP($D9,$C$5:$AA$496,4,))*$F9))</f>
        <v>0</v>
      </c>
      <c r="N9" s="49"/>
      <c r="O9" s="49">
        <f>IF(VLOOKUP($D9,$C$5:$AA$496,13,)=0,0,((VLOOKUP($D9,$C$5:$AA$496,13,)/VLOOKUP($D9,$C$5:$AA$496,4,))*$F9))</f>
        <v>0</v>
      </c>
      <c r="P9" s="49">
        <f>IF(VLOOKUP($D9,$C$5:$AA$496,14,)=0,0,((VLOOKUP($D9,$C$5:$AA$496,14,)/VLOOKUP($D9,$C$5:$AA$496,4,))*$F9))</f>
        <v>0</v>
      </c>
      <c r="Q9" s="49"/>
      <c r="R9" s="49">
        <f>IF(VLOOKUP($D9,$C$5:$AA$496,16,)=0,0,((VLOOKUP($D9,$C$5:$AA$496,16,)/VLOOKUP($D9,$C$5:$AA$496,4,))*$F9))</f>
        <v>0</v>
      </c>
      <c r="S9" s="49">
        <f>IF(VLOOKUP($D9,$C$5:$AA$496,17,)=0,0,((VLOOKUP($D9,$C$5:$AA$496,17,)/VLOOKUP($D9,$C$5:$AA$496,4,))*$F9))</f>
        <v>0</v>
      </c>
      <c r="T9" s="49"/>
      <c r="U9" s="49">
        <f>IF(VLOOKUP($D9,$C$5:$AA$496,19,)=0,0,((VLOOKUP($D9,$C$5:$AA$496,19,)/VLOOKUP($D9,$C$5:$AA$496,4,))*$F9))</f>
        <v>0</v>
      </c>
      <c r="V9" s="49"/>
      <c r="W9" s="49">
        <f>IF(VLOOKUP($D9,$C$5:$AA$496,21,)=0,0,((VLOOKUP($D9,$C$5:$AA$496,21,)/VLOOKUP($D9,$C$5:$AA$496,4,))*$F9))</f>
        <v>0</v>
      </c>
      <c r="X9" s="49"/>
      <c r="Y9" s="49">
        <f>IF(VLOOKUP($D9,$C$5:$AA$496,23,)=0,0,((VLOOKUP($D9,$C$5:$AA$496,23,)/VLOOKUP($D9,$C$5:$AA$496,4,))*$F9))</f>
        <v>0</v>
      </c>
      <c r="Z9" s="49"/>
      <c r="AA9" s="49">
        <f>IF(VLOOKUP($D9,$C$5:$AA$496,25,)=0,0,((VLOOKUP($D9,$C$5:$AA$496,25,)/VLOOKUP($D9,$C$5:$AA$496,4,))*$F9))</f>
        <v>0</v>
      </c>
      <c r="AB9" s="49">
        <f>SUM(H9:AA9)</f>
        <v>0</v>
      </c>
      <c r="AC9" s="29" t="str">
        <f>IF(ABS(AB9-F9)&lt;1,"ok","err")</f>
        <v>ok</v>
      </c>
    </row>
    <row r="10" spans="1:30" x14ac:dyDescent="0.2">
      <c r="A10" s="89">
        <v>303</v>
      </c>
      <c r="B10" s="14" t="s">
        <v>704</v>
      </c>
      <c r="C10" s="14" t="s">
        <v>705</v>
      </c>
      <c r="D10" s="14" t="s">
        <v>392</v>
      </c>
      <c r="F10" s="255">
        <v>0</v>
      </c>
      <c r="G10" s="49"/>
      <c r="H10" s="49">
        <f>IF(VLOOKUP($D10,$C$5:$AA$496,6,)=0,0,((VLOOKUP($D10,$C$5:$AA$496,6,)/VLOOKUP($D10,$C$5:$AA$496,4,))*$F10))</f>
        <v>0</v>
      </c>
      <c r="I10" s="49">
        <f>IF(VLOOKUP($D10,$C$5:$AA$496,7,)=0,0,((VLOOKUP($D10,$C$5:$AA$496,7,)/VLOOKUP($D10,$C$5:$AA$496,4,))*$F10))</f>
        <v>0</v>
      </c>
      <c r="J10" s="49"/>
      <c r="K10" s="49">
        <f>IF(VLOOKUP($D10,$C$5:$AA$496,9,)=0,0,((VLOOKUP($D10,$C$5:$AA$496,9,)/VLOOKUP($D10,$C$5:$AA$496,4,))*$F10))</f>
        <v>0</v>
      </c>
      <c r="L10" s="49"/>
      <c r="M10" s="49">
        <f>IF(VLOOKUP($D10,$C$5:$AA$496,11,)=0,0,((VLOOKUP($D10,$C$5:$AA$496,11,)/VLOOKUP($D10,$C$5:$AA$496,4,))*$F10))</f>
        <v>0</v>
      </c>
      <c r="N10" s="49"/>
      <c r="O10" s="49">
        <f>IF(VLOOKUP($D10,$C$5:$AA$496,13,)=0,0,((VLOOKUP($D10,$C$5:$AA$496,13,)/VLOOKUP($D10,$C$5:$AA$496,4,))*$F10))</f>
        <v>0</v>
      </c>
      <c r="P10" s="49">
        <f>IF(VLOOKUP($D10,$C$5:$AA$496,14,)=0,0,((VLOOKUP($D10,$C$5:$AA$496,14,)/VLOOKUP($D10,$C$5:$AA$496,4,))*$F10))</f>
        <v>0</v>
      </c>
      <c r="Q10" s="49"/>
      <c r="R10" s="49">
        <f>IF(VLOOKUP($D10,$C$5:$AA$496,16,)=0,0,((VLOOKUP($D10,$C$5:$AA$496,16,)/VLOOKUP($D10,$C$5:$AA$496,4,))*$F10))</f>
        <v>0</v>
      </c>
      <c r="S10" s="49">
        <f>IF(VLOOKUP($D10,$C$5:$AA$496,17,)=0,0,((VLOOKUP($D10,$C$5:$AA$496,17,)/VLOOKUP($D10,$C$5:$AA$496,4,))*$F10))</f>
        <v>0</v>
      </c>
      <c r="T10" s="49"/>
      <c r="U10" s="49">
        <f>IF(VLOOKUP($D10,$C$5:$AA$496,19,)=0,0,((VLOOKUP($D10,$C$5:$AA$496,19,)/VLOOKUP($D10,$C$5:$AA$496,4,))*$F10))</f>
        <v>0</v>
      </c>
      <c r="V10" s="49"/>
      <c r="W10" s="49">
        <f>IF(VLOOKUP($D10,$C$5:$AA$496,21,)=0,0,((VLOOKUP($D10,$C$5:$AA$496,21,)/VLOOKUP($D10,$C$5:$AA$496,4,))*$F10))</f>
        <v>0</v>
      </c>
      <c r="X10" s="49"/>
      <c r="Y10" s="49">
        <f>IF(VLOOKUP($D10,$C$5:$AA$496,23,)=0,0,((VLOOKUP($D10,$C$5:$AA$496,23,)/VLOOKUP($D10,$C$5:$AA$496,4,))*$F10))</f>
        <v>0</v>
      </c>
      <c r="Z10" s="49"/>
      <c r="AA10" s="49">
        <f>IF(VLOOKUP($D10,$C$5:$AA$496,25,)=0,0,((VLOOKUP($D10,$C$5:$AA$496,25,)/VLOOKUP($D10,$C$5:$AA$496,4,))*$F10))</f>
        <v>0</v>
      </c>
      <c r="AB10" s="49">
        <f>SUM(H10:AA10)</f>
        <v>0</v>
      </c>
      <c r="AC10" s="29" t="str">
        <f>IF(ABS(AB10-F10)&lt;1,"ok","err")</f>
        <v>ok</v>
      </c>
    </row>
    <row r="11" spans="1:30" x14ac:dyDescent="0.2">
      <c r="AC11" s="29"/>
    </row>
    <row r="12" spans="1:30" x14ac:dyDescent="0.2">
      <c r="B12" s="14" t="s">
        <v>19</v>
      </c>
      <c r="C12" s="14" t="s">
        <v>20</v>
      </c>
      <c r="F12" s="256">
        <f>SUM(F8:F10)</f>
        <v>0</v>
      </c>
      <c r="G12" s="90"/>
      <c r="H12" s="90">
        <f>SUM(H8:H10)</f>
        <v>0</v>
      </c>
      <c r="I12" s="90">
        <f>SUM(I8:I10)</f>
        <v>0</v>
      </c>
      <c r="J12" s="90"/>
      <c r="K12" s="90">
        <f>SUM(K8:K10)</f>
        <v>0</v>
      </c>
      <c r="L12" s="90"/>
      <c r="M12" s="90">
        <f>SUM(M8:M10)</f>
        <v>0</v>
      </c>
      <c r="N12" s="90"/>
      <c r="O12" s="90">
        <f>SUM(O8:O10)</f>
        <v>0</v>
      </c>
      <c r="P12" s="90">
        <f>SUM(P8:P10)</f>
        <v>0</v>
      </c>
      <c r="Q12" s="90"/>
      <c r="R12" s="90">
        <f>SUM(R8:R10)</f>
        <v>0</v>
      </c>
      <c r="S12" s="90">
        <f>SUM(S8:S10)</f>
        <v>0</v>
      </c>
      <c r="T12" s="90"/>
      <c r="U12" s="90">
        <f>SUM(U8:U10)</f>
        <v>0</v>
      </c>
      <c r="V12" s="90"/>
      <c r="W12" s="90">
        <f>SUM(W8:W10)</f>
        <v>0</v>
      </c>
      <c r="X12" s="90"/>
      <c r="Y12" s="90">
        <f>SUM(Y8:Y10)</f>
        <v>0</v>
      </c>
      <c r="Z12" s="90"/>
      <c r="AA12" s="90">
        <f>SUM(AA8:AA10)</f>
        <v>0</v>
      </c>
      <c r="AB12" s="49">
        <f>SUM(H12:AA12)</f>
        <v>0</v>
      </c>
      <c r="AC12" s="29" t="str">
        <f>IF(ABS(AB12-F12)&lt;1,"ok","err")</f>
        <v>ok</v>
      </c>
      <c r="AD12" s="35"/>
    </row>
    <row r="13" spans="1:30" x14ac:dyDescent="0.2">
      <c r="AC13" s="29"/>
    </row>
    <row r="14" spans="1:30" x14ac:dyDescent="0.2">
      <c r="A14" s="27" t="s">
        <v>768</v>
      </c>
      <c r="Q14" s="14"/>
      <c r="AC14" s="29"/>
    </row>
    <row r="15" spans="1:30" x14ac:dyDescent="0.2">
      <c r="A15" s="91">
        <v>310</v>
      </c>
      <c r="B15" s="14" t="s">
        <v>17</v>
      </c>
      <c r="C15" s="14" t="s">
        <v>775</v>
      </c>
      <c r="D15" s="14" t="s">
        <v>552</v>
      </c>
      <c r="F15" s="254">
        <v>0</v>
      </c>
      <c r="G15" s="65"/>
      <c r="H15" s="49">
        <f t="shared" ref="H15:H22" si="0">IF(VLOOKUP($D15,$C$5:$AA$496,6,)=0,0,((VLOOKUP($D15,$C$5:$AA$496,6,)/VLOOKUP($D15,$C$5:$AA$496,4,))*$F15))</f>
        <v>0</v>
      </c>
      <c r="I15" s="49">
        <f t="shared" ref="I15:I22" si="1">IF(VLOOKUP($D15,$C$5:$AA$496,7,)=0,0,((VLOOKUP($D15,$C$5:$AA$496,7,)/VLOOKUP($D15,$C$5:$AA$496,4,))*$F15))</f>
        <v>0</v>
      </c>
      <c r="J15" s="49"/>
      <c r="K15" s="49">
        <f t="shared" ref="K15:K22" si="2">IF(VLOOKUP($D15,$C$5:$AA$496,9,)=0,0,((VLOOKUP($D15,$C$5:$AA$496,9,)/VLOOKUP($D15,$C$5:$AA$496,4,))*$F15))</f>
        <v>0</v>
      </c>
      <c r="L15" s="49"/>
      <c r="M15" s="49">
        <f t="shared" ref="M15:M22" si="3">IF(VLOOKUP($D15,$C$5:$AA$496,11,)=0,0,((VLOOKUP($D15,$C$5:$AA$496,11,)/VLOOKUP($D15,$C$5:$AA$496,4,))*$F15))</f>
        <v>0</v>
      </c>
      <c r="N15" s="49"/>
      <c r="O15" s="49">
        <f t="shared" ref="O15:O22" si="4">IF(VLOOKUP($D15,$C$5:$AA$496,13,)=0,0,((VLOOKUP($D15,$C$5:$AA$496,13,)/VLOOKUP($D15,$C$5:$AA$496,4,))*$F15))</f>
        <v>0</v>
      </c>
      <c r="P15" s="49">
        <f t="shared" ref="P15:P22" si="5">IF(VLOOKUP($D15,$C$5:$AA$496,14,)=0,0,((VLOOKUP($D15,$C$5:$AA$496,14,)/VLOOKUP($D15,$C$5:$AA$496,4,))*$F15))</f>
        <v>0</v>
      </c>
      <c r="Q15" s="49"/>
      <c r="R15" s="49">
        <f t="shared" ref="R15:R22" si="6">IF(VLOOKUP($D15,$C$5:$AA$496,16,)=0,0,((VLOOKUP($D15,$C$5:$AA$496,16,)/VLOOKUP($D15,$C$5:$AA$496,4,))*$F15))</f>
        <v>0</v>
      </c>
      <c r="S15" s="49">
        <f t="shared" ref="S15:S22" si="7">IF(VLOOKUP($D15,$C$5:$AA$496,17,)=0,0,((VLOOKUP($D15,$C$5:$AA$496,17,)/VLOOKUP($D15,$C$5:$AA$496,4,))*$F15))</f>
        <v>0</v>
      </c>
      <c r="T15" s="49"/>
      <c r="U15" s="49">
        <f t="shared" ref="U15:U22" si="8">IF(VLOOKUP($D15,$C$5:$AA$496,19,)=0,0,((VLOOKUP($D15,$C$5:$AA$496,19,)/VLOOKUP($D15,$C$5:$AA$496,4,))*$F15))</f>
        <v>0</v>
      </c>
      <c r="V15" s="49"/>
      <c r="W15" s="49">
        <f t="shared" ref="W15:W22" si="9">IF(VLOOKUP($D15,$C$5:$AA$496,21,)=0,0,((VLOOKUP($D15,$C$5:$AA$496,21,)/VLOOKUP($D15,$C$5:$AA$496,4,))*$F15))</f>
        <v>0</v>
      </c>
      <c r="X15" s="49"/>
      <c r="Y15" s="49">
        <f t="shared" ref="Y15:Y22" si="10">IF(VLOOKUP($D15,$C$5:$AA$496,23,)=0,0,((VLOOKUP($D15,$C$5:$AA$496,23,)/VLOOKUP($D15,$C$5:$AA$496,4,))*$F15))</f>
        <v>0</v>
      </c>
      <c r="Z15" s="49"/>
      <c r="AA15" s="49">
        <f t="shared" ref="AA15:AA22" si="11">IF(VLOOKUP($D15,$C$5:$AA$496,25,)=0,0,((VLOOKUP($D15,$C$5:$AA$496,25,)/VLOOKUP($D15,$C$5:$AA$496,4,))*$F15))</f>
        <v>0</v>
      </c>
      <c r="AB15" s="49">
        <f t="shared" ref="AB15:AB22" si="12">SUM(H15:AA15)</f>
        <v>0</v>
      </c>
      <c r="AC15" s="29" t="str">
        <f t="shared" ref="AC15:AC22" si="13">IF(ABS(AB15-F15)&lt;1,"ok","err")</f>
        <v>ok</v>
      </c>
    </row>
    <row r="16" spans="1:30" x14ac:dyDescent="0.2">
      <c r="A16" s="91">
        <v>311</v>
      </c>
      <c r="B16" s="14" t="s">
        <v>53</v>
      </c>
      <c r="C16" s="14" t="s">
        <v>782</v>
      </c>
      <c r="D16" s="14" t="s">
        <v>552</v>
      </c>
      <c r="F16" s="255">
        <v>0</v>
      </c>
      <c r="G16" s="49"/>
      <c r="H16" s="49">
        <f t="shared" si="0"/>
        <v>0</v>
      </c>
      <c r="I16" s="49">
        <f t="shared" si="1"/>
        <v>0</v>
      </c>
      <c r="J16" s="49"/>
      <c r="K16" s="49">
        <f t="shared" si="2"/>
        <v>0</v>
      </c>
      <c r="L16" s="49"/>
      <c r="M16" s="49">
        <f t="shared" si="3"/>
        <v>0</v>
      </c>
      <c r="N16" s="49"/>
      <c r="O16" s="49">
        <f t="shared" si="4"/>
        <v>0</v>
      </c>
      <c r="P16" s="49">
        <f t="shared" si="5"/>
        <v>0</v>
      </c>
      <c r="Q16" s="49"/>
      <c r="R16" s="49">
        <f t="shared" si="6"/>
        <v>0</v>
      </c>
      <c r="S16" s="49">
        <f t="shared" si="7"/>
        <v>0</v>
      </c>
      <c r="T16" s="49"/>
      <c r="U16" s="49">
        <f t="shared" si="8"/>
        <v>0</v>
      </c>
      <c r="V16" s="49"/>
      <c r="W16" s="49">
        <f t="shared" si="9"/>
        <v>0</v>
      </c>
      <c r="X16" s="49"/>
      <c r="Y16" s="49">
        <f t="shared" si="10"/>
        <v>0</v>
      </c>
      <c r="Z16" s="49"/>
      <c r="AA16" s="49">
        <f t="shared" si="11"/>
        <v>0</v>
      </c>
      <c r="AB16" s="49">
        <f t="shared" si="12"/>
        <v>0</v>
      </c>
      <c r="AC16" s="29" t="str">
        <f t="shared" si="13"/>
        <v>ok</v>
      </c>
    </row>
    <row r="17" spans="1:29" x14ac:dyDescent="0.2">
      <c r="A17" s="91">
        <v>312</v>
      </c>
      <c r="B17" s="14" t="s">
        <v>769</v>
      </c>
      <c r="C17" s="14" t="s">
        <v>776</v>
      </c>
      <c r="D17" s="14" t="s">
        <v>552</v>
      </c>
      <c r="F17" s="255">
        <v>0</v>
      </c>
      <c r="G17" s="49"/>
      <c r="H17" s="49">
        <f t="shared" si="0"/>
        <v>0</v>
      </c>
      <c r="I17" s="49">
        <f t="shared" si="1"/>
        <v>0</v>
      </c>
      <c r="J17" s="49"/>
      <c r="K17" s="49">
        <f t="shared" si="2"/>
        <v>0</v>
      </c>
      <c r="L17" s="49"/>
      <c r="M17" s="49">
        <f t="shared" si="3"/>
        <v>0</v>
      </c>
      <c r="N17" s="49"/>
      <c r="O17" s="49">
        <f t="shared" si="4"/>
        <v>0</v>
      </c>
      <c r="P17" s="49">
        <f t="shared" si="5"/>
        <v>0</v>
      </c>
      <c r="Q17" s="49"/>
      <c r="R17" s="49">
        <f t="shared" si="6"/>
        <v>0</v>
      </c>
      <c r="S17" s="49">
        <f t="shared" si="7"/>
        <v>0</v>
      </c>
      <c r="T17" s="49"/>
      <c r="U17" s="49">
        <f t="shared" si="8"/>
        <v>0</v>
      </c>
      <c r="V17" s="49"/>
      <c r="W17" s="49">
        <f t="shared" si="9"/>
        <v>0</v>
      </c>
      <c r="X17" s="49"/>
      <c r="Y17" s="49">
        <f t="shared" si="10"/>
        <v>0</v>
      </c>
      <c r="Z17" s="49"/>
      <c r="AA17" s="49">
        <f t="shared" si="11"/>
        <v>0</v>
      </c>
      <c r="AB17" s="49">
        <f t="shared" si="12"/>
        <v>0</v>
      </c>
      <c r="AC17" s="29" t="str">
        <f t="shared" si="13"/>
        <v>ok</v>
      </c>
    </row>
    <row r="18" spans="1:29" x14ac:dyDescent="0.2">
      <c r="A18" s="91">
        <v>313</v>
      </c>
      <c r="B18" s="14" t="s">
        <v>770</v>
      </c>
      <c r="C18" s="14" t="s">
        <v>777</v>
      </c>
      <c r="D18" s="14" t="s">
        <v>552</v>
      </c>
      <c r="F18" s="255">
        <v>0</v>
      </c>
      <c r="G18" s="49"/>
      <c r="H18" s="49">
        <f t="shared" si="0"/>
        <v>0</v>
      </c>
      <c r="I18" s="49">
        <f t="shared" si="1"/>
        <v>0</v>
      </c>
      <c r="J18" s="49"/>
      <c r="K18" s="49">
        <f t="shared" si="2"/>
        <v>0</v>
      </c>
      <c r="L18" s="49"/>
      <c r="M18" s="49">
        <f t="shared" si="3"/>
        <v>0</v>
      </c>
      <c r="N18" s="49"/>
      <c r="O18" s="49">
        <f t="shared" si="4"/>
        <v>0</v>
      </c>
      <c r="P18" s="49">
        <f t="shared" si="5"/>
        <v>0</v>
      </c>
      <c r="Q18" s="49"/>
      <c r="R18" s="49">
        <f t="shared" si="6"/>
        <v>0</v>
      </c>
      <c r="S18" s="49">
        <f t="shared" si="7"/>
        <v>0</v>
      </c>
      <c r="T18" s="49"/>
      <c r="U18" s="49">
        <f t="shared" si="8"/>
        <v>0</v>
      </c>
      <c r="V18" s="49"/>
      <c r="W18" s="49">
        <f t="shared" si="9"/>
        <v>0</v>
      </c>
      <c r="X18" s="49"/>
      <c r="Y18" s="49">
        <f t="shared" si="10"/>
        <v>0</v>
      </c>
      <c r="Z18" s="49"/>
      <c r="AA18" s="49">
        <f t="shared" si="11"/>
        <v>0</v>
      </c>
      <c r="AB18" s="49">
        <f t="shared" si="12"/>
        <v>0</v>
      </c>
      <c r="AC18" s="29" t="str">
        <f t="shared" si="13"/>
        <v>ok</v>
      </c>
    </row>
    <row r="19" spans="1:29" x14ac:dyDescent="0.2">
      <c r="A19" s="91">
        <v>314</v>
      </c>
      <c r="B19" s="14" t="s">
        <v>771</v>
      </c>
      <c r="C19" s="14" t="s">
        <v>778</v>
      </c>
      <c r="D19" s="14" t="s">
        <v>552</v>
      </c>
      <c r="F19" s="255">
        <v>0</v>
      </c>
      <c r="G19" s="49"/>
      <c r="H19" s="49">
        <f t="shared" si="0"/>
        <v>0</v>
      </c>
      <c r="I19" s="49">
        <f t="shared" si="1"/>
        <v>0</v>
      </c>
      <c r="J19" s="49"/>
      <c r="K19" s="49">
        <f t="shared" si="2"/>
        <v>0</v>
      </c>
      <c r="L19" s="49"/>
      <c r="M19" s="49">
        <f t="shared" si="3"/>
        <v>0</v>
      </c>
      <c r="N19" s="49"/>
      <c r="O19" s="49">
        <f t="shared" si="4"/>
        <v>0</v>
      </c>
      <c r="P19" s="49">
        <f t="shared" si="5"/>
        <v>0</v>
      </c>
      <c r="Q19" s="49"/>
      <c r="R19" s="49">
        <f t="shared" si="6"/>
        <v>0</v>
      </c>
      <c r="S19" s="49">
        <f t="shared" si="7"/>
        <v>0</v>
      </c>
      <c r="T19" s="49"/>
      <c r="U19" s="49">
        <f t="shared" si="8"/>
        <v>0</v>
      </c>
      <c r="V19" s="49"/>
      <c r="W19" s="49">
        <f t="shared" si="9"/>
        <v>0</v>
      </c>
      <c r="X19" s="49"/>
      <c r="Y19" s="49">
        <f t="shared" si="10"/>
        <v>0</v>
      </c>
      <c r="Z19" s="49"/>
      <c r="AA19" s="49">
        <f t="shared" si="11"/>
        <v>0</v>
      </c>
      <c r="AB19" s="49">
        <f t="shared" si="12"/>
        <v>0</v>
      </c>
      <c r="AC19" s="29" t="str">
        <f t="shared" si="13"/>
        <v>ok</v>
      </c>
    </row>
    <row r="20" spans="1:29" x14ac:dyDescent="0.2">
      <c r="A20" s="91">
        <v>315</v>
      </c>
      <c r="B20" s="14" t="s">
        <v>772</v>
      </c>
      <c r="C20" s="14" t="s">
        <v>779</v>
      </c>
      <c r="D20" s="14" t="s">
        <v>552</v>
      </c>
      <c r="F20" s="255">
        <v>0</v>
      </c>
      <c r="G20" s="49"/>
      <c r="H20" s="49">
        <f t="shared" si="0"/>
        <v>0</v>
      </c>
      <c r="I20" s="49">
        <f t="shared" si="1"/>
        <v>0</v>
      </c>
      <c r="J20" s="49"/>
      <c r="K20" s="49">
        <f t="shared" si="2"/>
        <v>0</v>
      </c>
      <c r="L20" s="49"/>
      <c r="M20" s="49">
        <f t="shared" si="3"/>
        <v>0</v>
      </c>
      <c r="N20" s="49"/>
      <c r="O20" s="49">
        <f t="shared" si="4"/>
        <v>0</v>
      </c>
      <c r="P20" s="49">
        <f t="shared" si="5"/>
        <v>0</v>
      </c>
      <c r="Q20" s="49"/>
      <c r="R20" s="49">
        <f t="shared" si="6"/>
        <v>0</v>
      </c>
      <c r="S20" s="49">
        <f t="shared" si="7"/>
        <v>0</v>
      </c>
      <c r="T20" s="49"/>
      <c r="U20" s="49">
        <f t="shared" si="8"/>
        <v>0</v>
      </c>
      <c r="V20" s="49"/>
      <c r="W20" s="49">
        <f t="shared" si="9"/>
        <v>0</v>
      </c>
      <c r="X20" s="49"/>
      <c r="Y20" s="49">
        <f t="shared" si="10"/>
        <v>0</v>
      </c>
      <c r="Z20" s="49"/>
      <c r="AA20" s="49">
        <f t="shared" si="11"/>
        <v>0</v>
      </c>
      <c r="AB20" s="49">
        <f t="shared" si="12"/>
        <v>0</v>
      </c>
      <c r="AC20" s="29" t="str">
        <f t="shared" si="13"/>
        <v>ok</v>
      </c>
    </row>
    <row r="21" spans="1:29" x14ac:dyDescent="0.2">
      <c r="A21" s="91">
        <v>316</v>
      </c>
      <c r="B21" s="14" t="s">
        <v>774</v>
      </c>
      <c r="C21" s="14" t="s">
        <v>780</v>
      </c>
      <c r="D21" s="14" t="s">
        <v>552</v>
      </c>
      <c r="F21" s="255">
        <v>0</v>
      </c>
      <c r="G21" s="49"/>
      <c r="H21" s="49">
        <f t="shared" si="0"/>
        <v>0</v>
      </c>
      <c r="I21" s="49">
        <f t="shared" si="1"/>
        <v>0</v>
      </c>
      <c r="J21" s="49"/>
      <c r="K21" s="49">
        <f t="shared" si="2"/>
        <v>0</v>
      </c>
      <c r="L21" s="49"/>
      <c r="M21" s="49">
        <f t="shared" si="3"/>
        <v>0</v>
      </c>
      <c r="N21" s="49"/>
      <c r="O21" s="49">
        <f t="shared" si="4"/>
        <v>0</v>
      </c>
      <c r="P21" s="49">
        <f t="shared" si="5"/>
        <v>0</v>
      </c>
      <c r="Q21" s="49"/>
      <c r="R21" s="49">
        <f t="shared" si="6"/>
        <v>0</v>
      </c>
      <c r="S21" s="49">
        <f t="shared" si="7"/>
        <v>0</v>
      </c>
      <c r="T21" s="49"/>
      <c r="U21" s="49">
        <f t="shared" si="8"/>
        <v>0</v>
      </c>
      <c r="V21" s="49"/>
      <c r="W21" s="49">
        <f t="shared" si="9"/>
        <v>0</v>
      </c>
      <c r="X21" s="49"/>
      <c r="Y21" s="49">
        <f t="shared" si="10"/>
        <v>0</v>
      </c>
      <c r="Z21" s="49"/>
      <c r="AA21" s="49">
        <f t="shared" si="11"/>
        <v>0</v>
      </c>
      <c r="AB21" s="49">
        <f>SUM(H21:AA21)</f>
        <v>0</v>
      </c>
      <c r="AC21" s="29" t="str">
        <f>IF(ABS(AB21-F21)&lt;1,"ok","err")</f>
        <v>ok</v>
      </c>
    </row>
    <row r="22" spans="1:29" x14ac:dyDescent="0.2">
      <c r="A22" s="91">
        <v>317</v>
      </c>
      <c r="B22" s="14" t="s">
        <v>773</v>
      </c>
      <c r="C22" s="14" t="s">
        <v>781</v>
      </c>
      <c r="D22" s="14" t="s">
        <v>552</v>
      </c>
      <c r="F22" s="255">
        <v>0</v>
      </c>
      <c r="G22" s="49"/>
      <c r="H22" s="49">
        <f t="shared" si="0"/>
        <v>0</v>
      </c>
      <c r="I22" s="49">
        <f t="shared" si="1"/>
        <v>0</v>
      </c>
      <c r="J22" s="49"/>
      <c r="K22" s="49">
        <f t="shared" si="2"/>
        <v>0</v>
      </c>
      <c r="L22" s="49"/>
      <c r="M22" s="49">
        <f t="shared" si="3"/>
        <v>0</v>
      </c>
      <c r="N22" s="49"/>
      <c r="O22" s="49">
        <f t="shared" si="4"/>
        <v>0</v>
      </c>
      <c r="P22" s="49">
        <f t="shared" si="5"/>
        <v>0</v>
      </c>
      <c r="Q22" s="49"/>
      <c r="R22" s="49">
        <f t="shared" si="6"/>
        <v>0</v>
      </c>
      <c r="S22" s="49">
        <f t="shared" si="7"/>
        <v>0</v>
      </c>
      <c r="T22" s="49"/>
      <c r="U22" s="49">
        <f t="shared" si="8"/>
        <v>0</v>
      </c>
      <c r="V22" s="49"/>
      <c r="W22" s="49">
        <f t="shared" si="9"/>
        <v>0</v>
      </c>
      <c r="X22" s="49"/>
      <c r="Y22" s="49">
        <f t="shared" si="10"/>
        <v>0</v>
      </c>
      <c r="Z22" s="49"/>
      <c r="AA22" s="49">
        <f t="shared" si="11"/>
        <v>0</v>
      </c>
      <c r="AB22" s="49">
        <f t="shared" si="12"/>
        <v>0</v>
      </c>
      <c r="AC22" s="29" t="str">
        <f t="shared" si="13"/>
        <v>ok</v>
      </c>
    </row>
    <row r="23" spans="1:29" x14ac:dyDescent="0.2">
      <c r="Q23" s="14"/>
      <c r="AB23" s="49"/>
      <c r="AC23" s="29"/>
    </row>
    <row r="24" spans="1:29" x14ac:dyDescent="0.2">
      <c r="B24" s="14" t="s">
        <v>784</v>
      </c>
      <c r="C24" s="14" t="s">
        <v>783</v>
      </c>
      <c r="F24" s="256">
        <f>SUM(F15:F23)</f>
        <v>0</v>
      </c>
      <c r="G24" s="90"/>
      <c r="H24" s="90">
        <f>SUM(H15:H23)</f>
        <v>0</v>
      </c>
      <c r="I24" s="90">
        <f>SUM(I15:I23)</f>
        <v>0</v>
      </c>
      <c r="J24" s="90"/>
      <c r="K24" s="90">
        <f>SUM(K15:K23)</f>
        <v>0</v>
      </c>
      <c r="L24" s="90"/>
      <c r="M24" s="90">
        <f>SUM(M15:M23)</f>
        <v>0</v>
      </c>
      <c r="N24" s="90"/>
      <c r="O24" s="90">
        <f>SUM(O15:O23)</f>
        <v>0</v>
      </c>
      <c r="P24" s="90">
        <f>SUM(P15:P23)</f>
        <v>0</v>
      </c>
      <c r="Q24" s="90"/>
      <c r="R24" s="90">
        <f>SUM(R15:R23)</f>
        <v>0</v>
      </c>
      <c r="S24" s="90">
        <f>SUM(S15:S23)</f>
        <v>0</v>
      </c>
      <c r="T24" s="90"/>
      <c r="U24" s="90">
        <f>SUM(U15:U23)</f>
        <v>0</v>
      </c>
      <c r="V24" s="90"/>
      <c r="W24" s="90">
        <f>SUM(W15:W23)</f>
        <v>0</v>
      </c>
      <c r="X24" s="90"/>
      <c r="Y24" s="90">
        <f>SUM(Y15:Y23)</f>
        <v>0</v>
      </c>
      <c r="Z24" s="90"/>
      <c r="AA24" s="90">
        <f>SUM(AA15:AA23)</f>
        <v>0</v>
      </c>
      <c r="AB24" s="49">
        <f>SUM(H24:AA24)</f>
        <v>0</v>
      </c>
      <c r="AC24" s="29" t="str">
        <f>IF(ABS(AB24-F24)&lt;1,"ok","err")</f>
        <v>ok</v>
      </c>
    </row>
    <row r="25" spans="1:29" x14ac:dyDescent="0.2">
      <c r="Q25" s="14"/>
      <c r="AC25" s="29"/>
    </row>
    <row r="26" spans="1:29" x14ac:dyDescent="0.2">
      <c r="A26" s="27" t="s">
        <v>350</v>
      </c>
      <c r="Q26" s="14"/>
      <c r="AC26" s="29"/>
    </row>
    <row r="27" spans="1:29" x14ac:dyDescent="0.2">
      <c r="A27" s="91">
        <v>350</v>
      </c>
      <c r="B27" s="14" t="s">
        <v>17</v>
      </c>
      <c r="C27" s="14" t="s">
        <v>352</v>
      </c>
      <c r="D27" s="14" t="s">
        <v>391</v>
      </c>
      <c r="F27" s="254">
        <v>0</v>
      </c>
      <c r="G27" s="65"/>
      <c r="H27" s="49">
        <f t="shared" ref="H27:H33" si="14">IF(VLOOKUP($D27,$C$5:$AA$496,6,)=0,0,((VLOOKUP($D27,$C$5:$AA$496,6,)/VLOOKUP($D27,$C$5:$AA$496,4,))*$F27))</f>
        <v>0</v>
      </c>
      <c r="I27" s="49">
        <f t="shared" ref="I27:I33" si="15">IF(VLOOKUP($D27,$C$5:$AA$496,7,)=0,0,((VLOOKUP($D27,$C$5:$AA$496,7,)/VLOOKUP($D27,$C$5:$AA$496,4,))*$F27))</f>
        <v>0</v>
      </c>
      <c r="J27" s="49"/>
      <c r="K27" s="49">
        <f t="shared" ref="K27:K33" si="16">IF(VLOOKUP($D27,$C$5:$AA$496,9,)=0,0,((VLOOKUP($D27,$C$5:$AA$496,9,)/VLOOKUP($D27,$C$5:$AA$496,4,))*$F27))</f>
        <v>0</v>
      </c>
      <c r="L27" s="49"/>
      <c r="M27" s="49">
        <f t="shared" ref="M27:M33" si="17">IF(VLOOKUP($D27,$C$5:$AA$496,11,)=0,0,((VLOOKUP($D27,$C$5:$AA$496,11,)/VLOOKUP($D27,$C$5:$AA$496,4,))*$F27))</f>
        <v>0</v>
      </c>
      <c r="N27" s="49"/>
      <c r="O27" s="49">
        <f t="shared" ref="O27:O33" si="18">IF(VLOOKUP($D27,$C$5:$AA$496,13,)=0,0,((VLOOKUP($D27,$C$5:$AA$496,13,)/VLOOKUP($D27,$C$5:$AA$496,4,))*$F27))</f>
        <v>0</v>
      </c>
      <c r="P27" s="49">
        <f t="shared" ref="P27:P33" si="19">IF(VLOOKUP($D27,$C$5:$AA$496,14,)=0,0,((VLOOKUP($D27,$C$5:$AA$496,14,)/VLOOKUP($D27,$C$5:$AA$496,4,))*$F27))</f>
        <v>0</v>
      </c>
      <c r="Q27" s="49"/>
      <c r="R27" s="49">
        <f t="shared" ref="R27:R33" si="20">IF(VLOOKUP($D27,$C$5:$AA$496,16,)=0,0,((VLOOKUP($D27,$C$5:$AA$496,16,)/VLOOKUP($D27,$C$5:$AA$496,4,))*$F27))</f>
        <v>0</v>
      </c>
      <c r="S27" s="49">
        <f t="shared" ref="S27:S33" si="21">IF(VLOOKUP($D27,$C$5:$AA$496,17,)=0,0,((VLOOKUP($D27,$C$5:$AA$496,17,)/VLOOKUP($D27,$C$5:$AA$496,4,))*$F27))</f>
        <v>0</v>
      </c>
      <c r="T27" s="49"/>
      <c r="U27" s="49">
        <f t="shared" ref="U27:U33" si="22">IF(VLOOKUP($D27,$C$5:$AA$496,19,)=0,0,((VLOOKUP($D27,$C$5:$AA$496,19,)/VLOOKUP($D27,$C$5:$AA$496,4,))*$F27))</f>
        <v>0</v>
      </c>
      <c r="V27" s="49"/>
      <c r="W27" s="49">
        <f t="shared" ref="W27:W33" si="23">IF(VLOOKUP($D27,$C$5:$AA$496,21,)=0,0,((VLOOKUP($D27,$C$5:$AA$496,21,)/VLOOKUP($D27,$C$5:$AA$496,4,))*$F27))</f>
        <v>0</v>
      </c>
      <c r="X27" s="49"/>
      <c r="Y27" s="49">
        <f t="shared" ref="Y27:Y33" si="24">IF(VLOOKUP($D27,$C$5:$AA$496,23,)=0,0,((VLOOKUP($D27,$C$5:$AA$496,23,)/VLOOKUP($D27,$C$5:$AA$496,4,))*$F27))</f>
        <v>0</v>
      </c>
      <c r="Z27" s="49"/>
      <c r="AA27" s="49">
        <f t="shared" ref="AA27:AA33" si="25">IF(VLOOKUP($D27,$C$5:$AA$496,25,)=0,0,((VLOOKUP($D27,$C$5:$AA$496,25,)/VLOOKUP($D27,$C$5:$AA$496,4,))*$F27))</f>
        <v>0</v>
      </c>
      <c r="AB27" s="49">
        <f t="shared" ref="AB27:AB33" si="26">SUM(H27:AA27)</f>
        <v>0</v>
      </c>
      <c r="AC27" s="29" t="str">
        <f t="shared" ref="AC27:AC33" si="27">IF(ABS(AB27-F27)&lt;1,"ok","err")</f>
        <v>ok</v>
      </c>
    </row>
    <row r="28" spans="1:29" x14ac:dyDescent="0.2">
      <c r="A28" s="91">
        <v>352</v>
      </c>
      <c r="B28" s="14" t="s">
        <v>53</v>
      </c>
      <c r="C28" s="14" t="s">
        <v>418</v>
      </c>
      <c r="D28" s="14" t="s">
        <v>391</v>
      </c>
      <c r="F28" s="255">
        <v>0</v>
      </c>
      <c r="G28" s="49"/>
      <c r="H28" s="49">
        <f t="shared" si="14"/>
        <v>0</v>
      </c>
      <c r="I28" s="49">
        <f t="shared" si="15"/>
        <v>0</v>
      </c>
      <c r="J28" s="49"/>
      <c r="K28" s="49">
        <f t="shared" si="16"/>
        <v>0</v>
      </c>
      <c r="L28" s="49"/>
      <c r="M28" s="49">
        <f t="shared" si="17"/>
        <v>0</v>
      </c>
      <c r="N28" s="49"/>
      <c r="O28" s="49">
        <f t="shared" si="18"/>
        <v>0</v>
      </c>
      <c r="P28" s="49">
        <f t="shared" si="19"/>
        <v>0</v>
      </c>
      <c r="Q28" s="49"/>
      <c r="R28" s="49">
        <f t="shared" si="20"/>
        <v>0</v>
      </c>
      <c r="S28" s="49">
        <f t="shared" si="21"/>
        <v>0</v>
      </c>
      <c r="T28" s="49"/>
      <c r="U28" s="49">
        <f t="shared" si="22"/>
        <v>0</v>
      </c>
      <c r="V28" s="49"/>
      <c r="W28" s="49">
        <f t="shared" si="23"/>
        <v>0</v>
      </c>
      <c r="X28" s="49"/>
      <c r="Y28" s="49">
        <f t="shared" si="24"/>
        <v>0</v>
      </c>
      <c r="Z28" s="49"/>
      <c r="AA28" s="49">
        <f t="shared" si="25"/>
        <v>0</v>
      </c>
      <c r="AB28" s="49">
        <f t="shared" si="26"/>
        <v>0</v>
      </c>
      <c r="AC28" s="29" t="str">
        <f t="shared" si="27"/>
        <v>ok</v>
      </c>
    </row>
    <row r="29" spans="1:29" x14ac:dyDescent="0.2">
      <c r="A29" s="91">
        <v>353</v>
      </c>
      <c r="B29" s="14" t="s">
        <v>22</v>
      </c>
      <c r="C29" s="14" t="s">
        <v>353</v>
      </c>
      <c r="D29" s="14" t="s">
        <v>391</v>
      </c>
      <c r="F29" s="255">
        <v>0</v>
      </c>
      <c r="G29" s="49"/>
      <c r="H29" s="49">
        <f t="shared" si="14"/>
        <v>0</v>
      </c>
      <c r="I29" s="49">
        <f t="shared" si="15"/>
        <v>0</v>
      </c>
      <c r="J29" s="49"/>
      <c r="K29" s="49">
        <f t="shared" si="16"/>
        <v>0</v>
      </c>
      <c r="L29" s="49"/>
      <c r="M29" s="49">
        <f t="shared" si="17"/>
        <v>0</v>
      </c>
      <c r="N29" s="49"/>
      <c r="O29" s="49">
        <f t="shared" si="18"/>
        <v>0</v>
      </c>
      <c r="P29" s="49">
        <f t="shared" si="19"/>
        <v>0</v>
      </c>
      <c r="Q29" s="49"/>
      <c r="R29" s="49">
        <f t="shared" si="20"/>
        <v>0</v>
      </c>
      <c r="S29" s="49">
        <f t="shared" si="21"/>
        <v>0</v>
      </c>
      <c r="T29" s="49"/>
      <c r="U29" s="49">
        <f t="shared" si="22"/>
        <v>0</v>
      </c>
      <c r="V29" s="49"/>
      <c r="W29" s="49">
        <f t="shared" si="23"/>
        <v>0</v>
      </c>
      <c r="X29" s="49"/>
      <c r="Y29" s="49">
        <f t="shared" si="24"/>
        <v>0</v>
      </c>
      <c r="Z29" s="49"/>
      <c r="AA29" s="49">
        <f t="shared" si="25"/>
        <v>0</v>
      </c>
      <c r="AB29" s="49">
        <f t="shared" si="26"/>
        <v>0</v>
      </c>
      <c r="AC29" s="29" t="str">
        <f t="shared" si="27"/>
        <v>ok</v>
      </c>
    </row>
    <row r="30" spans="1:29" x14ac:dyDescent="0.2">
      <c r="A30" s="91">
        <v>354</v>
      </c>
      <c r="B30" s="14" t="s">
        <v>419</v>
      </c>
      <c r="C30" s="14" t="s">
        <v>421</v>
      </c>
      <c r="D30" s="14" t="s">
        <v>391</v>
      </c>
      <c r="F30" s="255">
        <v>0</v>
      </c>
      <c r="G30" s="49"/>
      <c r="H30" s="49">
        <f t="shared" si="14"/>
        <v>0</v>
      </c>
      <c r="I30" s="49">
        <f t="shared" si="15"/>
        <v>0</v>
      </c>
      <c r="J30" s="49"/>
      <c r="K30" s="49">
        <f t="shared" si="16"/>
        <v>0</v>
      </c>
      <c r="L30" s="49"/>
      <c r="M30" s="49">
        <f t="shared" si="17"/>
        <v>0</v>
      </c>
      <c r="N30" s="49"/>
      <c r="O30" s="49">
        <f t="shared" si="18"/>
        <v>0</v>
      </c>
      <c r="P30" s="49">
        <f t="shared" si="19"/>
        <v>0</v>
      </c>
      <c r="Q30" s="49"/>
      <c r="R30" s="49">
        <f t="shared" si="20"/>
        <v>0</v>
      </c>
      <c r="S30" s="49">
        <f t="shared" si="21"/>
        <v>0</v>
      </c>
      <c r="T30" s="49"/>
      <c r="U30" s="49">
        <f t="shared" si="22"/>
        <v>0</v>
      </c>
      <c r="V30" s="49"/>
      <c r="W30" s="49">
        <f t="shared" si="23"/>
        <v>0</v>
      </c>
      <c r="X30" s="49"/>
      <c r="Y30" s="49">
        <f t="shared" si="24"/>
        <v>0</v>
      </c>
      <c r="Z30" s="49"/>
      <c r="AA30" s="49">
        <f t="shared" si="25"/>
        <v>0</v>
      </c>
      <c r="AB30" s="49">
        <f t="shared" si="26"/>
        <v>0</v>
      </c>
      <c r="AC30" s="29" t="str">
        <f t="shared" si="27"/>
        <v>ok</v>
      </c>
    </row>
    <row r="31" spans="1:29" x14ac:dyDescent="0.2">
      <c r="A31" s="91">
        <v>355</v>
      </c>
      <c r="B31" s="14" t="s">
        <v>420</v>
      </c>
      <c r="C31" s="14" t="s">
        <v>354</v>
      </c>
      <c r="D31" s="14" t="s">
        <v>391</v>
      </c>
      <c r="F31" s="255">
        <v>0</v>
      </c>
      <c r="G31" s="49"/>
      <c r="H31" s="49">
        <f t="shared" si="14"/>
        <v>0</v>
      </c>
      <c r="I31" s="49">
        <f t="shared" si="15"/>
        <v>0</v>
      </c>
      <c r="J31" s="49"/>
      <c r="K31" s="49">
        <f t="shared" si="16"/>
        <v>0</v>
      </c>
      <c r="L31" s="49"/>
      <c r="M31" s="49">
        <f t="shared" si="17"/>
        <v>0</v>
      </c>
      <c r="N31" s="49"/>
      <c r="O31" s="49">
        <f t="shared" si="18"/>
        <v>0</v>
      </c>
      <c r="P31" s="49">
        <f t="shared" si="19"/>
        <v>0</v>
      </c>
      <c r="Q31" s="49"/>
      <c r="R31" s="49">
        <f t="shared" si="20"/>
        <v>0</v>
      </c>
      <c r="S31" s="49">
        <f t="shared" si="21"/>
        <v>0</v>
      </c>
      <c r="T31" s="49"/>
      <c r="U31" s="49">
        <f t="shared" si="22"/>
        <v>0</v>
      </c>
      <c r="V31" s="49"/>
      <c r="W31" s="49">
        <f t="shared" si="23"/>
        <v>0</v>
      </c>
      <c r="X31" s="49"/>
      <c r="Y31" s="49">
        <f t="shared" si="24"/>
        <v>0</v>
      </c>
      <c r="Z31" s="49"/>
      <c r="AA31" s="49">
        <f t="shared" si="25"/>
        <v>0</v>
      </c>
      <c r="AB31" s="49">
        <f t="shared" si="26"/>
        <v>0</v>
      </c>
      <c r="AC31" s="29" t="str">
        <f t="shared" si="27"/>
        <v>ok</v>
      </c>
    </row>
    <row r="32" spans="1:29" x14ac:dyDescent="0.2">
      <c r="A32" s="91">
        <v>356</v>
      </c>
      <c r="B32" s="14" t="s">
        <v>351</v>
      </c>
      <c r="C32" s="14" t="s">
        <v>355</v>
      </c>
      <c r="D32" s="14" t="s">
        <v>391</v>
      </c>
      <c r="F32" s="255">
        <v>0</v>
      </c>
      <c r="G32" s="49"/>
      <c r="H32" s="49">
        <f t="shared" si="14"/>
        <v>0</v>
      </c>
      <c r="I32" s="49">
        <f t="shared" si="15"/>
        <v>0</v>
      </c>
      <c r="J32" s="49"/>
      <c r="K32" s="49">
        <f t="shared" si="16"/>
        <v>0</v>
      </c>
      <c r="L32" s="49"/>
      <c r="M32" s="49">
        <f t="shared" si="17"/>
        <v>0</v>
      </c>
      <c r="N32" s="49"/>
      <c r="O32" s="49">
        <f t="shared" si="18"/>
        <v>0</v>
      </c>
      <c r="P32" s="49">
        <f t="shared" si="19"/>
        <v>0</v>
      </c>
      <c r="Q32" s="49"/>
      <c r="R32" s="49">
        <f t="shared" si="20"/>
        <v>0</v>
      </c>
      <c r="S32" s="49">
        <f t="shared" si="21"/>
        <v>0</v>
      </c>
      <c r="T32" s="49"/>
      <c r="U32" s="49">
        <f t="shared" si="22"/>
        <v>0</v>
      </c>
      <c r="V32" s="49"/>
      <c r="W32" s="49">
        <f t="shared" si="23"/>
        <v>0</v>
      </c>
      <c r="X32" s="49"/>
      <c r="Y32" s="49">
        <f t="shared" si="24"/>
        <v>0</v>
      </c>
      <c r="Z32" s="49"/>
      <c r="AA32" s="49">
        <f t="shared" si="25"/>
        <v>0</v>
      </c>
      <c r="AB32" s="49">
        <f t="shared" si="26"/>
        <v>0</v>
      </c>
      <c r="AC32" s="29" t="str">
        <f t="shared" si="27"/>
        <v>ok</v>
      </c>
    </row>
    <row r="33" spans="1:29" x14ac:dyDescent="0.2">
      <c r="A33" s="91">
        <v>359</v>
      </c>
      <c r="B33" s="14" t="s">
        <v>422</v>
      </c>
      <c r="C33" s="14" t="s">
        <v>423</v>
      </c>
      <c r="D33" s="14" t="s">
        <v>391</v>
      </c>
      <c r="F33" s="255">
        <v>0</v>
      </c>
      <c r="G33" s="49"/>
      <c r="H33" s="49">
        <f t="shared" si="14"/>
        <v>0</v>
      </c>
      <c r="I33" s="49">
        <f t="shared" si="15"/>
        <v>0</v>
      </c>
      <c r="J33" s="49"/>
      <c r="K33" s="49">
        <f t="shared" si="16"/>
        <v>0</v>
      </c>
      <c r="L33" s="49"/>
      <c r="M33" s="49">
        <f t="shared" si="17"/>
        <v>0</v>
      </c>
      <c r="N33" s="49"/>
      <c r="O33" s="49">
        <f t="shared" si="18"/>
        <v>0</v>
      </c>
      <c r="P33" s="49">
        <f t="shared" si="19"/>
        <v>0</v>
      </c>
      <c r="Q33" s="49"/>
      <c r="R33" s="49">
        <f t="shared" si="20"/>
        <v>0</v>
      </c>
      <c r="S33" s="49">
        <f t="shared" si="21"/>
        <v>0</v>
      </c>
      <c r="T33" s="49"/>
      <c r="U33" s="49">
        <f t="shared" si="22"/>
        <v>0</v>
      </c>
      <c r="V33" s="49"/>
      <c r="W33" s="49">
        <f t="shared" si="23"/>
        <v>0</v>
      </c>
      <c r="X33" s="49"/>
      <c r="Y33" s="49">
        <f t="shared" si="24"/>
        <v>0</v>
      </c>
      <c r="Z33" s="49"/>
      <c r="AA33" s="49">
        <f t="shared" si="25"/>
        <v>0</v>
      </c>
      <c r="AB33" s="49">
        <f t="shared" si="26"/>
        <v>0</v>
      </c>
      <c r="AC33" s="29" t="str">
        <f t="shared" si="27"/>
        <v>ok</v>
      </c>
    </row>
    <row r="34" spans="1:29" x14ac:dyDescent="0.2">
      <c r="Q34" s="14"/>
      <c r="AB34" s="49"/>
      <c r="AC34" s="29"/>
    </row>
    <row r="35" spans="1:29" x14ac:dyDescent="0.2">
      <c r="B35" s="14" t="s">
        <v>359</v>
      </c>
      <c r="C35" s="14" t="s">
        <v>390</v>
      </c>
      <c r="F35" s="256">
        <f>SUM(F27:F34)</f>
        <v>0</v>
      </c>
      <c r="G35" s="90"/>
      <c r="H35" s="90">
        <f t="shared" ref="H35:AA35" si="28">SUM(H27:H34)</f>
        <v>0</v>
      </c>
      <c r="I35" s="90">
        <f t="shared" si="28"/>
        <v>0</v>
      </c>
      <c r="J35" s="90"/>
      <c r="K35" s="90">
        <f t="shared" si="28"/>
        <v>0</v>
      </c>
      <c r="L35" s="90"/>
      <c r="M35" s="90">
        <f t="shared" si="28"/>
        <v>0</v>
      </c>
      <c r="N35" s="90"/>
      <c r="O35" s="90">
        <f t="shared" si="28"/>
        <v>0</v>
      </c>
      <c r="P35" s="90">
        <f t="shared" si="28"/>
        <v>0</v>
      </c>
      <c r="Q35" s="90"/>
      <c r="R35" s="90">
        <f t="shared" si="28"/>
        <v>0</v>
      </c>
      <c r="S35" s="90">
        <f t="shared" si="28"/>
        <v>0</v>
      </c>
      <c r="T35" s="90"/>
      <c r="U35" s="90">
        <f t="shared" si="28"/>
        <v>0</v>
      </c>
      <c r="V35" s="90"/>
      <c r="W35" s="90">
        <f t="shared" si="28"/>
        <v>0</v>
      </c>
      <c r="X35" s="90"/>
      <c r="Y35" s="90">
        <f t="shared" si="28"/>
        <v>0</v>
      </c>
      <c r="Z35" s="90"/>
      <c r="AA35" s="90">
        <f t="shared" si="28"/>
        <v>0</v>
      </c>
      <c r="AB35" s="49">
        <f>SUM(H35:AA35)</f>
        <v>0</v>
      </c>
      <c r="AC35" s="29" t="str">
        <f>IF(ABS(AB35-F35)&lt;1,"ok","err")</f>
        <v>ok</v>
      </c>
    </row>
    <row r="36" spans="1:29" x14ac:dyDescent="0.2">
      <c r="Q36" s="14"/>
      <c r="AC36" s="29"/>
    </row>
    <row r="37" spans="1:29" x14ac:dyDescent="0.2">
      <c r="A37" s="27" t="s">
        <v>366</v>
      </c>
      <c r="Q37" s="14"/>
      <c r="AC37" s="29"/>
    </row>
    <row r="38" spans="1:29" x14ac:dyDescent="0.2">
      <c r="Q38" s="14"/>
      <c r="AC38" s="29"/>
    </row>
    <row r="39" spans="1:29" x14ac:dyDescent="0.2">
      <c r="A39" s="27" t="s">
        <v>21</v>
      </c>
      <c r="Q39" s="14"/>
      <c r="AC39" s="29"/>
    </row>
    <row r="40" spans="1:29" x14ac:dyDescent="0.2">
      <c r="A40" s="91">
        <v>360</v>
      </c>
      <c r="B40" s="14" t="s">
        <v>17</v>
      </c>
      <c r="C40" s="14" t="s">
        <v>18</v>
      </c>
      <c r="D40" s="14" t="s">
        <v>24</v>
      </c>
      <c r="F40" s="254">
        <v>246272.96</v>
      </c>
      <c r="G40" s="190"/>
      <c r="H40" s="49">
        <f>IF(VLOOKUP($D40,$C$5:$AA$496,6,)=0,0,((VLOOKUP($D40,$C$5:$AA$496,6,)/VLOOKUP($D40,$C$5:$AA$496,4,))*$F63))</f>
        <v>0</v>
      </c>
      <c r="I40" s="49">
        <f>IF(VLOOKUP($D40,$C$5:$AA$496,7,)=0,0,((VLOOKUP($D40,$C$5:$AA$496,7,)/VLOOKUP($D40,$C$5:$AA$496,4,))*$F63))</f>
        <v>0</v>
      </c>
      <c r="J40" s="49"/>
      <c r="K40" s="49">
        <f>IF(VLOOKUP($D40,$C$5:$AA$496,9,)=0,0,((VLOOKUP($D40,$C$5:$AA$496,9,)/VLOOKUP($D40,$C$5:$AA$496,4,))*$F63))</f>
        <v>0</v>
      </c>
      <c r="L40" s="49"/>
      <c r="M40" s="49">
        <f t="shared" ref="M40:M52" si="29">IF(VLOOKUP($D40,$C$5:$AA$496,11,)=0,0,((VLOOKUP($D40,$C$5:$AA$496,11,)/VLOOKUP($D40,$C$5:$AA$496,4,))*$F40))</f>
        <v>246272.96</v>
      </c>
      <c r="N40" s="49"/>
      <c r="O40" s="49">
        <f>IF(VLOOKUP($D40,$C$5:$AA$496,13,)=0,0,((VLOOKUP($D40,$C$5:$AA$496,13,)/VLOOKUP($D40,$C$5:$AA$496,4,))*$F63))</f>
        <v>0</v>
      </c>
      <c r="P40" s="49">
        <f>IF(VLOOKUP($D40,$C$5:$AA$496,14,)=0,0,((VLOOKUP($D40,$C$5:$AA$496,14,)/VLOOKUP($D40,$C$5:$AA$496,4,))*$F63))</f>
        <v>0</v>
      </c>
      <c r="Q40" s="49"/>
      <c r="R40" s="49">
        <f>IF(VLOOKUP($D40,$C$5:$AA$496,16,)=0,0,((VLOOKUP($D40,$C$5:$AA$496,16,)/VLOOKUP($D40,$C$5:$AA$496,4,))*$F63))</f>
        <v>0</v>
      </c>
      <c r="S40" s="49">
        <f>IF(VLOOKUP($D40,$C$5:$AA$496,17,)=0,0,((VLOOKUP($D40,$C$5:$AA$496,17,)/VLOOKUP($D40,$C$5:$AA$496,4,))*$F63))</f>
        <v>0</v>
      </c>
      <c r="T40" s="49"/>
      <c r="U40" s="49">
        <f>IF(VLOOKUP($D40,$C$5:$AA$496,19,)=0,0,((VLOOKUP($D40,$C$5:$AA$496,19,)/VLOOKUP($D40,$C$5:$AA$496,4,))*$F63))</f>
        <v>0</v>
      </c>
      <c r="V40" s="49"/>
      <c r="W40" s="49">
        <f>IF(VLOOKUP($D40,$C$5:$AA$496,21,)=0,0,((VLOOKUP($D40,$C$5:$AA$496,21,)/VLOOKUP($D40,$C$5:$AA$496,4,))*$F63))</f>
        <v>0</v>
      </c>
      <c r="X40" s="49"/>
      <c r="Y40" s="49">
        <f>IF(VLOOKUP($D40,$C$5:$AA$496,23,)=0,0,((VLOOKUP($D40,$C$5:$AA$496,23,)/VLOOKUP($D40,$C$5:$AA$496,4,))*$F63))</f>
        <v>0</v>
      </c>
      <c r="Z40" s="49"/>
      <c r="AA40" s="49">
        <f>IF(VLOOKUP($D40,$C$5:$AA$496,25,)=0,0,((VLOOKUP($D40,$C$5:$AA$496,25,)/VLOOKUP($D40,$C$5:$AA$496,4,))*$F63))</f>
        <v>0</v>
      </c>
      <c r="AB40" s="49">
        <f t="shared" ref="AB40:AB52" si="30">SUM(H40:AA40)</f>
        <v>246272.96</v>
      </c>
      <c r="AC40" s="29" t="str">
        <f>IF(ABS(AB40-F40)&lt;1,"ok","err")</f>
        <v>ok</v>
      </c>
    </row>
    <row r="41" spans="1:29" x14ac:dyDescent="0.2">
      <c r="A41" s="91">
        <v>361</v>
      </c>
      <c r="B41" s="14" t="s">
        <v>53</v>
      </c>
      <c r="C41" s="14" t="s">
        <v>424</v>
      </c>
      <c r="D41" s="14" t="s">
        <v>24</v>
      </c>
      <c r="F41" s="255">
        <v>0</v>
      </c>
      <c r="G41" s="191"/>
      <c r="H41" s="49">
        <f t="shared" ref="H41:H52" si="31">IF(VLOOKUP($D41,$C$5:$AA$496,6,)=0,0,((VLOOKUP($D41,$C$5:$AA$496,6,)/VLOOKUP($D41,$C$5:$AA$496,4,))*$F41))</f>
        <v>0</v>
      </c>
      <c r="I41" s="49">
        <f t="shared" ref="I41:I52" si="32">IF(VLOOKUP($D41,$C$5:$AA$496,7,)=0,0,((VLOOKUP($D41,$C$5:$AA$496,7,)/VLOOKUP($D41,$C$5:$AA$496,4,))*$F41))</f>
        <v>0</v>
      </c>
      <c r="J41" s="49"/>
      <c r="K41" s="49">
        <f t="shared" ref="K41:K52" si="33">IF(VLOOKUP($D41,$C$5:$AA$496,9,)=0,0,((VLOOKUP($D41,$C$5:$AA$496,9,)/VLOOKUP($D41,$C$5:$AA$496,4,))*$F41))</f>
        <v>0</v>
      </c>
      <c r="L41" s="49"/>
      <c r="M41" s="49">
        <f t="shared" si="29"/>
        <v>0</v>
      </c>
      <c r="N41" s="49"/>
      <c r="O41" s="49">
        <f t="shared" ref="O41:O52" si="34">IF(VLOOKUP($D41,$C$5:$AA$496,13,)=0,0,((VLOOKUP($D41,$C$5:$AA$496,13,)/VLOOKUP($D41,$C$5:$AA$496,4,))*$F41))</f>
        <v>0</v>
      </c>
      <c r="P41" s="49">
        <f t="shared" ref="P41:P52" si="35">IF(VLOOKUP($D41,$C$5:$AA$496,14,)=0,0,((VLOOKUP($D41,$C$5:$AA$496,14,)/VLOOKUP($D41,$C$5:$AA$496,4,))*$F41))</f>
        <v>0</v>
      </c>
      <c r="Q41" s="49"/>
      <c r="R41" s="49">
        <f t="shared" ref="R41:R52" si="36">IF(VLOOKUP($D41,$C$5:$AA$496,16,)=0,0,((VLOOKUP($D41,$C$5:$AA$496,16,)/VLOOKUP($D41,$C$5:$AA$496,4,))*$F41))</f>
        <v>0</v>
      </c>
      <c r="S41" s="49">
        <f t="shared" ref="S41:S52" si="37">IF(VLOOKUP($D41,$C$5:$AA$496,17,)=0,0,((VLOOKUP($D41,$C$5:$AA$496,17,)/VLOOKUP($D41,$C$5:$AA$496,4,))*$F41))</f>
        <v>0</v>
      </c>
      <c r="T41" s="49"/>
      <c r="U41" s="49">
        <f t="shared" ref="U41:U52" si="38">IF(VLOOKUP($D41,$C$5:$AA$496,19,)=0,0,((VLOOKUP($D41,$C$5:$AA$496,19,)/VLOOKUP($D41,$C$5:$AA$496,4,))*$F41))</f>
        <v>0</v>
      </c>
      <c r="V41" s="49"/>
      <c r="W41" s="49">
        <f t="shared" ref="W41:W52" si="39">IF(VLOOKUP($D41,$C$5:$AA$496,21,)=0,0,((VLOOKUP($D41,$C$5:$AA$496,21,)/VLOOKUP($D41,$C$5:$AA$496,4,))*$F41))</f>
        <v>0</v>
      </c>
      <c r="X41" s="49"/>
      <c r="Y41" s="49">
        <f t="shared" ref="Y41:Y52" si="40">IF(VLOOKUP($D41,$C$5:$AA$496,23,)=0,0,((VLOOKUP($D41,$C$5:$AA$496,23,)/VLOOKUP($D41,$C$5:$AA$496,4,))*$F41))</f>
        <v>0</v>
      </c>
      <c r="Z41" s="49"/>
      <c r="AA41" s="49">
        <f t="shared" ref="AA41:AA52" si="41">IF(VLOOKUP($D41,$C$5:$AA$496,25,)=0,0,((VLOOKUP($D41,$C$5:$AA$496,25,)/VLOOKUP($D41,$C$5:$AA$496,4,))*$F41))</f>
        <v>0</v>
      </c>
      <c r="AB41" s="49">
        <f t="shared" si="30"/>
        <v>0</v>
      </c>
      <c r="AC41" s="29" t="str">
        <f t="shared" ref="AC41:AC52" si="42">IF(ABS(AB41-F41)&lt;1,"ok","err")</f>
        <v>ok</v>
      </c>
    </row>
    <row r="42" spans="1:29" x14ac:dyDescent="0.2">
      <c r="A42" s="91">
        <v>362</v>
      </c>
      <c r="B42" s="14" t="s">
        <v>22</v>
      </c>
      <c r="C42" s="14" t="s">
        <v>23</v>
      </c>
      <c r="D42" s="14" t="s">
        <v>24</v>
      </c>
      <c r="F42" s="255">
        <v>17526963.530000001</v>
      </c>
      <c r="G42" s="191"/>
      <c r="H42" s="49">
        <f t="shared" si="31"/>
        <v>0</v>
      </c>
      <c r="I42" s="49">
        <f t="shared" si="32"/>
        <v>0</v>
      </c>
      <c r="J42" s="49"/>
      <c r="K42" s="49">
        <f t="shared" si="33"/>
        <v>0</v>
      </c>
      <c r="L42" s="49"/>
      <c r="M42" s="49">
        <f t="shared" si="29"/>
        <v>17526963.530000001</v>
      </c>
      <c r="N42" s="49"/>
      <c r="O42" s="49">
        <f t="shared" si="34"/>
        <v>0</v>
      </c>
      <c r="P42" s="49">
        <f t="shared" si="35"/>
        <v>0</v>
      </c>
      <c r="Q42" s="49"/>
      <c r="R42" s="49">
        <f t="shared" si="36"/>
        <v>0</v>
      </c>
      <c r="S42" s="49">
        <f t="shared" si="37"/>
        <v>0</v>
      </c>
      <c r="T42" s="49"/>
      <c r="U42" s="49">
        <f t="shared" si="38"/>
        <v>0</v>
      </c>
      <c r="V42" s="49"/>
      <c r="W42" s="49">
        <f t="shared" si="39"/>
        <v>0</v>
      </c>
      <c r="X42" s="49"/>
      <c r="Y42" s="49">
        <f t="shared" si="40"/>
        <v>0</v>
      </c>
      <c r="Z42" s="49"/>
      <c r="AA42" s="49">
        <f t="shared" si="41"/>
        <v>0</v>
      </c>
      <c r="AB42" s="49">
        <f t="shared" si="30"/>
        <v>17526963.530000001</v>
      </c>
      <c r="AC42" s="29" t="str">
        <f t="shared" si="42"/>
        <v>ok</v>
      </c>
    </row>
    <row r="43" spans="1:29" x14ac:dyDescent="0.2">
      <c r="A43" s="91">
        <v>364</v>
      </c>
      <c r="B43" s="14" t="s">
        <v>25</v>
      </c>
      <c r="C43" s="14" t="s">
        <v>26</v>
      </c>
      <c r="D43" s="14" t="s">
        <v>27</v>
      </c>
      <c r="F43" s="255">
        <v>57689603.339999996</v>
      </c>
      <c r="G43" s="191"/>
      <c r="H43" s="49">
        <f t="shared" si="31"/>
        <v>0</v>
      </c>
      <c r="I43" s="49">
        <f t="shared" si="32"/>
        <v>0</v>
      </c>
      <c r="J43" s="49"/>
      <c r="K43" s="49">
        <f t="shared" si="33"/>
        <v>0</v>
      </c>
      <c r="L43" s="49"/>
      <c r="M43" s="49">
        <f t="shared" si="29"/>
        <v>0</v>
      </c>
      <c r="N43" s="49"/>
      <c r="O43" s="49">
        <f t="shared" si="34"/>
        <v>20734377.068312548</v>
      </c>
      <c r="P43" s="49">
        <f t="shared" si="35"/>
        <v>36955226.271687448</v>
      </c>
      <c r="Q43" s="49"/>
      <c r="R43" s="49">
        <f t="shared" si="36"/>
        <v>0</v>
      </c>
      <c r="S43" s="49">
        <f t="shared" si="37"/>
        <v>0</v>
      </c>
      <c r="T43" s="49"/>
      <c r="U43" s="49">
        <f t="shared" si="38"/>
        <v>0</v>
      </c>
      <c r="V43" s="49"/>
      <c r="W43" s="49">
        <f t="shared" si="39"/>
        <v>0</v>
      </c>
      <c r="X43" s="49"/>
      <c r="Y43" s="49">
        <f t="shared" si="40"/>
        <v>0</v>
      </c>
      <c r="Z43" s="49"/>
      <c r="AA43" s="49">
        <f t="shared" si="41"/>
        <v>0</v>
      </c>
      <c r="AB43" s="49">
        <f t="shared" si="30"/>
        <v>57689603.339999996</v>
      </c>
      <c r="AC43" s="29" t="str">
        <f t="shared" si="42"/>
        <v>ok</v>
      </c>
    </row>
    <row r="44" spans="1:29" x14ac:dyDescent="0.2">
      <c r="A44" s="91">
        <v>365</v>
      </c>
      <c r="B44" s="14" t="s">
        <v>28</v>
      </c>
      <c r="C44" s="14" t="s">
        <v>29</v>
      </c>
      <c r="D44" s="14" t="s">
        <v>30</v>
      </c>
      <c r="F44" s="255">
        <v>22532628.699999999</v>
      </c>
      <c r="G44" s="191"/>
      <c r="H44" s="49">
        <f t="shared" si="31"/>
        <v>0</v>
      </c>
      <c r="I44" s="49">
        <f t="shared" si="32"/>
        <v>0</v>
      </c>
      <c r="J44" s="49"/>
      <c r="K44" s="49">
        <f t="shared" si="33"/>
        <v>0</v>
      </c>
      <c r="L44" s="49"/>
      <c r="M44" s="49">
        <f t="shared" si="29"/>
        <v>0</v>
      </c>
      <c r="N44" s="49"/>
      <c r="O44" s="49">
        <f t="shared" si="34"/>
        <v>8098513.2980129309</v>
      </c>
      <c r="P44" s="49">
        <f t="shared" si="35"/>
        <v>14434115.401987068</v>
      </c>
      <c r="Q44" s="49"/>
      <c r="R44" s="49">
        <f t="shared" si="36"/>
        <v>0</v>
      </c>
      <c r="S44" s="49">
        <f t="shared" si="37"/>
        <v>0</v>
      </c>
      <c r="T44" s="49"/>
      <c r="U44" s="49">
        <f t="shared" si="38"/>
        <v>0</v>
      </c>
      <c r="V44" s="49"/>
      <c r="W44" s="49">
        <f t="shared" si="39"/>
        <v>0</v>
      </c>
      <c r="X44" s="49"/>
      <c r="Y44" s="49">
        <f t="shared" si="40"/>
        <v>0</v>
      </c>
      <c r="Z44" s="49"/>
      <c r="AA44" s="49">
        <f t="shared" si="41"/>
        <v>0</v>
      </c>
      <c r="AB44" s="49">
        <f t="shared" si="30"/>
        <v>22532628.699999999</v>
      </c>
      <c r="AC44" s="29" t="str">
        <f t="shared" si="42"/>
        <v>ok</v>
      </c>
    </row>
    <row r="45" spans="1:29" x14ac:dyDescent="0.2">
      <c r="A45" s="91">
        <v>366</v>
      </c>
      <c r="B45" s="14" t="s">
        <v>31</v>
      </c>
      <c r="C45" s="14" t="s">
        <v>32</v>
      </c>
      <c r="D45" s="14" t="s">
        <v>33</v>
      </c>
      <c r="F45" s="255">
        <v>0</v>
      </c>
      <c r="G45" s="191"/>
      <c r="H45" s="49">
        <f t="shared" si="31"/>
        <v>0</v>
      </c>
      <c r="I45" s="49">
        <f t="shared" si="32"/>
        <v>0</v>
      </c>
      <c r="J45" s="49"/>
      <c r="K45" s="49">
        <f t="shared" si="33"/>
        <v>0</v>
      </c>
      <c r="L45" s="49"/>
      <c r="M45" s="49">
        <f t="shared" si="29"/>
        <v>0</v>
      </c>
      <c r="N45" s="49"/>
      <c r="O45" s="49">
        <f t="shared" si="34"/>
        <v>0</v>
      </c>
      <c r="P45" s="49">
        <f t="shared" si="35"/>
        <v>0</v>
      </c>
      <c r="Q45" s="49"/>
      <c r="R45" s="49">
        <f t="shared" si="36"/>
        <v>0</v>
      </c>
      <c r="S45" s="49">
        <f t="shared" si="37"/>
        <v>0</v>
      </c>
      <c r="T45" s="49"/>
      <c r="U45" s="49">
        <f t="shared" si="38"/>
        <v>0</v>
      </c>
      <c r="V45" s="49"/>
      <c r="W45" s="49">
        <f t="shared" si="39"/>
        <v>0</v>
      </c>
      <c r="X45" s="49"/>
      <c r="Y45" s="49">
        <f t="shared" si="40"/>
        <v>0</v>
      </c>
      <c r="Z45" s="49"/>
      <c r="AA45" s="49">
        <f t="shared" si="41"/>
        <v>0</v>
      </c>
      <c r="AB45" s="49">
        <f t="shared" si="30"/>
        <v>0</v>
      </c>
      <c r="AC45" s="29" t="str">
        <f t="shared" si="42"/>
        <v>ok</v>
      </c>
    </row>
    <row r="46" spans="1:29" x14ac:dyDescent="0.2">
      <c r="A46" s="91">
        <v>367</v>
      </c>
      <c r="B46" s="14" t="s">
        <v>34</v>
      </c>
      <c r="C46" s="14" t="s">
        <v>35</v>
      </c>
      <c r="D46" s="14" t="s">
        <v>33</v>
      </c>
      <c r="F46" s="255">
        <v>5267644.6500000004</v>
      </c>
      <c r="G46" s="191"/>
      <c r="H46" s="49">
        <f t="shared" si="31"/>
        <v>0</v>
      </c>
      <c r="I46" s="49">
        <f t="shared" si="32"/>
        <v>0</v>
      </c>
      <c r="J46" s="49"/>
      <c r="K46" s="49">
        <f t="shared" si="33"/>
        <v>0</v>
      </c>
      <c r="L46" s="49"/>
      <c r="M46" s="49">
        <f t="shared" si="29"/>
        <v>0</v>
      </c>
      <c r="N46" s="49"/>
      <c r="O46" s="49">
        <f t="shared" si="34"/>
        <v>1716609.6006108639</v>
      </c>
      <c r="P46" s="49">
        <f t="shared" si="35"/>
        <v>3551035.0493891365</v>
      </c>
      <c r="Q46" s="49"/>
      <c r="R46" s="49">
        <f t="shared" si="36"/>
        <v>0</v>
      </c>
      <c r="S46" s="49">
        <f t="shared" si="37"/>
        <v>0</v>
      </c>
      <c r="T46" s="49"/>
      <c r="U46" s="49">
        <f t="shared" si="38"/>
        <v>0</v>
      </c>
      <c r="V46" s="49"/>
      <c r="W46" s="49">
        <f t="shared" si="39"/>
        <v>0</v>
      </c>
      <c r="X46" s="49"/>
      <c r="Y46" s="49">
        <f t="shared" si="40"/>
        <v>0</v>
      </c>
      <c r="Z46" s="49"/>
      <c r="AA46" s="49">
        <f t="shared" si="41"/>
        <v>0</v>
      </c>
      <c r="AB46" s="49">
        <f t="shared" si="30"/>
        <v>5267644.6500000004</v>
      </c>
      <c r="AC46" s="29" t="str">
        <f t="shared" si="42"/>
        <v>ok</v>
      </c>
    </row>
    <row r="47" spans="1:29" x14ac:dyDescent="0.2">
      <c r="A47" s="91">
        <v>368</v>
      </c>
      <c r="B47" s="14" t="s">
        <v>36</v>
      </c>
      <c r="C47" s="14" t="s">
        <v>37</v>
      </c>
      <c r="D47" s="14" t="s">
        <v>38</v>
      </c>
      <c r="F47" s="255">
        <v>19014140.149999995</v>
      </c>
      <c r="G47" s="191"/>
      <c r="H47" s="49">
        <f t="shared" si="31"/>
        <v>0</v>
      </c>
      <c r="I47" s="49">
        <f t="shared" si="32"/>
        <v>0</v>
      </c>
      <c r="J47" s="49"/>
      <c r="K47" s="49">
        <f t="shared" si="33"/>
        <v>0</v>
      </c>
      <c r="L47" s="49"/>
      <c r="M47" s="49">
        <f t="shared" si="29"/>
        <v>0</v>
      </c>
      <c r="N47" s="49"/>
      <c r="O47" s="49">
        <f t="shared" si="34"/>
        <v>8095514.7725209799</v>
      </c>
      <c r="P47" s="49">
        <f t="shared" si="35"/>
        <v>10918625.377479015</v>
      </c>
      <c r="Q47" s="49"/>
      <c r="R47" s="49">
        <f t="shared" si="36"/>
        <v>0</v>
      </c>
      <c r="S47" s="49">
        <f t="shared" si="37"/>
        <v>0</v>
      </c>
      <c r="T47" s="49"/>
      <c r="U47" s="49">
        <f t="shared" si="38"/>
        <v>0</v>
      </c>
      <c r="V47" s="49"/>
      <c r="W47" s="49">
        <f t="shared" si="39"/>
        <v>0</v>
      </c>
      <c r="X47" s="49"/>
      <c r="Y47" s="49">
        <f t="shared" si="40"/>
        <v>0</v>
      </c>
      <c r="Z47" s="49"/>
      <c r="AA47" s="49">
        <f t="shared" si="41"/>
        <v>0</v>
      </c>
      <c r="AB47" s="49">
        <f t="shared" si="30"/>
        <v>19014140.149999995</v>
      </c>
      <c r="AC47" s="29" t="str">
        <f t="shared" si="42"/>
        <v>ok</v>
      </c>
    </row>
    <row r="48" spans="1:29" x14ac:dyDescent="0.2">
      <c r="A48" s="91">
        <v>369</v>
      </c>
      <c r="B48" s="14" t="s">
        <v>39</v>
      </c>
      <c r="C48" s="14" t="s">
        <v>40</v>
      </c>
      <c r="D48" s="14" t="s">
        <v>41</v>
      </c>
      <c r="F48" s="255">
        <v>5316909.2900000019</v>
      </c>
      <c r="G48" s="191"/>
      <c r="H48" s="49">
        <f t="shared" si="31"/>
        <v>0</v>
      </c>
      <c r="I48" s="49">
        <f t="shared" si="32"/>
        <v>0</v>
      </c>
      <c r="J48" s="49"/>
      <c r="K48" s="49">
        <f t="shared" si="33"/>
        <v>0</v>
      </c>
      <c r="L48" s="49"/>
      <c r="M48" s="49">
        <f t="shared" si="29"/>
        <v>0</v>
      </c>
      <c r="N48" s="49"/>
      <c r="O48" s="49">
        <f t="shared" si="34"/>
        <v>0</v>
      </c>
      <c r="P48" s="49">
        <f t="shared" si="35"/>
        <v>0</v>
      </c>
      <c r="Q48" s="49"/>
      <c r="R48" s="49">
        <f t="shared" si="36"/>
        <v>0</v>
      </c>
      <c r="S48" s="49">
        <f t="shared" si="37"/>
        <v>5316909.2900000019</v>
      </c>
      <c r="T48" s="49"/>
      <c r="U48" s="49">
        <f t="shared" si="38"/>
        <v>0</v>
      </c>
      <c r="V48" s="49"/>
      <c r="W48" s="49">
        <f t="shared" si="39"/>
        <v>0</v>
      </c>
      <c r="X48" s="49"/>
      <c r="Y48" s="49">
        <f t="shared" si="40"/>
        <v>0</v>
      </c>
      <c r="Z48" s="49"/>
      <c r="AA48" s="49">
        <f t="shared" si="41"/>
        <v>0</v>
      </c>
      <c r="AB48" s="49">
        <f t="shared" si="30"/>
        <v>5316909.2900000019</v>
      </c>
      <c r="AC48" s="29" t="str">
        <f t="shared" si="42"/>
        <v>ok</v>
      </c>
    </row>
    <row r="49" spans="1:30" x14ac:dyDescent="0.2">
      <c r="A49" s="91">
        <v>370</v>
      </c>
      <c r="B49" s="14" t="s">
        <v>42</v>
      </c>
      <c r="C49" s="14" t="s">
        <v>43</v>
      </c>
      <c r="D49" s="14" t="s">
        <v>44</v>
      </c>
      <c r="F49" s="255">
        <v>5252397.51</v>
      </c>
      <c r="G49" s="191"/>
      <c r="H49" s="49">
        <f t="shared" si="31"/>
        <v>0</v>
      </c>
      <c r="I49" s="49">
        <f t="shared" si="32"/>
        <v>0</v>
      </c>
      <c r="J49" s="49"/>
      <c r="K49" s="49">
        <f t="shared" si="33"/>
        <v>0</v>
      </c>
      <c r="L49" s="49"/>
      <c r="M49" s="49">
        <f t="shared" si="29"/>
        <v>0</v>
      </c>
      <c r="N49" s="49"/>
      <c r="O49" s="49">
        <f t="shared" si="34"/>
        <v>0</v>
      </c>
      <c r="P49" s="49">
        <f t="shared" si="35"/>
        <v>0</v>
      </c>
      <c r="Q49" s="49"/>
      <c r="R49" s="49">
        <f t="shared" si="36"/>
        <v>0</v>
      </c>
      <c r="S49" s="49">
        <f t="shared" si="37"/>
        <v>0</v>
      </c>
      <c r="T49" s="49"/>
      <c r="U49" s="49">
        <f t="shared" si="38"/>
        <v>5252397.51</v>
      </c>
      <c r="V49" s="49"/>
      <c r="W49" s="49">
        <f t="shared" si="39"/>
        <v>0</v>
      </c>
      <c r="X49" s="49"/>
      <c r="Y49" s="49">
        <f t="shared" si="40"/>
        <v>0</v>
      </c>
      <c r="Z49" s="49"/>
      <c r="AA49" s="49">
        <f t="shared" si="41"/>
        <v>0</v>
      </c>
      <c r="AB49" s="49">
        <f t="shared" si="30"/>
        <v>5252397.51</v>
      </c>
      <c r="AC49" s="29" t="str">
        <f t="shared" si="42"/>
        <v>ok</v>
      </c>
    </row>
    <row r="50" spans="1:30" x14ac:dyDescent="0.2">
      <c r="A50" s="91">
        <v>371</v>
      </c>
      <c r="B50" s="14" t="s">
        <v>45</v>
      </c>
      <c r="C50" s="14" t="s">
        <v>46</v>
      </c>
      <c r="D50" s="14" t="s">
        <v>546</v>
      </c>
      <c r="F50" s="255">
        <v>5041976.43</v>
      </c>
      <c r="G50" s="191"/>
      <c r="H50" s="49">
        <f t="shared" si="31"/>
        <v>0</v>
      </c>
      <c r="I50" s="49">
        <f t="shared" si="32"/>
        <v>0</v>
      </c>
      <c r="J50" s="49"/>
      <c r="K50" s="49">
        <f t="shared" si="33"/>
        <v>0</v>
      </c>
      <c r="L50" s="49"/>
      <c r="M50" s="49">
        <f t="shared" si="29"/>
        <v>0</v>
      </c>
      <c r="N50" s="49"/>
      <c r="O50" s="49">
        <f t="shared" si="34"/>
        <v>0</v>
      </c>
      <c r="P50" s="49">
        <f t="shared" si="35"/>
        <v>0</v>
      </c>
      <c r="Q50" s="49"/>
      <c r="R50" s="49">
        <f t="shared" si="36"/>
        <v>0</v>
      </c>
      <c r="S50" s="49">
        <f t="shared" si="37"/>
        <v>0</v>
      </c>
      <c r="T50" s="49"/>
      <c r="U50" s="49">
        <f t="shared" si="38"/>
        <v>0</v>
      </c>
      <c r="V50" s="49"/>
      <c r="W50" s="49">
        <f t="shared" si="39"/>
        <v>5041976.43</v>
      </c>
      <c r="X50" s="49"/>
      <c r="Y50" s="49">
        <f t="shared" si="40"/>
        <v>0</v>
      </c>
      <c r="Z50" s="49"/>
      <c r="AA50" s="49">
        <f t="shared" si="41"/>
        <v>0</v>
      </c>
      <c r="AB50" s="49">
        <f t="shared" si="30"/>
        <v>5041976.43</v>
      </c>
      <c r="AC50" s="29" t="str">
        <f t="shared" si="42"/>
        <v>ok</v>
      </c>
    </row>
    <row r="51" spans="1:30" x14ac:dyDescent="0.2">
      <c r="A51" s="91">
        <v>372</v>
      </c>
      <c r="B51" s="14" t="s">
        <v>574</v>
      </c>
      <c r="C51" s="14" t="s">
        <v>575</v>
      </c>
      <c r="D51" s="14" t="s">
        <v>546</v>
      </c>
      <c r="F51" s="255">
        <v>0</v>
      </c>
      <c r="G51" s="191"/>
      <c r="H51" s="49">
        <f t="shared" si="31"/>
        <v>0</v>
      </c>
      <c r="I51" s="49">
        <f t="shared" si="32"/>
        <v>0</v>
      </c>
      <c r="J51" s="49"/>
      <c r="K51" s="49">
        <f t="shared" si="33"/>
        <v>0</v>
      </c>
      <c r="L51" s="49"/>
      <c r="M51" s="49">
        <f t="shared" si="29"/>
        <v>0</v>
      </c>
      <c r="N51" s="49"/>
      <c r="O51" s="49">
        <f t="shared" si="34"/>
        <v>0</v>
      </c>
      <c r="P51" s="49">
        <f t="shared" si="35"/>
        <v>0</v>
      </c>
      <c r="Q51" s="49"/>
      <c r="R51" s="49">
        <f t="shared" si="36"/>
        <v>0</v>
      </c>
      <c r="S51" s="49">
        <f t="shared" si="37"/>
        <v>0</v>
      </c>
      <c r="T51" s="49"/>
      <c r="U51" s="49">
        <f t="shared" si="38"/>
        <v>0</v>
      </c>
      <c r="V51" s="49"/>
      <c r="W51" s="49">
        <f t="shared" si="39"/>
        <v>0</v>
      </c>
      <c r="X51" s="49"/>
      <c r="Y51" s="49">
        <f t="shared" si="40"/>
        <v>0</v>
      </c>
      <c r="Z51" s="49"/>
      <c r="AA51" s="49">
        <f t="shared" si="41"/>
        <v>0</v>
      </c>
      <c r="AB51" s="49">
        <f t="shared" si="30"/>
        <v>0</v>
      </c>
      <c r="AC51" s="29" t="str">
        <f t="shared" si="42"/>
        <v>ok</v>
      </c>
    </row>
    <row r="52" spans="1:30" x14ac:dyDescent="0.2">
      <c r="A52" s="91">
        <v>373</v>
      </c>
      <c r="B52" s="14" t="s">
        <v>47</v>
      </c>
      <c r="C52" s="14" t="s">
        <v>48</v>
      </c>
      <c r="D52" s="14" t="s">
        <v>49</v>
      </c>
      <c r="F52" s="255">
        <v>121542.14</v>
      </c>
      <c r="G52" s="191"/>
      <c r="H52" s="49">
        <f t="shared" si="31"/>
        <v>0</v>
      </c>
      <c r="I52" s="49">
        <f t="shared" si="32"/>
        <v>0</v>
      </c>
      <c r="J52" s="49"/>
      <c r="K52" s="49">
        <f t="shared" si="33"/>
        <v>0</v>
      </c>
      <c r="L52" s="49"/>
      <c r="M52" s="49">
        <f t="shared" si="29"/>
        <v>0</v>
      </c>
      <c r="N52" s="49"/>
      <c r="O52" s="49">
        <f t="shared" si="34"/>
        <v>0</v>
      </c>
      <c r="P52" s="49">
        <f t="shared" si="35"/>
        <v>0</v>
      </c>
      <c r="Q52" s="49"/>
      <c r="R52" s="49">
        <f t="shared" si="36"/>
        <v>0</v>
      </c>
      <c r="S52" s="49">
        <f t="shared" si="37"/>
        <v>0</v>
      </c>
      <c r="T52" s="49"/>
      <c r="U52" s="49">
        <f t="shared" si="38"/>
        <v>0</v>
      </c>
      <c r="V52" s="49"/>
      <c r="W52" s="49">
        <f t="shared" si="39"/>
        <v>121542.14</v>
      </c>
      <c r="X52" s="49"/>
      <c r="Y52" s="49">
        <f t="shared" si="40"/>
        <v>0</v>
      </c>
      <c r="Z52" s="49"/>
      <c r="AA52" s="49">
        <f t="shared" si="41"/>
        <v>0</v>
      </c>
      <c r="AB52" s="49">
        <f t="shared" si="30"/>
        <v>121542.14</v>
      </c>
      <c r="AC52" s="29" t="str">
        <f t="shared" si="42"/>
        <v>ok</v>
      </c>
    </row>
    <row r="53" spans="1:30" x14ac:dyDescent="0.2">
      <c r="A53" s="91"/>
      <c r="F53" s="255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29"/>
    </row>
    <row r="54" spans="1:30" x14ac:dyDescent="0.2">
      <c r="B54" s="14" t="s">
        <v>50</v>
      </c>
      <c r="C54" s="14" t="s">
        <v>16</v>
      </c>
      <c r="F54" s="254">
        <f>SUM(F40:F53)</f>
        <v>138010078.69999999</v>
      </c>
      <c r="G54" s="65"/>
      <c r="H54" s="65">
        <f>SUM(H40:H53)</f>
        <v>0</v>
      </c>
      <c r="I54" s="65">
        <f>SUM(I40:I53)</f>
        <v>0</v>
      </c>
      <c r="J54" s="65"/>
      <c r="K54" s="65"/>
      <c r="L54" s="65">
        <f>SUM(L40:L53)</f>
        <v>0</v>
      </c>
      <c r="M54" s="65">
        <f>SUM(M40:M53)</f>
        <v>17773236.490000002</v>
      </c>
      <c r="N54" s="65"/>
      <c r="O54" s="65">
        <f>SUM(O40:O53)</f>
        <v>38645014.739457324</v>
      </c>
      <c r="P54" s="65">
        <f>SUM(P40:P53)</f>
        <v>65859002.100542672</v>
      </c>
      <c r="Q54" s="65"/>
      <c r="R54" s="65">
        <f>SUM(R40:R52)</f>
        <v>0</v>
      </c>
      <c r="S54" s="65">
        <f>SUM(S40:S52)</f>
        <v>5316909.2900000019</v>
      </c>
      <c r="T54" s="65"/>
      <c r="U54" s="65">
        <f>SUM(U40:U52)</f>
        <v>5252397.51</v>
      </c>
      <c r="V54" s="65"/>
      <c r="W54" s="65">
        <f>SUM(W40:W52)</f>
        <v>5163518.5699999994</v>
      </c>
      <c r="X54" s="65"/>
      <c r="Y54" s="65">
        <f>SUM(Y40:Y52)</f>
        <v>0</v>
      </c>
      <c r="Z54" s="65"/>
      <c r="AA54" s="65">
        <f>SUM(AA40:AA52)</f>
        <v>0</v>
      </c>
      <c r="AB54" s="49">
        <f>SUM(H54:AA54)</f>
        <v>138010078.70000002</v>
      </c>
      <c r="AC54" s="29" t="str">
        <f>IF(ABS(AB54-F54)&lt;1,"ok","err")</f>
        <v>ok</v>
      </c>
      <c r="AD54" s="35"/>
    </row>
    <row r="55" spans="1:30" x14ac:dyDescent="0.2">
      <c r="Q55" s="14"/>
      <c r="AC55" s="29"/>
      <c r="AD55" s="35"/>
    </row>
    <row r="56" spans="1:30" x14ac:dyDescent="0.2">
      <c r="B56" s="14" t="s">
        <v>752</v>
      </c>
      <c r="C56" s="14" t="s">
        <v>392</v>
      </c>
      <c r="F56" s="256">
        <f t="shared" ref="F56" si="43">F35+F54</f>
        <v>138010078.69999999</v>
      </c>
      <c r="G56" s="90"/>
      <c r="H56" s="90">
        <f t="shared" ref="H56:M56" si="44">H35+H54</f>
        <v>0</v>
      </c>
      <c r="I56" s="90">
        <f t="shared" si="44"/>
        <v>0</v>
      </c>
      <c r="J56" s="90">
        <f t="shared" si="44"/>
        <v>0</v>
      </c>
      <c r="K56" s="90">
        <f t="shared" si="44"/>
        <v>0</v>
      </c>
      <c r="L56" s="90">
        <f t="shared" si="44"/>
        <v>0</v>
      </c>
      <c r="M56" s="90">
        <f t="shared" si="44"/>
        <v>17773236.490000002</v>
      </c>
      <c r="N56" s="90"/>
      <c r="O56" s="90">
        <f t="shared" ref="O56:AA56" si="45">O35+O54</f>
        <v>38645014.739457324</v>
      </c>
      <c r="P56" s="90">
        <f t="shared" si="45"/>
        <v>65859002.100542672</v>
      </c>
      <c r="Q56" s="90">
        <f t="shared" si="45"/>
        <v>0</v>
      </c>
      <c r="R56" s="90">
        <f t="shared" si="45"/>
        <v>0</v>
      </c>
      <c r="S56" s="90">
        <f t="shared" si="45"/>
        <v>5316909.2900000019</v>
      </c>
      <c r="T56" s="90">
        <f t="shared" si="45"/>
        <v>0</v>
      </c>
      <c r="U56" s="90">
        <f t="shared" si="45"/>
        <v>5252397.51</v>
      </c>
      <c r="V56" s="90">
        <f t="shared" si="45"/>
        <v>0</v>
      </c>
      <c r="W56" s="90">
        <f t="shared" si="45"/>
        <v>5163518.5699999994</v>
      </c>
      <c r="X56" s="90">
        <f t="shared" si="45"/>
        <v>0</v>
      </c>
      <c r="Y56" s="90">
        <f t="shared" si="45"/>
        <v>0</v>
      </c>
      <c r="Z56" s="90">
        <f t="shared" si="45"/>
        <v>0</v>
      </c>
      <c r="AA56" s="90">
        <f t="shared" si="45"/>
        <v>0</v>
      </c>
      <c r="AB56" s="49">
        <f>SUM(H56:AA56)</f>
        <v>138010078.70000002</v>
      </c>
      <c r="AC56" s="29" t="str">
        <f>IF(ABS(AB56-F56)&lt;1,"ok","err")</f>
        <v>ok</v>
      </c>
      <c r="AD56" s="35"/>
    </row>
    <row r="57" spans="1:30" x14ac:dyDescent="0.2">
      <c r="Q57" s="14"/>
      <c r="AC57" s="29"/>
    </row>
    <row r="58" spans="1:30" x14ac:dyDescent="0.2">
      <c r="B58" s="14" t="s">
        <v>785</v>
      </c>
      <c r="C58" s="14" t="s">
        <v>786</v>
      </c>
      <c r="F58" s="256">
        <f>F56+F24</f>
        <v>138010078.69999999</v>
      </c>
      <c r="G58" s="90"/>
      <c r="H58" s="90">
        <f t="shared" ref="H58:Y58" si="46">H56+H24</f>
        <v>0</v>
      </c>
      <c r="I58" s="90">
        <f t="shared" si="46"/>
        <v>0</v>
      </c>
      <c r="J58" s="90">
        <f t="shared" si="46"/>
        <v>0</v>
      </c>
      <c r="K58" s="90">
        <f t="shared" si="46"/>
        <v>0</v>
      </c>
      <c r="L58" s="90">
        <f t="shared" si="46"/>
        <v>0</v>
      </c>
      <c r="M58" s="90">
        <f t="shared" si="46"/>
        <v>17773236.490000002</v>
      </c>
      <c r="N58" s="90"/>
      <c r="O58" s="90">
        <f t="shared" si="46"/>
        <v>38645014.739457324</v>
      </c>
      <c r="P58" s="90">
        <f t="shared" si="46"/>
        <v>65859002.100542672</v>
      </c>
      <c r="Q58" s="90">
        <f t="shared" si="46"/>
        <v>0</v>
      </c>
      <c r="R58" s="90">
        <f t="shared" si="46"/>
        <v>0</v>
      </c>
      <c r="S58" s="90">
        <f t="shared" si="46"/>
        <v>5316909.2900000019</v>
      </c>
      <c r="T58" s="90">
        <f t="shared" si="46"/>
        <v>0</v>
      </c>
      <c r="U58" s="90">
        <f t="shared" si="46"/>
        <v>5252397.51</v>
      </c>
      <c r="V58" s="90">
        <f t="shared" si="46"/>
        <v>0</v>
      </c>
      <c r="W58" s="90">
        <f t="shared" si="46"/>
        <v>5163518.5699999994</v>
      </c>
      <c r="X58" s="90">
        <f t="shared" si="46"/>
        <v>0</v>
      </c>
      <c r="Y58" s="90">
        <f t="shared" si="46"/>
        <v>0</v>
      </c>
      <c r="AA58" s="90">
        <f>AA56+AA24</f>
        <v>0</v>
      </c>
      <c r="AB58" s="49">
        <f>SUM(H58:AA58)</f>
        <v>138010078.70000002</v>
      </c>
      <c r="AC58" s="29" t="str">
        <f>IF(ABS(AB58-F58)&lt;1,"ok","err")</f>
        <v>ok</v>
      </c>
    </row>
    <row r="59" spans="1:30" x14ac:dyDescent="0.2">
      <c r="Q59" s="14"/>
      <c r="AC59" s="29"/>
    </row>
    <row r="60" spans="1:30" x14ac:dyDescent="0.2">
      <c r="A60" s="27" t="s">
        <v>366</v>
      </c>
      <c r="Q60" s="14"/>
      <c r="AC60" s="29"/>
    </row>
    <row r="61" spans="1:30" x14ac:dyDescent="0.2">
      <c r="Q61" s="14"/>
      <c r="AC61" s="29"/>
    </row>
    <row r="62" spans="1:30" x14ac:dyDescent="0.2">
      <c r="A62" s="27" t="s">
        <v>51</v>
      </c>
      <c r="Q62" s="14"/>
      <c r="AC62" s="29"/>
    </row>
    <row r="63" spans="1:30" x14ac:dyDescent="0.2">
      <c r="A63" s="91">
        <v>389</v>
      </c>
      <c r="B63" s="14" t="s">
        <v>17</v>
      </c>
      <c r="C63" s="14" t="s">
        <v>52</v>
      </c>
      <c r="D63" s="14" t="s">
        <v>392</v>
      </c>
      <c r="F63" s="254">
        <v>423112.53</v>
      </c>
      <c r="G63" s="190"/>
      <c r="H63" s="49">
        <f t="shared" ref="H63:H73" si="47">IF(VLOOKUP($D63,$C$5:$AA$496,6,)=0,0,((VLOOKUP($D63,$C$5:$AA$496,6,)/VLOOKUP($D63,$C$5:$AA$496,4,))*$F63))</f>
        <v>0</v>
      </c>
      <c r="I63" s="49">
        <f t="shared" ref="I63:I73" si="48">IF(VLOOKUP($D63,$C$5:$AA$496,7,)=0,0,((VLOOKUP($D63,$C$5:$AA$496,7,)/VLOOKUP($D63,$C$5:$AA$496,4,))*$F63))</f>
        <v>0</v>
      </c>
      <c r="J63" s="49"/>
      <c r="K63" s="49">
        <f t="shared" ref="K63:K73" si="49">IF(VLOOKUP($D63,$C$5:$AA$496,9,)=0,0,((VLOOKUP($D63,$C$5:$AA$496,9,)/VLOOKUP($D63,$C$5:$AA$496,4,))*$F63))</f>
        <v>0</v>
      </c>
      <c r="L63" s="49"/>
      <c r="M63" s="49">
        <f t="shared" ref="M63:M73" si="50">IF(VLOOKUP($D63,$C$5:$AA$496,11,)=0,0,((VLOOKUP($D63,$C$5:$AA$496,11,)/VLOOKUP($D63,$C$5:$AA$496,4,))*$F63))</f>
        <v>54489.346926024344</v>
      </c>
      <c r="N63" s="49"/>
      <c r="O63" s="49">
        <f t="shared" ref="O63:O73" si="51">IF(VLOOKUP($D63,$C$5:$AA$496,13,)=0,0,((VLOOKUP($D63,$C$5:$AA$496,13,)/VLOOKUP($D63,$C$5:$AA$496,4,))*$F63))</f>
        <v>118478.23080981318</v>
      </c>
      <c r="P63" s="49">
        <f t="shared" ref="P63:P73" si="52">IF(VLOOKUP($D63,$C$5:$AA$496,14,)=0,0,((VLOOKUP($D63,$C$5:$AA$496,14,)/VLOOKUP($D63,$C$5:$AA$496,4,))*$F63))</f>
        <v>201911.11594544674</v>
      </c>
      <c r="Q63" s="49"/>
      <c r="R63" s="49">
        <f t="shared" ref="R63:R73" si="53">IF(VLOOKUP($D63,$C$5:$AA$496,16,)=0,0,((VLOOKUP($D63,$C$5:$AA$496,16,)/VLOOKUP($D63,$C$5:$AA$496,4,))*$F63))</f>
        <v>0</v>
      </c>
      <c r="S63" s="49">
        <f t="shared" ref="S63:S73" si="54">IF(VLOOKUP($D63,$C$5:$AA$496,17,)=0,0,((VLOOKUP($D63,$C$5:$AA$496,17,)/VLOOKUP($D63,$C$5:$AA$496,4,))*$F63))</f>
        <v>16300.627915462559</v>
      </c>
      <c r="T63" s="49"/>
      <c r="U63" s="49">
        <f t="shared" ref="U63:U73" si="55">IF(VLOOKUP($D63,$C$5:$AA$496,19,)=0,0,((VLOOKUP($D63,$C$5:$AA$496,19,)/VLOOKUP($D63,$C$5:$AA$496,4,))*$F63))</f>
        <v>16102.847125046967</v>
      </c>
      <c r="V63" s="49"/>
      <c r="W63" s="49">
        <f t="shared" ref="W63:W73" si="56">IF(VLOOKUP($D63,$C$5:$AA$496,21,)=0,0,((VLOOKUP($D63,$C$5:$AA$496,21,)/VLOOKUP($D63,$C$5:$AA$496,4,))*$F63))</f>
        <v>15830.361278206286</v>
      </c>
      <c r="X63" s="49"/>
      <c r="Y63" s="49">
        <f t="shared" ref="Y63:Y73" si="57">IF(VLOOKUP($D63,$C$5:$AA$496,23,)=0,0,((VLOOKUP($D63,$C$5:$AA$496,23,)/VLOOKUP($D63,$C$5:$AA$496,4,))*$F63))</f>
        <v>0</v>
      </c>
      <c r="Z63" s="49"/>
      <c r="AA63" s="49">
        <f t="shared" ref="AA63:AA73" si="58">IF(VLOOKUP($D63,$C$5:$AA$496,25,)=0,0,((VLOOKUP($D63,$C$5:$AA$496,25,)/VLOOKUP($D63,$C$5:$AA$496,4,))*$F63))</f>
        <v>0</v>
      </c>
      <c r="AB63" s="49">
        <f>SUM(H63:AA63)</f>
        <v>423112.53</v>
      </c>
      <c r="AC63" s="29" t="str">
        <f>IF(ABS(AB63-F63)&lt;1,"ok","err")</f>
        <v>ok</v>
      </c>
    </row>
    <row r="64" spans="1:30" x14ac:dyDescent="0.2">
      <c r="A64" s="91">
        <v>390</v>
      </c>
      <c r="B64" s="14" t="s">
        <v>53</v>
      </c>
      <c r="C64" s="14" t="s">
        <v>54</v>
      </c>
      <c r="D64" s="14" t="s">
        <v>392</v>
      </c>
      <c r="F64" s="255">
        <v>3532806.43</v>
      </c>
      <c r="G64" s="191"/>
      <c r="H64" s="49">
        <f t="shared" si="47"/>
        <v>0</v>
      </c>
      <c r="I64" s="49">
        <f t="shared" si="48"/>
        <v>0</v>
      </c>
      <c r="J64" s="49"/>
      <c r="K64" s="49">
        <f t="shared" si="49"/>
        <v>0</v>
      </c>
      <c r="L64" s="49"/>
      <c r="M64" s="49">
        <f t="shared" si="50"/>
        <v>454962.45451950934</v>
      </c>
      <c r="N64" s="49"/>
      <c r="O64" s="49">
        <f t="shared" si="51"/>
        <v>989241.92961133074</v>
      </c>
      <c r="P64" s="49">
        <f t="shared" si="52"/>
        <v>1685870.3964653322</v>
      </c>
      <c r="Q64" s="49"/>
      <c r="R64" s="49">
        <f t="shared" si="53"/>
        <v>0</v>
      </c>
      <c r="S64" s="49">
        <f t="shared" si="54"/>
        <v>136103.18539321827</v>
      </c>
      <c r="T64" s="49"/>
      <c r="U64" s="49">
        <f t="shared" si="55"/>
        <v>134451.8014266156</v>
      </c>
      <c r="V64" s="49"/>
      <c r="W64" s="49">
        <f t="shared" si="56"/>
        <v>132176.66258399436</v>
      </c>
      <c r="X64" s="49"/>
      <c r="Y64" s="49">
        <f t="shared" si="57"/>
        <v>0</v>
      </c>
      <c r="Z64" s="49"/>
      <c r="AA64" s="49">
        <f t="shared" si="58"/>
        <v>0</v>
      </c>
      <c r="AB64" s="49">
        <f t="shared" ref="AB64:AB73" si="59">SUM(H64:AA64)</f>
        <v>3532806.4300000006</v>
      </c>
      <c r="AC64" s="29" t="str">
        <f t="shared" ref="AC64:AC73" si="60">IF(ABS(AB64-F64)&lt;1,"ok","err")</f>
        <v>ok</v>
      </c>
    </row>
    <row r="65" spans="1:29" x14ac:dyDescent="0.2">
      <c r="A65" s="91">
        <v>391</v>
      </c>
      <c r="B65" s="14" t="s">
        <v>55</v>
      </c>
      <c r="C65" s="14" t="s">
        <v>56</v>
      </c>
      <c r="D65" s="14" t="s">
        <v>392</v>
      </c>
      <c r="F65" s="255">
        <v>1722179.41</v>
      </c>
      <c r="G65" s="191"/>
      <c r="H65" s="49">
        <f t="shared" si="47"/>
        <v>0</v>
      </c>
      <c r="I65" s="49">
        <f t="shared" si="48"/>
        <v>0</v>
      </c>
      <c r="J65" s="49"/>
      <c r="K65" s="49">
        <f t="shared" si="49"/>
        <v>0</v>
      </c>
      <c r="L65" s="49"/>
      <c r="M65" s="49">
        <f t="shared" si="50"/>
        <v>221785.98998319879</v>
      </c>
      <c r="N65" s="49"/>
      <c r="O65" s="49">
        <f t="shared" si="51"/>
        <v>482237.59677806718</v>
      </c>
      <c r="P65" s="49">
        <f t="shared" si="52"/>
        <v>821831.40861219831</v>
      </c>
      <c r="Q65" s="49"/>
      <c r="R65" s="49">
        <f t="shared" si="53"/>
        <v>0</v>
      </c>
      <c r="S65" s="49">
        <f t="shared" si="54"/>
        <v>66347.847855228581</v>
      </c>
      <c r="T65" s="49"/>
      <c r="U65" s="49">
        <f t="shared" si="55"/>
        <v>65542.827959109549</v>
      </c>
      <c r="V65" s="49"/>
      <c r="W65" s="49">
        <f t="shared" si="56"/>
        <v>64433.738812197662</v>
      </c>
      <c r="X65" s="49"/>
      <c r="Y65" s="49">
        <f t="shared" si="57"/>
        <v>0</v>
      </c>
      <c r="Z65" s="49"/>
      <c r="AA65" s="49">
        <f t="shared" si="58"/>
        <v>0</v>
      </c>
      <c r="AB65" s="49">
        <f t="shared" si="59"/>
        <v>1722179.41</v>
      </c>
      <c r="AC65" s="29" t="str">
        <f t="shared" si="60"/>
        <v>ok</v>
      </c>
    </row>
    <row r="66" spans="1:29" x14ac:dyDescent="0.2">
      <c r="A66" s="91">
        <v>392</v>
      </c>
      <c r="B66" s="14" t="s">
        <v>57</v>
      </c>
      <c r="C66" s="14" t="s">
        <v>58</v>
      </c>
      <c r="D66" s="14" t="s">
        <v>392</v>
      </c>
      <c r="F66" s="255">
        <v>5277377.79</v>
      </c>
      <c r="G66" s="191"/>
      <c r="H66" s="49">
        <f t="shared" si="47"/>
        <v>0</v>
      </c>
      <c r="I66" s="49">
        <f t="shared" si="48"/>
        <v>0</v>
      </c>
      <c r="J66" s="49"/>
      <c r="K66" s="49">
        <f t="shared" si="49"/>
        <v>0</v>
      </c>
      <c r="L66" s="49"/>
      <c r="M66" s="49">
        <f t="shared" si="50"/>
        <v>679632.12826385838</v>
      </c>
      <c r="N66" s="49"/>
      <c r="O66" s="49">
        <f t="shared" si="51"/>
        <v>1477749.6281525902</v>
      </c>
      <c r="P66" s="49">
        <f t="shared" si="52"/>
        <v>2518387.3397571454</v>
      </c>
      <c r="Q66" s="49"/>
      <c r="R66" s="49">
        <f t="shared" si="53"/>
        <v>0</v>
      </c>
      <c r="S66" s="49">
        <f t="shared" si="54"/>
        <v>203313.69464316289</v>
      </c>
      <c r="T66" s="49"/>
      <c r="U66" s="49">
        <f t="shared" si="55"/>
        <v>200846.82383073887</v>
      </c>
      <c r="V66" s="49"/>
      <c r="W66" s="49">
        <f t="shared" si="56"/>
        <v>197448.17535250462</v>
      </c>
      <c r="X66" s="49"/>
      <c r="Y66" s="49">
        <f t="shared" si="57"/>
        <v>0</v>
      </c>
      <c r="Z66" s="49"/>
      <c r="AA66" s="49">
        <f t="shared" si="58"/>
        <v>0</v>
      </c>
      <c r="AB66" s="49">
        <f t="shared" si="59"/>
        <v>5277377.79</v>
      </c>
      <c r="AC66" s="29" t="str">
        <f t="shared" si="60"/>
        <v>ok</v>
      </c>
    </row>
    <row r="67" spans="1:29" x14ac:dyDescent="0.2">
      <c r="A67" s="91">
        <v>393</v>
      </c>
      <c r="B67" s="14" t="s">
        <v>59</v>
      </c>
      <c r="C67" s="14" t="s">
        <v>60</v>
      </c>
      <c r="D67" s="14" t="s">
        <v>392</v>
      </c>
      <c r="F67" s="255">
        <v>48468.22</v>
      </c>
      <c r="G67" s="191"/>
      <c r="H67" s="49">
        <f t="shared" si="47"/>
        <v>0</v>
      </c>
      <c r="I67" s="49">
        <f t="shared" si="48"/>
        <v>0</v>
      </c>
      <c r="J67" s="49"/>
      <c r="K67" s="49">
        <f t="shared" si="49"/>
        <v>0</v>
      </c>
      <c r="L67" s="49"/>
      <c r="M67" s="49">
        <f t="shared" si="50"/>
        <v>6241.8422221314777</v>
      </c>
      <c r="N67" s="49"/>
      <c r="O67" s="49">
        <f t="shared" si="51"/>
        <v>13571.871662842987</v>
      </c>
      <c r="P67" s="49">
        <f t="shared" si="52"/>
        <v>23129.242681821357</v>
      </c>
      <c r="Q67" s="49"/>
      <c r="R67" s="49">
        <f t="shared" si="53"/>
        <v>0</v>
      </c>
      <c r="S67" s="49">
        <f t="shared" si="54"/>
        <v>1867.2631130654077</v>
      </c>
      <c r="T67" s="49"/>
      <c r="U67" s="49">
        <f t="shared" si="55"/>
        <v>1844.6070058079911</v>
      </c>
      <c r="V67" s="49"/>
      <c r="W67" s="49">
        <f t="shared" si="56"/>
        <v>1813.3933143307845</v>
      </c>
      <c r="X67" s="49"/>
      <c r="Y67" s="49">
        <f t="shared" si="57"/>
        <v>0</v>
      </c>
      <c r="Z67" s="49"/>
      <c r="AA67" s="49">
        <f t="shared" si="58"/>
        <v>0</v>
      </c>
      <c r="AB67" s="49">
        <f t="shared" si="59"/>
        <v>48468.220000000008</v>
      </c>
      <c r="AC67" s="29" t="str">
        <f t="shared" si="60"/>
        <v>ok</v>
      </c>
    </row>
    <row r="68" spans="1:29" x14ac:dyDescent="0.2">
      <c r="A68" s="91">
        <v>394</v>
      </c>
      <c r="B68" s="14" t="s">
        <v>61</v>
      </c>
      <c r="C68" s="14" t="s">
        <v>62</v>
      </c>
      <c r="D68" s="14" t="s">
        <v>392</v>
      </c>
      <c r="F68" s="255">
        <v>330226.73</v>
      </c>
      <c r="G68" s="191"/>
      <c r="H68" s="49">
        <f t="shared" si="47"/>
        <v>0</v>
      </c>
      <c r="I68" s="49">
        <f t="shared" si="48"/>
        <v>0</v>
      </c>
      <c r="J68" s="49"/>
      <c r="K68" s="49">
        <f t="shared" si="49"/>
        <v>0</v>
      </c>
      <c r="L68" s="49"/>
      <c r="M68" s="49">
        <f t="shared" si="50"/>
        <v>42527.31266364664</v>
      </c>
      <c r="N68" s="49"/>
      <c r="O68" s="49">
        <f t="shared" si="51"/>
        <v>92468.731040675761</v>
      </c>
      <c r="P68" s="49">
        <f t="shared" si="52"/>
        <v>157585.61338118662</v>
      </c>
      <c r="Q68" s="49"/>
      <c r="R68" s="49">
        <f t="shared" si="53"/>
        <v>0</v>
      </c>
      <c r="S68" s="49">
        <f t="shared" si="54"/>
        <v>12722.154679441701</v>
      </c>
      <c r="T68" s="49"/>
      <c r="U68" s="49">
        <f t="shared" si="55"/>
        <v>12567.792662141583</v>
      </c>
      <c r="V68" s="49"/>
      <c r="W68" s="49">
        <f t="shared" si="56"/>
        <v>12355.125572907713</v>
      </c>
      <c r="X68" s="49"/>
      <c r="Y68" s="49">
        <f t="shared" si="57"/>
        <v>0</v>
      </c>
      <c r="Z68" s="49"/>
      <c r="AA68" s="49">
        <f t="shared" si="58"/>
        <v>0</v>
      </c>
      <c r="AB68" s="49">
        <f t="shared" si="59"/>
        <v>330226.7300000001</v>
      </c>
      <c r="AC68" s="29" t="str">
        <f t="shared" si="60"/>
        <v>ok</v>
      </c>
    </row>
    <row r="69" spans="1:29" x14ac:dyDescent="0.2">
      <c r="A69" s="91">
        <v>395</v>
      </c>
      <c r="B69" s="14" t="s">
        <v>63</v>
      </c>
      <c r="C69" s="14" t="s">
        <v>64</v>
      </c>
      <c r="D69" s="14" t="s">
        <v>392</v>
      </c>
      <c r="F69" s="255">
        <v>25462.190000000002</v>
      </c>
      <c r="G69" s="191"/>
      <c r="H69" s="49">
        <f t="shared" si="47"/>
        <v>0</v>
      </c>
      <c r="I69" s="49">
        <f t="shared" si="48"/>
        <v>0</v>
      </c>
      <c r="J69" s="49"/>
      <c r="K69" s="49">
        <f t="shared" si="49"/>
        <v>0</v>
      </c>
      <c r="L69" s="49"/>
      <c r="M69" s="49">
        <f t="shared" si="50"/>
        <v>3279.0759101517219</v>
      </c>
      <c r="N69" s="49"/>
      <c r="O69" s="49">
        <f t="shared" si="51"/>
        <v>7129.8177431505446</v>
      </c>
      <c r="P69" s="49">
        <f t="shared" si="52"/>
        <v>12150.666389659968</v>
      </c>
      <c r="Q69" s="49"/>
      <c r="R69" s="49">
        <f t="shared" si="53"/>
        <v>0</v>
      </c>
      <c r="S69" s="49">
        <f t="shared" si="54"/>
        <v>980.94397039674436</v>
      </c>
      <c r="T69" s="49"/>
      <c r="U69" s="49">
        <f t="shared" si="55"/>
        <v>969.04185994893521</v>
      </c>
      <c r="V69" s="49"/>
      <c r="W69" s="49">
        <f t="shared" si="56"/>
        <v>952.6441266920915</v>
      </c>
      <c r="X69" s="49"/>
      <c r="Y69" s="49">
        <f t="shared" si="57"/>
        <v>0</v>
      </c>
      <c r="Z69" s="49"/>
      <c r="AA69" s="49">
        <f t="shared" si="58"/>
        <v>0</v>
      </c>
      <c r="AB69" s="49">
        <f t="shared" si="59"/>
        <v>25462.190000000006</v>
      </c>
      <c r="AC69" s="29" t="str">
        <f t="shared" si="60"/>
        <v>ok</v>
      </c>
    </row>
    <row r="70" spans="1:29" x14ac:dyDescent="0.2">
      <c r="A70" s="91">
        <v>396</v>
      </c>
      <c r="B70" s="14" t="s">
        <v>65</v>
      </c>
      <c r="C70" s="14" t="s">
        <v>66</v>
      </c>
      <c r="D70" s="14" t="s">
        <v>392</v>
      </c>
      <c r="F70" s="255">
        <v>0</v>
      </c>
      <c r="G70" s="191"/>
      <c r="H70" s="49">
        <f t="shared" si="47"/>
        <v>0</v>
      </c>
      <c r="I70" s="49">
        <f t="shared" si="48"/>
        <v>0</v>
      </c>
      <c r="J70" s="49"/>
      <c r="K70" s="49">
        <f t="shared" si="49"/>
        <v>0</v>
      </c>
      <c r="L70" s="49"/>
      <c r="M70" s="49">
        <f t="shared" si="50"/>
        <v>0</v>
      </c>
      <c r="N70" s="49"/>
      <c r="O70" s="49">
        <f t="shared" si="51"/>
        <v>0</v>
      </c>
      <c r="P70" s="49">
        <f t="shared" si="52"/>
        <v>0</v>
      </c>
      <c r="Q70" s="49"/>
      <c r="R70" s="49">
        <f t="shared" si="53"/>
        <v>0</v>
      </c>
      <c r="S70" s="49">
        <f t="shared" si="54"/>
        <v>0</v>
      </c>
      <c r="T70" s="49"/>
      <c r="U70" s="49">
        <f t="shared" si="55"/>
        <v>0</v>
      </c>
      <c r="V70" s="49"/>
      <c r="W70" s="49">
        <f t="shared" si="56"/>
        <v>0</v>
      </c>
      <c r="X70" s="49"/>
      <c r="Y70" s="49">
        <f t="shared" si="57"/>
        <v>0</v>
      </c>
      <c r="Z70" s="49"/>
      <c r="AA70" s="49">
        <f t="shared" si="58"/>
        <v>0</v>
      </c>
      <c r="AB70" s="49">
        <f t="shared" si="59"/>
        <v>0</v>
      </c>
      <c r="AC70" s="29" t="str">
        <f t="shared" si="60"/>
        <v>ok</v>
      </c>
    </row>
    <row r="71" spans="1:29" x14ac:dyDescent="0.2">
      <c r="A71" s="91">
        <v>397</v>
      </c>
      <c r="B71" s="14" t="s">
        <v>67</v>
      </c>
      <c r="C71" s="14" t="s">
        <v>68</v>
      </c>
      <c r="D71" s="14" t="s">
        <v>392</v>
      </c>
      <c r="F71" s="255">
        <v>469107.69999999995</v>
      </c>
      <c r="G71" s="191"/>
      <c r="H71" s="49">
        <f t="shared" si="47"/>
        <v>0</v>
      </c>
      <c r="I71" s="49">
        <f t="shared" si="48"/>
        <v>0</v>
      </c>
      <c r="J71" s="49"/>
      <c r="K71" s="49">
        <f t="shared" si="49"/>
        <v>0</v>
      </c>
      <c r="L71" s="49"/>
      <c r="M71" s="49">
        <f t="shared" si="50"/>
        <v>60412.704419245973</v>
      </c>
      <c r="N71" s="49"/>
      <c r="O71" s="49">
        <f t="shared" si="51"/>
        <v>131357.6091808498</v>
      </c>
      <c r="P71" s="49">
        <f t="shared" si="52"/>
        <v>223860.20854925245</v>
      </c>
      <c r="Q71" s="49"/>
      <c r="R71" s="49">
        <f t="shared" si="53"/>
        <v>0</v>
      </c>
      <c r="S71" s="49">
        <f t="shared" si="54"/>
        <v>18072.615504859747</v>
      </c>
      <c r="T71" s="49"/>
      <c r="U71" s="49">
        <f t="shared" si="55"/>
        <v>17853.334615929227</v>
      </c>
      <c r="V71" s="49"/>
      <c r="W71" s="49">
        <f t="shared" si="56"/>
        <v>17551.227729862811</v>
      </c>
      <c r="X71" s="49"/>
      <c r="Y71" s="49">
        <f t="shared" si="57"/>
        <v>0</v>
      </c>
      <c r="Z71" s="49"/>
      <c r="AA71" s="49">
        <f t="shared" si="58"/>
        <v>0</v>
      </c>
      <c r="AB71" s="49">
        <f t="shared" si="59"/>
        <v>469107.7</v>
      </c>
      <c r="AC71" s="29" t="str">
        <f t="shared" si="60"/>
        <v>ok</v>
      </c>
    </row>
    <row r="72" spans="1:29" x14ac:dyDescent="0.2">
      <c r="A72" s="91">
        <v>398</v>
      </c>
      <c r="B72" s="14" t="s">
        <v>362</v>
      </c>
      <c r="C72" s="14" t="s">
        <v>363</v>
      </c>
      <c r="D72" s="14" t="s">
        <v>392</v>
      </c>
      <c r="F72" s="255">
        <v>102130.18</v>
      </c>
      <c r="G72" s="191"/>
      <c r="H72" s="49">
        <f t="shared" si="47"/>
        <v>0</v>
      </c>
      <c r="I72" s="49">
        <f t="shared" si="48"/>
        <v>0</v>
      </c>
      <c r="J72" s="49"/>
      <c r="K72" s="49">
        <f t="shared" si="49"/>
        <v>0</v>
      </c>
      <c r="L72" s="49"/>
      <c r="M72" s="49">
        <f t="shared" si="50"/>
        <v>13152.545516998307</v>
      </c>
      <c r="N72" s="49"/>
      <c r="O72" s="49">
        <f t="shared" si="51"/>
        <v>28598.07304380176</v>
      </c>
      <c r="P72" s="49">
        <f t="shared" si="52"/>
        <v>48736.960390913839</v>
      </c>
      <c r="Q72" s="49"/>
      <c r="R72" s="49">
        <f t="shared" si="53"/>
        <v>0</v>
      </c>
      <c r="S72" s="49">
        <f t="shared" si="54"/>
        <v>3934.6177318814352</v>
      </c>
      <c r="T72" s="49"/>
      <c r="U72" s="49">
        <f t="shared" si="55"/>
        <v>3886.8777424141254</v>
      </c>
      <c r="V72" s="49"/>
      <c r="W72" s="49">
        <f t="shared" si="56"/>
        <v>3821.1055739905364</v>
      </c>
      <c r="X72" s="49"/>
      <c r="Y72" s="49">
        <f t="shared" si="57"/>
        <v>0</v>
      </c>
      <c r="Z72" s="49"/>
      <c r="AA72" s="49">
        <f t="shared" si="58"/>
        <v>0</v>
      </c>
      <c r="AB72" s="49">
        <f t="shared" si="59"/>
        <v>102130.18000000001</v>
      </c>
      <c r="AC72" s="29" t="str">
        <f t="shared" si="60"/>
        <v>ok</v>
      </c>
    </row>
    <row r="73" spans="1:29" x14ac:dyDescent="0.2">
      <c r="A73" s="91">
        <v>399</v>
      </c>
      <c r="B73" s="14" t="s">
        <v>583</v>
      </c>
      <c r="C73" s="14" t="s">
        <v>584</v>
      </c>
      <c r="D73" s="14" t="s">
        <v>392</v>
      </c>
      <c r="F73" s="255">
        <v>0</v>
      </c>
      <c r="G73" s="191"/>
      <c r="H73" s="49">
        <f t="shared" si="47"/>
        <v>0</v>
      </c>
      <c r="I73" s="49">
        <f t="shared" si="48"/>
        <v>0</v>
      </c>
      <c r="J73" s="49"/>
      <c r="K73" s="49">
        <f t="shared" si="49"/>
        <v>0</v>
      </c>
      <c r="L73" s="49"/>
      <c r="M73" s="49">
        <f t="shared" si="50"/>
        <v>0</v>
      </c>
      <c r="N73" s="49"/>
      <c r="O73" s="49">
        <f t="shared" si="51"/>
        <v>0</v>
      </c>
      <c r="P73" s="49">
        <f t="shared" si="52"/>
        <v>0</v>
      </c>
      <c r="Q73" s="49"/>
      <c r="R73" s="49">
        <f t="shared" si="53"/>
        <v>0</v>
      </c>
      <c r="S73" s="49">
        <f t="shared" si="54"/>
        <v>0</v>
      </c>
      <c r="T73" s="49"/>
      <c r="U73" s="49">
        <f t="shared" si="55"/>
        <v>0</v>
      </c>
      <c r="V73" s="49"/>
      <c r="W73" s="49">
        <f t="shared" si="56"/>
        <v>0</v>
      </c>
      <c r="X73" s="49"/>
      <c r="Y73" s="49">
        <f t="shared" si="57"/>
        <v>0</v>
      </c>
      <c r="Z73" s="49"/>
      <c r="AA73" s="49">
        <f t="shared" si="58"/>
        <v>0</v>
      </c>
      <c r="AB73" s="49">
        <f t="shared" si="59"/>
        <v>0</v>
      </c>
      <c r="AC73" s="29" t="str">
        <f t="shared" si="60"/>
        <v>ok</v>
      </c>
    </row>
    <row r="74" spans="1:29" x14ac:dyDescent="0.2">
      <c r="Q74" s="14"/>
      <c r="AB74" s="49"/>
      <c r="AC74" s="29"/>
    </row>
    <row r="75" spans="1:29" x14ac:dyDescent="0.2">
      <c r="B75" s="14" t="s">
        <v>69</v>
      </c>
      <c r="C75" s="14" t="s">
        <v>70</v>
      </c>
      <c r="F75" s="254">
        <f>SUM(F63:F74)</f>
        <v>11930871.18</v>
      </c>
      <c r="G75" s="65"/>
      <c r="H75" s="65">
        <f t="shared" ref="H75:W75" si="61">SUM(H63:H74)</f>
        <v>0</v>
      </c>
      <c r="I75" s="65">
        <f t="shared" si="61"/>
        <v>0</v>
      </c>
      <c r="J75" s="65"/>
      <c r="K75" s="65">
        <f>SUM(K63:K74)</f>
        <v>0</v>
      </c>
      <c r="L75" s="65"/>
      <c r="M75" s="65">
        <f t="shared" si="61"/>
        <v>1536483.400424765</v>
      </c>
      <c r="N75" s="65"/>
      <c r="O75" s="65">
        <f t="shared" si="61"/>
        <v>3340833.4880231223</v>
      </c>
      <c r="P75" s="65">
        <f t="shared" si="61"/>
        <v>5693462.9521729574</v>
      </c>
      <c r="Q75" s="65"/>
      <c r="R75" s="65">
        <f t="shared" si="61"/>
        <v>0</v>
      </c>
      <c r="S75" s="65">
        <f t="shared" si="61"/>
        <v>459642.95080671739</v>
      </c>
      <c r="T75" s="65"/>
      <c r="U75" s="65">
        <f t="shared" si="61"/>
        <v>454065.95422775287</v>
      </c>
      <c r="V75" s="65"/>
      <c r="W75" s="65">
        <f t="shared" si="61"/>
        <v>446382.43434468692</v>
      </c>
      <c r="X75" s="65"/>
      <c r="Y75" s="65">
        <f>SUM(Y63:Y74)</f>
        <v>0</v>
      </c>
      <c r="Z75" s="65"/>
      <c r="AA75" s="65">
        <f>SUM(AA63:AA74)</f>
        <v>0</v>
      </c>
      <c r="AB75" s="49">
        <f>SUM(H75:AA75)</f>
        <v>11930871.180000003</v>
      </c>
      <c r="AC75" s="29" t="str">
        <f>IF(ABS(AB75-F75)&lt;1,"ok","err")</f>
        <v>ok</v>
      </c>
    </row>
    <row r="76" spans="1:29" x14ac:dyDescent="0.2">
      <c r="Q76" s="14"/>
      <c r="AB76" s="49"/>
      <c r="AC76" s="29"/>
    </row>
    <row r="77" spans="1:29" hidden="1" x14ac:dyDescent="0.2">
      <c r="A77" s="89">
        <v>106</v>
      </c>
      <c r="B77" s="14" t="s">
        <v>364</v>
      </c>
      <c r="C77" s="14" t="s">
        <v>365</v>
      </c>
      <c r="D77" s="14" t="s">
        <v>392</v>
      </c>
      <c r="F77" s="254">
        <v>0</v>
      </c>
      <c r="G77" s="65"/>
      <c r="H77" s="49">
        <f>IF(VLOOKUP($D77,$C$5:$AA$496,6,)=0,0,((VLOOKUP($D77,$C$5:$AA$496,6,)/VLOOKUP($D77,$C$5:$AA$496,4,))*$F77))</f>
        <v>0</v>
      </c>
      <c r="I77" s="49">
        <f>IF(VLOOKUP($D77,$C$5:$AA$496,7,)=0,0,((VLOOKUP($D77,$C$5:$AA$496,7,)/VLOOKUP($D77,$C$5:$AA$496,4,))*$F77))</f>
        <v>0</v>
      </c>
      <c r="J77" s="49"/>
      <c r="K77" s="49">
        <f>IF(VLOOKUP($D77,$C$5:$AA$496,9,)=0,0,((VLOOKUP($D77,$C$5:$AA$496,9,)/VLOOKUP($D77,$C$5:$AA$496,4,))*$F77))</f>
        <v>0</v>
      </c>
      <c r="L77" s="49"/>
      <c r="M77" s="49">
        <f>IF(VLOOKUP($D77,$C$5:$AA$496,11,)=0,0,((VLOOKUP($D77,$C$5:$AA$496,11,)/VLOOKUP($D77,$C$5:$AA$496,4,))*$F77))</f>
        <v>0</v>
      </c>
      <c r="N77" s="49"/>
      <c r="O77" s="49">
        <f>IF(VLOOKUP($D77,$C$5:$AA$496,13,)=0,0,((VLOOKUP($D77,$C$5:$AA$496,13,)/VLOOKUP($D77,$C$5:$AA$496,4,))*$F77))</f>
        <v>0</v>
      </c>
      <c r="P77" s="49">
        <f>IF(VLOOKUP($D77,$C$5:$AA$496,14,)=0,0,((VLOOKUP($D77,$C$5:$AA$496,14,)/VLOOKUP($D77,$C$5:$AA$496,4,))*$F77))</f>
        <v>0</v>
      </c>
      <c r="Q77" s="49"/>
      <c r="R77" s="49">
        <f>IF(VLOOKUP($D77,$C$5:$AA$496,16,)=0,0,((VLOOKUP($D77,$C$5:$AA$496,16,)/VLOOKUP($D77,$C$5:$AA$496,4,))*$F77))</f>
        <v>0</v>
      </c>
      <c r="S77" s="49">
        <f>IF(VLOOKUP($D77,$C$5:$AA$496,17,)=0,0,((VLOOKUP($D77,$C$5:$AA$496,17,)/VLOOKUP($D77,$C$5:$AA$496,4,))*$F77))</f>
        <v>0</v>
      </c>
      <c r="T77" s="49"/>
      <c r="U77" s="49">
        <f>IF(VLOOKUP($D77,$C$5:$AA$496,19,)=0,0,((VLOOKUP($D77,$C$5:$AA$496,19,)/VLOOKUP($D77,$C$5:$AA$496,4,))*$F77))</f>
        <v>0</v>
      </c>
      <c r="V77" s="49"/>
      <c r="W77" s="49">
        <f>IF(VLOOKUP($D77,$C$5:$AA$496,21,)=0,0,((VLOOKUP($D77,$C$5:$AA$496,21,)/VLOOKUP($D77,$C$5:$AA$496,4,))*$F77))</f>
        <v>0</v>
      </c>
      <c r="X77" s="49"/>
      <c r="Y77" s="49">
        <f>IF(VLOOKUP($D77,$C$5:$AA$496,23,)=0,0,((VLOOKUP($D77,$C$5:$AA$496,23,)/VLOOKUP($D77,$C$5:$AA$496,4,))*$F77))</f>
        <v>0</v>
      </c>
      <c r="Z77" s="49"/>
      <c r="AA77" s="49">
        <f>IF(VLOOKUP($D77,$C$5:$AA$496,25,)=0,0,((VLOOKUP($D77,$C$5:$AA$496,25,)/VLOOKUP($D77,$C$5:$AA$496,4,))*$F77))</f>
        <v>0</v>
      </c>
      <c r="AB77" s="49">
        <f>SUM(H77:AA77)</f>
        <v>0</v>
      </c>
      <c r="AC77" s="29" t="str">
        <f>IF(ABS(AB77-F77)&lt;1,"ok","err")</f>
        <v>ok</v>
      </c>
    </row>
    <row r="78" spans="1:29" hidden="1" x14ac:dyDescent="0.2">
      <c r="A78" s="89">
        <v>102</v>
      </c>
      <c r="B78" s="14" t="s">
        <v>706</v>
      </c>
      <c r="C78" s="14" t="s">
        <v>707</v>
      </c>
      <c r="D78" s="14" t="s">
        <v>16</v>
      </c>
      <c r="F78" s="254">
        <v>0</v>
      </c>
      <c r="G78" s="65"/>
      <c r="H78" s="49">
        <f>IF(VLOOKUP($D78,$C$5:$AA$496,6,)=0,0,((VLOOKUP($D78,$C$5:$AA$496,6,)/VLOOKUP($D78,$C$5:$AA$496,4,))*$F78))</f>
        <v>0</v>
      </c>
      <c r="I78" s="49">
        <f>IF(VLOOKUP($D78,$C$5:$AA$496,7,)=0,0,((VLOOKUP($D78,$C$5:$AA$496,7,)/VLOOKUP($D78,$C$5:$AA$496,4,))*$F78))</f>
        <v>0</v>
      </c>
      <c r="J78" s="49"/>
      <c r="K78" s="49">
        <f>IF(VLOOKUP($D78,$C$5:$AA$496,9,)=0,0,((VLOOKUP($D78,$C$5:$AA$496,9,)/VLOOKUP($D78,$C$5:$AA$496,4,))*$F78))</f>
        <v>0</v>
      </c>
      <c r="L78" s="49"/>
      <c r="M78" s="49">
        <f>IF(VLOOKUP($D78,$C$5:$AA$496,11,)=0,0,((VLOOKUP($D78,$C$5:$AA$496,11,)/VLOOKUP($D78,$C$5:$AA$496,4,))*$F78))</f>
        <v>0</v>
      </c>
      <c r="N78" s="49"/>
      <c r="O78" s="49">
        <f>IF(VLOOKUP($D78,$C$5:$AA$496,13,)=0,0,((VLOOKUP($D78,$C$5:$AA$496,13,)/VLOOKUP($D78,$C$5:$AA$496,4,))*$F78))</f>
        <v>0</v>
      </c>
      <c r="P78" s="49">
        <f>IF(VLOOKUP($D78,$C$5:$AA$496,14,)=0,0,((VLOOKUP($D78,$C$5:$AA$496,14,)/VLOOKUP($D78,$C$5:$AA$496,4,))*$F78))</f>
        <v>0</v>
      </c>
      <c r="Q78" s="49"/>
      <c r="R78" s="49">
        <f>IF(VLOOKUP($D78,$C$5:$AA$496,16,)=0,0,((VLOOKUP($D78,$C$5:$AA$496,16,)/VLOOKUP($D78,$C$5:$AA$496,4,))*$F78))</f>
        <v>0</v>
      </c>
      <c r="S78" s="49">
        <f>IF(VLOOKUP($D78,$C$5:$AA$496,17,)=0,0,((VLOOKUP($D78,$C$5:$AA$496,17,)/VLOOKUP($D78,$C$5:$AA$496,4,))*$F78))</f>
        <v>0</v>
      </c>
      <c r="T78" s="49"/>
      <c r="U78" s="49">
        <f>IF(VLOOKUP($D78,$C$5:$AA$496,19,)=0,0,((VLOOKUP($D78,$C$5:$AA$496,19,)/VLOOKUP($D78,$C$5:$AA$496,4,))*$F78))</f>
        <v>0</v>
      </c>
      <c r="V78" s="49"/>
      <c r="W78" s="49">
        <f>IF(VLOOKUP($D78,$C$5:$AA$496,21,)=0,0,((VLOOKUP($D78,$C$5:$AA$496,21,)/VLOOKUP($D78,$C$5:$AA$496,4,))*$F78))</f>
        <v>0</v>
      </c>
      <c r="X78" s="49"/>
      <c r="Y78" s="49">
        <f>IF(VLOOKUP($D78,$C$5:$AA$496,23,)=0,0,((VLOOKUP($D78,$C$5:$AA$496,23,)/VLOOKUP($D78,$C$5:$AA$496,4,))*$F78))</f>
        <v>0</v>
      </c>
      <c r="Z78" s="49"/>
      <c r="AA78" s="49">
        <f>IF(VLOOKUP($D78,$C$5:$AA$496,25,)=0,0,((VLOOKUP($D78,$C$5:$AA$496,25,)/VLOOKUP($D78,$C$5:$AA$496,4,))*$F78))</f>
        <v>0</v>
      </c>
      <c r="AB78" s="49">
        <f>SUM(H78:AA78)</f>
        <v>0</v>
      </c>
      <c r="AC78" s="29" t="str">
        <f>IF(ABS(AB78-F78)&lt;1,"ok","err")</f>
        <v>ok</v>
      </c>
    </row>
    <row r="79" spans="1:29" hidden="1" x14ac:dyDescent="0.2">
      <c r="Q79" s="14"/>
      <c r="AB79" s="49"/>
      <c r="AC79" s="29"/>
    </row>
    <row r="80" spans="1:29" hidden="1" x14ac:dyDescent="0.2">
      <c r="A80" s="89">
        <v>114</v>
      </c>
      <c r="B80" s="14" t="s">
        <v>831</v>
      </c>
      <c r="D80" s="14" t="s">
        <v>783</v>
      </c>
      <c r="F80" s="254">
        <v>0</v>
      </c>
      <c r="G80" s="65"/>
      <c r="H80" s="49">
        <f>IF(VLOOKUP($D80,$C$5:$AA$496,6,)=0,0,((VLOOKUP($D80,$C$5:$AA$496,6,)/VLOOKUP($D80,$C$5:$AA$496,4,))*$F80))</f>
        <v>0</v>
      </c>
      <c r="I80" s="49">
        <f>IF(VLOOKUP($D80,$C$5:$AA$496,7,)=0,0,((VLOOKUP($D80,$C$5:$AA$496,7,)/VLOOKUP($D80,$C$5:$AA$496,4,))*$F80))</f>
        <v>0</v>
      </c>
      <c r="J80" s="49"/>
      <c r="K80" s="49">
        <f>IF(VLOOKUP($D80,$C$5:$AA$496,9,)=0,0,((VLOOKUP($D80,$C$5:$AA$496,9,)/VLOOKUP($D80,$C$5:$AA$496,4,))*$F80))</f>
        <v>0</v>
      </c>
      <c r="L80" s="49"/>
      <c r="M80" s="49">
        <f>IF(VLOOKUP($D80,$C$5:$AA$496,11,)=0,0,((VLOOKUP($D80,$C$5:$AA$496,11,)/VLOOKUP($D80,$C$5:$AA$496,4,))*$F80))</f>
        <v>0</v>
      </c>
      <c r="N80" s="49"/>
      <c r="O80" s="49">
        <f>IF(VLOOKUP($D80,$C$5:$AA$496,13,)=0,0,((VLOOKUP($D80,$C$5:$AA$496,13,)/VLOOKUP($D80,$C$5:$AA$496,4,))*$F80))</f>
        <v>0</v>
      </c>
      <c r="P80" s="49">
        <f>IF(VLOOKUP($D80,$C$5:$AA$496,14,)=0,0,((VLOOKUP($D80,$C$5:$AA$496,14,)/VLOOKUP($D80,$C$5:$AA$496,4,))*$F80))</f>
        <v>0</v>
      </c>
      <c r="Q80" s="49"/>
      <c r="R80" s="49">
        <f>IF(VLOOKUP($D80,$C$5:$AA$496,16,)=0,0,((VLOOKUP($D80,$C$5:$AA$496,16,)/VLOOKUP($D80,$C$5:$AA$496,4,))*$F80))</f>
        <v>0</v>
      </c>
      <c r="S80" s="49">
        <f>IF(VLOOKUP($D80,$C$5:$AA$496,17,)=0,0,((VLOOKUP($D80,$C$5:$AA$496,17,)/VLOOKUP($D80,$C$5:$AA$496,4,))*$F80))</f>
        <v>0</v>
      </c>
      <c r="T80" s="49"/>
      <c r="U80" s="49">
        <f>IF(VLOOKUP($D80,$C$5:$AA$496,19,)=0,0,((VLOOKUP($D80,$C$5:$AA$496,19,)/VLOOKUP($D80,$C$5:$AA$496,4,))*$F80))</f>
        <v>0</v>
      </c>
      <c r="V80" s="49"/>
      <c r="W80" s="49">
        <f>IF(VLOOKUP($D80,$C$5:$AA$496,21,)=0,0,((VLOOKUP($D80,$C$5:$AA$496,21,)/VLOOKUP($D80,$C$5:$AA$496,4,))*$F80))</f>
        <v>0</v>
      </c>
      <c r="X80" s="49"/>
      <c r="Y80" s="49">
        <f>IF(VLOOKUP($D80,$C$5:$AA$496,23,)=0,0,((VLOOKUP($D80,$C$5:$AA$496,23,)/VLOOKUP($D80,$C$5:$AA$496,4,))*$F80))</f>
        <v>0</v>
      </c>
      <c r="Z80" s="49"/>
      <c r="AA80" s="49">
        <f>IF(VLOOKUP($D80,$C$5:$AA$496,25,)=0,0,((VLOOKUP($D80,$C$5:$AA$496,25,)/VLOOKUP($D80,$C$5:$AA$496,4,))*$F80))</f>
        <v>0</v>
      </c>
      <c r="AB80" s="49">
        <f>SUM(H80:AA80)</f>
        <v>0</v>
      </c>
      <c r="AC80" s="29" t="str">
        <f>IF(ABS(AB80-F80)&lt;1,"ok","err")</f>
        <v>ok</v>
      </c>
    </row>
    <row r="81" spans="1:29" hidden="1" x14ac:dyDescent="0.2">
      <c r="Q81" s="14"/>
      <c r="AB81" s="49"/>
      <c r="AC81" s="29"/>
    </row>
    <row r="82" spans="1:29" x14ac:dyDescent="0.2">
      <c r="B82" s="14" t="s">
        <v>71</v>
      </c>
      <c r="C82" s="14" t="s">
        <v>72</v>
      </c>
      <c r="F82" s="256">
        <f>F12+F24+F35+F54+F75+F77+F78+F80</f>
        <v>149940949.88</v>
      </c>
      <c r="G82" s="90"/>
      <c r="H82" s="90">
        <f>H12+H24+H35+H54+H75+H77+H78+H80</f>
        <v>0</v>
      </c>
      <c r="I82" s="90">
        <f>I12+I24+I35+I54+I75+I77+I78+I80</f>
        <v>0</v>
      </c>
      <c r="J82" s="90"/>
      <c r="K82" s="90">
        <f>K12+K24+K35+K54+K75+K77+K78+K80</f>
        <v>0</v>
      </c>
      <c r="L82" s="90"/>
      <c r="M82" s="90">
        <f>M12+M24+M35+M54+M75+M77+M78+M80</f>
        <v>19309719.890424766</v>
      </c>
      <c r="N82" s="90"/>
      <c r="O82" s="90">
        <f>O12+O24+O35+O54+O75+O77+O78+O80</f>
        <v>41985848.227480449</v>
      </c>
      <c r="P82" s="90">
        <f>P12+P24+P35+P54+P75+P77+P78+P80</f>
        <v>71552465.052715629</v>
      </c>
      <c r="Q82" s="90"/>
      <c r="R82" s="90">
        <f>R12+R24+R35+R54+R75+R77+R78+R80</f>
        <v>0</v>
      </c>
      <c r="S82" s="90">
        <f>S12+S24+S35+S54+S75+S77+S78+S80</f>
        <v>5776552.2408067193</v>
      </c>
      <c r="T82" s="90"/>
      <c r="U82" s="90">
        <f>U12+U24+U35+U54+U75+U77+U78+U80</f>
        <v>5706463.4642277528</v>
      </c>
      <c r="V82" s="90"/>
      <c r="W82" s="90">
        <f>W12+W24+W35+W54+W75+W77+W78+W80</f>
        <v>5609901.0043446859</v>
      </c>
      <c r="X82" s="90"/>
      <c r="Y82" s="90">
        <f>Y12+Y24+Y35+Y54+Y75+Y77+Y78+Y80</f>
        <v>0</v>
      </c>
      <c r="Z82" s="90"/>
      <c r="AA82" s="90">
        <f>AA12+AA24+AA35+AA54+AA75+AA77+AA78+AA80</f>
        <v>0</v>
      </c>
      <c r="AB82" s="49">
        <f>SUM(H82:AA82)</f>
        <v>149940949.88</v>
      </c>
      <c r="AC82" s="29" t="str">
        <f>IF(ABS(AB82-F82)&lt;1,"ok","err")</f>
        <v>ok</v>
      </c>
    </row>
    <row r="83" spans="1:29" x14ac:dyDescent="0.2">
      <c r="D83" s="90"/>
      <c r="G83" s="49"/>
      <c r="AC83" s="29"/>
    </row>
    <row r="84" spans="1:29" x14ac:dyDescent="0.2">
      <c r="A84" s="27" t="s">
        <v>73</v>
      </c>
      <c r="G84" s="49"/>
      <c r="AC84" s="29"/>
    </row>
    <row r="85" spans="1:29" x14ac:dyDescent="0.2">
      <c r="B85" s="14" t="s">
        <v>788</v>
      </c>
      <c r="C85" s="14" t="s">
        <v>553</v>
      </c>
      <c r="D85" s="14" t="s">
        <v>783</v>
      </c>
      <c r="F85" s="254">
        <v>0</v>
      </c>
      <c r="G85" s="65"/>
      <c r="H85" s="49">
        <f>IF(VLOOKUP($D85,$C$5:$AA$496,6,)=0,0,((VLOOKUP($D85,$C$5:$AA$496,6,)/VLOOKUP($D85,$C$5:$AA$496,4,))*$F85))</f>
        <v>0</v>
      </c>
      <c r="I85" s="49">
        <f>IF(VLOOKUP($D85,$C$5:$AA$496,7,)=0,0,((VLOOKUP($D85,$C$5:$AA$496,7,)/VLOOKUP($D85,$C$5:$AA$496,4,))*$F85))</f>
        <v>0</v>
      </c>
      <c r="J85" s="49"/>
      <c r="K85" s="49">
        <f>IF(VLOOKUP($D85,$C$5:$AA$496,9,)=0,0,((VLOOKUP($D85,$C$5:$AA$496,9,)/VLOOKUP($D85,$C$5:$AA$496,4,))*$F85))</f>
        <v>0</v>
      </c>
      <c r="L85" s="49"/>
      <c r="M85" s="49">
        <f>IF(VLOOKUP($D85,$C$5:$AA$496,11,)=0,0,((VLOOKUP($D85,$C$5:$AA$496,11,)/VLOOKUP($D85,$C$5:$AA$496,4,))*$F85))</f>
        <v>0</v>
      </c>
      <c r="N85" s="49"/>
      <c r="O85" s="49">
        <f>IF(VLOOKUP($D85,$C$5:$AA$496,13,)=0,0,((VLOOKUP($D85,$C$5:$AA$496,13,)/VLOOKUP($D85,$C$5:$AA$496,4,))*$F85))</f>
        <v>0</v>
      </c>
      <c r="P85" s="49">
        <f>IF(VLOOKUP($D85,$C$5:$AA$496,14,)=0,0,((VLOOKUP($D85,$C$5:$AA$496,14,)/VLOOKUP($D85,$C$5:$AA$496,4,))*$F85))</f>
        <v>0</v>
      </c>
      <c r="Q85" s="49"/>
      <c r="R85" s="49">
        <f>IF(VLOOKUP($D85,$C$5:$AA$496,16,)=0,0,((VLOOKUP($D85,$C$5:$AA$496,16,)/VLOOKUP($D85,$C$5:$AA$496,4,))*$F85))</f>
        <v>0</v>
      </c>
      <c r="S85" s="49">
        <f>IF(VLOOKUP($D85,$C$5:$AA$496,17,)=0,0,((VLOOKUP($D85,$C$5:$AA$496,17,)/VLOOKUP($D85,$C$5:$AA$496,4,))*$F85))</f>
        <v>0</v>
      </c>
      <c r="T85" s="49"/>
      <c r="U85" s="49">
        <f>IF(VLOOKUP($D85,$C$5:$AA$496,19,)=0,0,((VLOOKUP($D85,$C$5:$AA$496,19,)/VLOOKUP($D85,$C$5:$AA$496,4,))*$F85))</f>
        <v>0</v>
      </c>
      <c r="V85" s="49"/>
      <c r="W85" s="49">
        <f>IF(VLOOKUP($D85,$C$5:$AA$496,21,)=0,0,((VLOOKUP($D85,$C$5:$AA$496,21,)/VLOOKUP($D85,$C$5:$AA$496,4,))*$F85))</f>
        <v>0</v>
      </c>
      <c r="X85" s="49"/>
      <c r="Y85" s="49">
        <f>IF(VLOOKUP($D85,$C$5:$AA$496,23,)=0,0,((VLOOKUP($D85,$C$5:$AA$496,23,)/VLOOKUP($D85,$C$5:$AA$496,4,))*$F85))</f>
        <v>0</v>
      </c>
      <c r="Z85" s="49"/>
      <c r="AA85" s="49">
        <f>IF(VLOOKUP($D85,$C$5:$AA$496,25,)=0,0,((VLOOKUP($D85,$C$5:$AA$496,25,)/VLOOKUP($D85,$C$5:$AA$496,4,))*$F85))</f>
        <v>0</v>
      </c>
      <c r="AB85" s="49">
        <f>SUM(H85:AA85)</f>
        <v>0</v>
      </c>
      <c r="AC85" s="29" t="str">
        <f>IF(ABS(AB85-F85)&lt;1,"ok","err")</f>
        <v>ok</v>
      </c>
    </row>
    <row r="86" spans="1:29" x14ac:dyDescent="0.2">
      <c r="B86" s="14" t="s">
        <v>425</v>
      </c>
      <c r="C86" s="14" t="s">
        <v>554</v>
      </c>
      <c r="D86" s="14" t="s">
        <v>390</v>
      </c>
      <c r="F86" s="255">
        <v>0</v>
      </c>
      <c r="G86" s="49"/>
      <c r="H86" s="49">
        <f>IF(VLOOKUP($D86,$C$5:$AA$496,6,)=0,0,((VLOOKUP($D86,$C$5:$AA$496,6,)/VLOOKUP($D86,$C$5:$AA$496,4,))*$F86))</f>
        <v>0</v>
      </c>
      <c r="I86" s="49">
        <f>IF(VLOOKUP($D86,$C$5:$AA$496,7,)=0,0,((VLOOKUP($D86,$C$5:$AA$496,7,)/VLOOKUP($D86,$C$5:$AA$496,4,))*$F86))</f>
        <v>0</v>
      </c>
      <c r="J86" s="49"/>
      <c r="K86" s="49">
        <f>IF(VLOOKUP($D86,$C$5:$AA$496,9,)=0,0,((VLOOKUP($D86,$C$5:$AA$496,9,)/VLOOKUP($D86,$C$5:$AA$496,4,))*$F86))</f>
        <v>0</v>
      </c>
      <c r="L86" s="49"/>
      <c r="M86" s="49">
        <f>IF(VLOOKUP($D86,$C$5:$AA$496,11,)=0,0,((VLOOKUP($D86,$C$5:$AA$496,11,)/VLOOKUP($D86,$C$5:$AA$496,4,))*$F86))</f>
        <v>0</v>
      </c>
      <c r="N86" s="49"/>
      <c r="O86" s="49">
        <f>IF(VLOOKUP($D86,$C$5:$AA$496,13,)=0,0,((VLOOKUP($D86,$C$5:$AA$496,13,)/VLOOKUP($D86,$C$5:$AA$496,4,))*$F86))</f>
        <v>0</v>
      </c>
      <c r="P86" s="49">
        <f>IF(VLOOKUP($D86,$C$5:$AA$496,14,)=0,0,((VLOOKUP($D86,$C$5:$AA$496,14,)/VLOOKUP($D86,$C$5:$AA$496,4,))*$F86))</f>
        <v>0</v>
      </c>
      <c r="Q86" s="49"/>
      <c r="R86" s="49">
        <f>IF(VLOOKUP($D86,$C$5:$AA$496,16,)=0,0,((VLOOKUP($D86,$C$5:$AA$496,16,)/VLOOKUP($D86,$C$5:$AA$496,4,))*$F86))</f>
        <v>0</v>
      </c>
      <c r="S86" s="49">
        <f>IF(VLOOKUP($D86,$C$5:$AA$496,17,)=0,0,((VLOOKUP($D86,$C$5:$AA$496,17,)/VLOOKUP($D86,$C$5:$AA$496,4,))*$F86))</f>
        <v>0</v>
      </c>
      <c r="T86" s="49"/>
      <c r="U86" s="49">
        <f>IF(VLOOKUP($D86,$C$5:$AA$496,19,)=0,0,((VLOOKUP($D86,$C$5:$AA$496,19,)/VLOOKUP($D86,$C$5:$AA$496,4,))*$F86))</f>
        <v>0</v>
      </c>
      <c r="V86" s="49"/>
      <c r="W86" s="49">
        <f>IF(VLOOKUP($D86,$C$5:$AA$496,21,)=0,0,((VLOOKUP($D86,$C$5:$AA$496,21,)/VLOOKUP($D86,$C$5:$AA$496,4,))*$F86))</f>
        <v>0</v>
      </c>
      <c r="X86" s="49"/>
      <c r="Y86" s="49">
        <f>IF(VLOOKUP($D86,$C$5:$AA$496,23,)=0,0,((VLOOKUP($D86,$C$5:$AA$496,23,)/VLOOKUP($D86,$C$5:$AA$496,4,))*$F86))</f>
        <v>0</v>
      </c>
      <c r="Z86" s="49"/>
      <c r="AA86" s="49">
        <f>IF(VLOOKUP($D86,$C$5:$AA$496,25,)=0,0,((VLOOKUP($D86,$C$5:$AA$496,25,)/VLOOKUP($D86,$C$5:$AA$496,4,))*$F86))</f>
        <v>0</v>
      </c>
      <c r="AB86" s="49">
        <f>SUM(H86:AA86)</f>
        <v>0</v>
      </c>
      <c r="AC86" s="29" t="str">
        <f>IF(ABS(AB86-F86)&lt;1,"ok","err")</f>
        <v>ok</v>
      </c>
    </row>
    <row r="87" spans="1:29" x14ac:dyDescent="0.2">
      <c r="B87" s="14" t="s">
        <v>840</v>
      </c>
      <c r="C87" s="14" t="s">
        <v>555</v>
      </c>
      <c r="D87" s="14" t="s">
        <v>16</v>
      </c>
      <c r="F87" s="255">
        <v>1052826.2200000002</v>
      </c>
      <c r="G87" s="191"/>
      <c r="H87" s="49">
        <f>IF(VLOOKUP($D87,$C$5:$AA$496,6,)=0,0,((VLOOKUP($D87,$C$5:$AA$496,6,)/VLOOKUP($D87,$C$5:$AA$496,4,))*$F87))</f>
        <v>0</v>
      </c>
      <c r="I87" s="49">
        <f>IF(VLOOKUP($D87,$C$5:$AA$496,7,)=0,0,((VLOOKUP($D87,$C$5:$AA$496,7,)/VLOOKUP($D87,$C$5:$AA$496,4,))*$F87))</f>
        <v>0</v>
      </c>
      <c r="J87" s="49"/>
      <c r="K87" s="49">
        <f>IF(VLOOKUP($D87,$C$5:$AA$496,9,)=0,0,((VLOOKUP($D87,$C$5:$AA$496,9,)/VLOOKUP($D87,$C$5:$AA$496,4,))*$F87))</f>
        <v>0</v>
      </c>
      <c r="L87" s="49"/>
      <c r="M87" s="49">
        <f>IF(VLOOKUP($D87,$C$5:$AA$496,11,)=0,0,((VLOOKUP($D87,$C$5:$AA$496,11,)/VLOOKUP($D87,$C$5:$AA$496,4,))*$F87))</f>
        <v>135585.23817386082</v>
      </c>
      <c r="N87" s="49"/>
      <c r="O87" s="49">
        <f>IF(VLOOKUP($D87,$C$5:$AA$496,13,)=0,0,((VLOOKUP($D87,$C$5:$AA$496,13,)/VLOOKUP($D87,$C$5:$AA$496,4,))*$F87))</f>
        <v>294808.06889784889</v>
      </c>
      <c r="P87" s="49">
        <f>IF(VLOOKUP($D87,$C$5:$AA$496,14,)=0,0,((VLOOKUP($D87,$C$5:$AA$496,14,)/VLOOKUP($D87,$C$5:$AA$496,4,))*$F87))</f>
        <v>502413.19248292281</v>
      </c>
      <c r="Q87" s="49"/>
      <c r="R87" s="49">
        <f>IF(VLOOKUP($D87,$C$5:$AA$496,16,)=0,0,((VLOOKUP($D87,$C$5:$AA$496,16,)/VLOOKUP($D87,$C$5:$AA$496,4,))*$F87))</f>
        <v>0</v>
      </c>
      <c r="S87" s="49">
        <f>IF(VLOOKUP($D87,$C$5:$AA$496,17,)=0,0,((VLOOKUP($D87,$C$5:$AA$496,17,)/VLOOKUP($D87,$C$5:$AA$496,4,))*$F87))</f>
        <v>40560.671819061768</v>
      </c>
      <c r="T87" s="49"/>
      <c r="U87" s="49">
        <f>IF(VLOOKUP($D87,$C$5:$AA$496,19,)=0,0,((VLOOKUP($D87,$C$5:$AA$496,19,)/VLOOKUP($D87,$C$5:$AA$496,4,))*$F87))</f>
        <v>40068.536069827729</v>
      </c>
      <c r="V87" s="49"/>
      <c r="W87" s="49">
        <f>IF(VLOOKUP($D87,$C$5:$AA$496,21,)=0,0,((VLOOKUP($D87,$C$5:$AA$496,21,)/VLOOKUP($D87,$C$5:$AA$496,4,))*$F87))</f>
        <v>39390.512556478287</v>
      </c>
      <c r="X87" s="49"/>
      <c r="Y87" s="49">
        <f>IF(VLOOKUP($D87,$C$5:$AA$496,23,)=0,0,((VLOOKUP($D87,$C$5:$AA$496,23,)/VLOOKUP($D87,$C$5:$AA$496,4,))*$F87))</f>
        <v>0</v>
      </c>
      <c r="Z87" s="49"/>
      <c r="AA87" s="49">
        <f>IF(VLOOKUP($D87,$C$5:$AA$496,25,)=0,0,((VLOOKUP($D87,$C$5:$AA$496,25,)/VLOOKUP($D87,$C$5:$AA$496,4,))*$F87))</f>
        <v>0</v>
      </c>
      <c r="AB87" s="49">
        <f>SUM(H87:AA87)</f>
        <v>1052826.2200000002</v>
      </c>
      <c r="AC87" s="29" t="str">
        <f>IF(ABS(AB87-F87)&lt;1,"ok","err")</f>
        <v>ok</v>
      </c>
    </row>
    <row r="88" spans="1:29" x14ac:dyDescent="0.2">
      <c r="B88" s="14" t="s">
        <v>449</v>
      </c>
      <c r="C88" s="14" t="s">
        <v>556</v>
      </c>
      <c r="D88" s="14" t="s">
        <v>70</v>
      </c>
      <c r="F88" s="255">
        <v>0</v>
      </c>
      <c r="G88" s="49"/>
      <c r="H88" s="49">
        <f>IF(VLOOKUP($D88,$C$5:$AA$496,6,)=0,0,((VLOOKUP($D88,$C$5:$AA$496,6,)/VLOOKUP($D88,$C$5:$AA$496,4,))*$F88))</f>
        <v>0</v>
      </c>
      <c r="I88" s="49">
        <f>IF(VLOOKUP($D88,$C$5:$AA$496,7,)=0,0,((VLOOKUP($D88,$C$5:$AA$496,7,)/VLOOKUP($D88,$C$5:$AA$496,4,))*$F88))</f>
        <v>0</v>
      </c>
      <c r="J88" s="49"/>
      <c r="K88" s="49">
        <f>IF(VLOOKUP($D88,$C$5:$AA$496,9,)=0,0,((VLOOKUP($D88,$C$5:$AA$496,9,)/VLOOKUP($D88,$C$5:$AA$496,4,))*$F88))</f>
        <v>0</v>
      </c>
      <c r="L88" s="49"/>
      <c r="M88" s="49">
        <f>IF(VLOOKUP($D88,$C$5:$AA$496,11,)=0,0,((VLOOKUP($D88,$C$5:$AA$496,11,)/VLOOKUP($D88,$C$5:$AA$496,4,))*$F88))</f>
        <v>0</v>
      </c>
      <c r="N88" s="49"/>
      <c r="O88" s="49">
        <f>IF(VLOOKUP($D88,$C$5:$AA$496,13,)=0,0,((VLOOKUP($D88,$C$5:$AA$496,13,)/VLOOKUP($D88,$C$5:$AA$496,4,))*$F88))</f>
        <v>0</v>
      </c>
      <c r="P88" s="49">
        <f>IF(VLOOKUP($D88,$C$5:$AA$496,14,)=0,0,((VLOOKUP($D88,$C$5:$AA$496,14,)/VLOOKUP($D88,$C$5:$AA$496,4,))*$F88))</f>
        <v>0</v>
      </c>
      <c r="Q88" s="49"/>
      <c r="R88" s="49">
        <f>IF(VLOOKUP($D88,$C$5:$AA$496,16,)=0,0,((VLOOKUP($D88,$C$5:$AA$496,16,)/VLOOKUP($D88,$C$5:$AA$496,4,))*$F88))</f>
        <v>0</v>
      </c>
      <c r="S88" s="49">
        <f>IF(VLOOKUP($D88,$C$5:$AA$496,17,)=0,0,((VLOOKUP($D88,$C$5:$AA$496,17,)/VLOOKUP($D88,$C$5:$AA$496,4,))*$F88))</f>
        <v>0</v>
      </c>
      <c r="T88" s="49"/>
      <c r="U88" s="49">
        <f>IF(VLOOKUP($D88,$C$5:$AA$496,19,)=0,0,((VLOOKUP($D88,$C$5:$AA$496,19,)/VLOOKUP($D88,$C$5:$AA$496,4,))*$F88))</f>
        <v>0</v>
      </c>
      <c r="V88" s="49"/>
      <c r="W88" s="49">
        <f>IF(VLOOKUP($D88,$C$5:$AA$496,21,)=0,0,((VLOOKUP($D88,$C$5:$AA$496,21,)/VLOOKUP($D88,$C$5:$AA$496,4,))*$F88))</f>
        <v>0</v>
      </c>
      <c r="X88" s="49"/>
      <c r="Y88" s="49">
        <f>IF(VLOOKUP($D88,$C$5:$AA$496,23,)=0,0,((VLOOKUP($D88,$C$5:$AA$496,23,)/VLOOKUP($D88,$C$5:$AA$496,4,))*$F88))</f>
        <v>0</v>
      </c>
      <c r="Z88" s="49"/>
      <c r="AA88" s="49">
        <f>IF(VLOOKUP($D88,$C$5:$AA$496,25,)=0,0,((VLOOKUP($D88,$C$5:$AA$496,25,)/VLOOKUP($D88,$C$5:$AA$496,4,))*$F88))</f>
        <v>0</v>
      </c>
      <c r="AB88" s="49">
        <f>SUM(H88:AA88)</f>
        <v>0</v>
      </c>
      <c r="AC88" s="29" t="str">
        <f>IF(ABS(AB88-F88)&lt;1,"ok","err")</f>
        <v>ok</v>
      </c>
    </row>
    <row r="89" spans="1:29" x14ac:dyDescent="0.2">
      <c r="B89" s="14" t="s">
        <v>934</v>
      </c>
      <c r="C89" s="14" t="s">
        <v>557</v>
      </c>
      <c r="D89" s="14" t="s">
        <v>16</v>
      </c>
      <c r="F89" s="255">
        <v>0</v>
      </c>
      <c r="G89" s="49"/>
      <c r="H89" s="49">
        <f>IF(VLOOKUP($D89,$C$5:$AA$496,6,)=0,0,((VLOOKUP($D89,$C$5:$AA$496,6,)/VLOOKUP($D89,$C$5:$AA$496,4,))*$F89))</f>
        <v>0</v>
      </c>
      <c r="I89" s="49">
        <f>IF(VLOOKUP($D89,$C$5:$AA$496,7,)=0,0,((VLOOKUP($D89,$C$5:$AA$496,7,)/VLOOKUP($D89,$C$5:$AA$496,4,))*$F89))</f>
        <v>0</v>
      </c>
      <c r="J89" s="49"/>
      <c r="K89" s="49">
        <f>IF(VLOOKUP($D89,$C$5:$AA$496,9,)=0,0,((VLOOKUP($D89,$C$5:$AA$496,9,)/VLOOKUP($D89,$C$5:$AA$496,4,))*$F89))</f>
        <v>0</v>
      </c>
      <c r="L89" s="49"/>
      <c r="M89" s="49">
        <f>IF(VLOOKUP($D89,$C$5:$AA$496,11,)=0,0,((VLOOKUP($D89,$C$5:$AA$496,11,)/VLOOKUP($D89,$C$5:$AA$496,4,))*$F89))</f>
        <v>0</v>
      </c>
      <c r="N89" s="49"/>
      <c r="O89" s="49">
        <f>IF(VLOOKUP($D89,$C$5:$AA$496,13,)=0,0,((VLOOKUP($D89,$C$5:$AA$496,13,)/VLOOKUP($D89,$C$5:$AA$496,4,))*$F89))</f>
        <v>0</v>
      </c>
      <c r="P89" s="49">
        <f>IF(VLOOKUP($D89,$C$5:$AA$496,14,)=0,0,((VLOOKUP($D89,$C$5:$AA$496,14,)/VLOOKUP($D89,$C$5:$AA$496,4,))*$F89))</f>
        <v>0</v>
      </c>
      <c r="Q89" s="49"/>
      <c r="R89" s="49">
        <f>IF(VLOOKUP($D89,$C$5:$AA$496,16,)=0,0,((VLOOKUP($D89,$C$5:$AA$496,16,)/VLOOKUP($D89,$C$5:$AA$496,4,))*$F89))</f>
        <v>0</v>
      </c>
      <c r="S89" s="49">
        <f>IF(VLOOKUP($D89,$C$5:$AA$496,17,)=0,0,((VLOOKUP($D89,$C$5:$AA$496,17,)/VLOOKUP($D89,$C$5:$AA$496,4,))*$F89))</f>
        <v>0</v>
      </c>
      <c r="T89" s="49"/>
      <c r="U89" s="49">
        <f>IF(VLOOKUP($D89,$C$5:$AA$496,19,)=0,0,((VLOOKUP($D89,$C$5:$AA$496,19,)/VLOOKUP($D89,$C$5:$AA$496,4,))*$F89))</f>
        <v>0</v>
      </c>
      <c r="V89" s="49"/>
      <c r="W89" s="49">
        <f>IF(VLOOKUP($D89,$C$5:$AA$496,21,)=0,0,((VLOOKUP($D89,$C$5:$AA$496,21,)/VLOOKUP($D89,$C$5:$AA$496,4,))*$F89))</f>
        <v>0</v>
      </c>
      <c r="X89" s="49"/>
      <c r="Y89" s="49">
        <f>IF(VLOOKUP($D89,$C$5:$AA$496,23,)=0,0,((VLOOKUP($D89,$C$5:$AA$496,23,)/VLOOKUP($D89,$C$5:$AA$496,4,))*$F89))</f>
        <v>0</v>
      </c>
      <c r="Z89" s="49"/>
      <c r="AA89" s="49">
        <f>IF(VLOOKUP($D89,$C$5:$AA$496,25,)=0,0,((VLOOKUP($D89,$C$5:$AA$496,25,)/VLOOKUP($D89,$C$5:$AA$496,4,))*$F89))</f>
        <v>0</v>
      </c>
      <c r="AB89" s="49">
        <f>SUM(H89:AA89)</f>
        <v>0</v>
      </c>
      <c r="AC89" s="29" t="str">
        <f>IF(ABS(AB89-F89)&lt;1,"ok","err")</f>
        <v>ok</v>
      </c>
    </row>
    <row r="90" spans="1:29" x14ac:dyDescent="0.2">
      <c r="F90" s="255"/>
      <c r="G90" s="49"/>
      <c r="AB90" s="49"/>
      <c r="AC90" s="29"/>
    </row>
    <row r="91" spans="1:29" x14ac:dyDescent="0.2">
      <c r="A91" s="92" t="s">
        <v>74</v>
      </c>
      <c r="C91" s="14" t="s">
        <v>75</v>
      </c>
      <c r="F91" s="254">
        <f>SUM(F85:F89)</f>
        <v>1052826.2200000002</v>
      </c>
      <c r="G91" s="65"/>
      <c r="H91" s="65">
        <f>SUM(H85:H89)</f>
        <v>0</v>
      </c>
      <c r="I91" s="65">
        <f>SUM(I85:I89)</f>
        <v>0</v>
      </c>
      <c r="J91" s="65"/>
      <c r="K91" s="65">
        <f>SUM(K85:K89)</f>
        <v>0</v>
      </c>
      <c r="L91" s="65"/>
      <c r="M91" s="65">
        <f>SUM(M85:M89)</f>
        <v>135585.23817386082</v>
      </c>
      <c r="N91" s="65"/>
      <c r="O91" s="65">
        <f>SUM(O85:O89)</f>
        <v>294808.06889784889</v>
      </c>
      <c r="P91" s="65">
        <f>SUM(P85:P89)</f>
        <v>502413.19248292281</v>
      </c>
      <c r="Q91" s="65"/>
      <c r="R91" s="65">
        <f>SUM(R85:R89)</f>
        <v>0</v>
      </c>
      <c r="S91" s="65">
        <f>SUM(S85:S89)</f>
        <v>40560.671819061768</v>
      </c>
      <c r="T91" s="65"/>
      <c r="U91" s="65">
        <f>SUM(U85:U89)</f>
        <v>40068.536069827729</v>
      </c>
      <c r="V91" s="65"/>
      <c r="W91" s="65">
        <f>SUM(W85:W89)</f>
        <v>39390.512556478287</v>
      </c>
      <c r="X91" s="65"/>
      <c r="Y91" s="65">
        <f>SUM(Y85:Y89)</f>
        <v>0</v>
      </c>
      <c r="Z91" s="65"/>
      <c r="AA91" s="65">
        <f>SUM(AA85:AA89)</f>
        <v>0</v>
      </c>
      <c r="AB91" s="49">
        <f>SUM(H91:AA91)</f>
        <v>1052826.2200000002</v>
      </c>
      <c r="AC91" s="29" t="str">
        <f>IF(ABS(AB91-F91)&lt;1,"ok","err")</f>
        <v>ok</v>
      </c>
    </row>
    <row r="92" spans="1:29" x14ac:dyDescent="0.2">
      <c r="A92" s="92"/>
      <c r="F92" s="254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49"/>
      <c r="AC92" s="29"/>
    </row>
    <row r="93" spans="1:29" x14ac:dyDescent="0.2">
      <c r="A93" s="13" t="s">
        <v>367</v>
      </c>
      <c r="D93" s="90"/>
      <c r="F93" s="254">
        <f>F82+F91</f>
        <v>150993776.09999999</v>
      </c>
      <c r="G93" s="65"/>
      <c r="H93" s="65">
        <f>H82+H91</f>
        <v>0</v>
      </c>
      <c r="I93" s="65">
        <f>I82+I91</f>
        <v>0</v>
      </c>
      <c r="J93" s="65"/>
      <c r="K93" s="65">
        <f>K82+K91</f>
        <v>0</v>
      </c>
      <c r="L93" s="65"/>
      <c r="M93" s="65">
        <f>M82+M91</f>
        <v>19445305.128598627</v>
      </c>
      <c r="N93" s="65"/>
      <c r="O93" s="65">
        <f>O82+O91</f>
        <v>42280656.2963783</v>
      </c>
      <c r="P93" s="65">
        <f>P82+P91</f>
        <v>72054878.245198548</v>
      </c>
      <c r="Q93" s="65"/>
      <c r="R93" s="65">
        <f>R82+R91</f>
        <v>0</v>
      </c>
      <c r="S93" s="65">
        <f>S82+S91</f>
        <v>5817112.9126257813</v>
      </c>
      <c r="T93" s="65"/>
      <c r="U93" s="65">
        <f>U82+U91</f>
        <v>5746532.0002975808</v>
      </c>
      <c r="V93" s="65"/>
      <c r="W93" s="65">
        <f>W82+W91</f>
        <v>5649291.5169011643</v>
      </c>
      <c r="X93" s="65"/>
      <c r="Y93" s="65">
        <f>Y82+Y91</f>
        <v>0</v>
      </c>
      <c r="Z93" s="65"/>
      <c r="AA93" s="65">
        <f>AA82+AA91</f>
        <v>0</v>
      </c>
      <c r="AB93" s="49">
        <f>SUM(H93:AA93)</f>
        <v>150993776.09999999</v>
      </c>
      <c r="AC93" s="29" t="str">
        <f>IF(ABS(AB93-F93)&lt;1,"ok","err")</f>
        <v>ok</v>
      </c>
    </row>
    <row r="94" spans="1:29" x14ac:dyDescent="0.2">
      <c r="AC94" s="29"/>
    </row>
    <row r="95" spans="1:29" x14ac:dyDescent="0.2">
      <c r="A95" s="27" t="s">
        <v>76</v>
      </c>
      <c r="G95" s="90"/>
      <c r="AC95" s="29"/>
    </row>
    <row r="96" spans="1:29" x14ac:dyDescent="0.2">
      <c r="AC96" s="29"/>
    </row>
    <row r="97" spans="1:29" x14ac:dyDescent="0.2">
      <c r="A97" s="27" t="s">
        <v>77</v>
      </c>
      <c r="AC97" s="29"/>
    </row>
    <row r="98" spans="1:29" x14ac:dyDescent="0.2">
      <c r="A98" s="14" t="s">
        <v>15</v>
      </c>
      <c r="F98" s="256">
        <f>F82</f>
        <v>149940949.88</v>
      </c>
      <c r="G98" s="90"/>
      <c r="H98" s="90">
        <f>H82</f>
        <v>0</v>
      </c>
      <c r="I98" s="90">
        <f>I82</f>
        <v>0</v>
      </c>
      <c r="J98" s="90"/>
      <c r="K98" s="90">
        <f>K82</f>
        <v>0</v>
      </c>
      <c r="L98" s="90"/>
      <c r="M98" s="90">
        <f>M82</f>
        <v>19309719.890424766</v>
      </c>
      <c r="N98" s="90"/>
      <c r="O98" s="90">
        <f>O82</f>
        <v>41985848.227480449</v>
      </c>
      <c r="P98" s="90">
        <f>P82</f>
        <v>71552465.052715629</v>
      </c>
      <c r="Q98" s="90"/>
      <c r="R98" s="90">
        <f>R82</f>
        <v>0</v>
      </c>
      <c r="S98" s="90">
        <f>S82</f>
        <v>5776552.2408067193</v>
      </c>
      <c r="T98" s="90"/>
      <c r="U98" s="90">
        <f>U82</f>
        <v>5706463.4642277528</v>
      </c>
      <c r="V98" s="90"/>
      <c r="W98" s="90">
        <f>W82</f>
        <v>5609901.0043446859</v>
      </c>
      <c r="X98" s="90"/>
      <c r="Y98" s="90">
        <f>Y82</f>
        <v>0</v>
      </c>
      <c r="Z98" s="90"/>
      <c r="AA98" s="90">
        <f>AA82</f>
        <v>0</v>
      </c>
      <c r="AB98" s="49">
        <f>SUM(H98:AA98)</f>
        <v>149940949.88</v>
      </c>
      <c r="AC98" s="29" t="str">
        <f>IF(ABS(AB98-F98)&lt;1,"ok","err")</f>
        <v>ok</v>
      </c>
    </row>
    <row r="99" spans="1:29" x14ac:dyDescent="0.2">
      <c r="A99" s="14" t="s">
        <v>73</v>
      </c>
      <c r="F99" s="255">
        <f>F91</f>
        <v>1052826.2200000002</v>
      </c>
      <c r="G99" s="49"/>
      <c r="H99" s="47">
        <f>H91</f>
        <v>0</v>
      </c>
      <c r="I99" s="47">
        <f>I91</f>
        <v>0</v>
      </c>
      <c r="J99" s="47"/>
      <c r="K99" s="47">
        <f>K91</f>
        <v>0</v>
      </c>
      <c r="L99" s="47"/>
      <c r="M99" s="47">
        <f>M91</f>
        <v>135585.23817386082</v>
      </c>
      <c r="N99" s="47"/>
      <c r="O99" s="47">
        <f>O91</f>
        <v>294808.06889784889</v>
      </c>
      <c r="P99" s="47">
        <f>P91</f>
        <v>502413.19248292281</v>
      </c>
      <c r="Q99" s="47"/>
      <c r="R99" s="47">
        <f>R91</f>
        <v>0</v>
      </c>
      <c r="S99" s="47">
        <f>S91</f>
        <v>40560.671819061768</v>
      </c>
      <c r="T99" s="47"/>
      <c r="U99" s="47">
        <f>U91</f>
        <v>40068.536069827729</v>
      </c>
      <c r="V99" s="47"/>
      <c r="W99" s="47">
        <f>W91</f>
        <v>39390.512556478287</v>
      </c>
      <c r="X99" s="47"/>
      <c r="Y99" s="47">
        <f>Y91</f>
        <v>0</v>
      </c>
      <c r="Z99" s="47"/>
      <c r="AA99" s="49">
        <f>AA91</f>
        <v>0</v>
      </c>
      <c r="AB99" s="49">
        <f>SUM(H99:AA99)</f>
        <v>1052826.2200000002</v>
      </c>
      <c r="AC99" s="29" t="str">
        <f>IF(ABS(AB99-F99)&lt;1,"ok","err")</f>
        <v>ok</v>
      </c>
    </row>
    <row r="100" spans="1:29" x14ac:dyDescent="0.2">
      <c r="Q100" s="14"/>
      <c r="AB100" s="49"/>
      <c r="AC100" s="29"/>
    </row>
    <row r="101" spans="1:29" x14ac:dyDescent="0.2">
      <c r="A101" s="92" t="s">
        <v>78</v>
      </c>
      <c r="C101" s="14" t="s">
        <v>79</v>
      </c>
      <c r="F101" s="256">
        <f>F98+F99</f>
        <v>150993776.09999999</v>
      </c>
      <c r="G101" s="90"/>
      <c r="H101" s="90">
        <f t="shared" ref="H101:AA101" si="62">H98+H99</f>
        <v>0</v>
      </c>
      <c r="I101" s="90">
        <f t="shared" si="62"/>
        <v>0</v>
      </c>
      <c r="J101" s="90"/>
      <c r="K101" s="90">
        <f t="shared" si="62"/>
        <v>0</v>
      </c>
      <c r="L101" s="90"/>
      <c r="M101" s="90">
        <f t="shared" si="62"/>
        <v>19445305.128598627</v>
      </c>
      <c r="N101" s="90"/>
      <c r="O101" s="90">
        <f t="shared" si="62"/>
        <v>42280656.2963783</v>
      </c>
      <c r="P101" s="90">
        <f t="shared" si="62"/>
        <v>72054878.245198548</v>
      </c>
      <c r="Q101" s="90"/>
      <c r="R101" s="90">
        <f t="shared" si="62"/>
        <v>0</v>
      </c>
      <c r="S101" s="90">
        <f t="shared" si="62"/>
        <v>5817112.9126257813</v>
      </c>
      <c r="T101" s="90"/>
      <c r="U101" s="90">
        <f t="shared" si="62"/>
        <v>5746532.0002975808</v>
      </c>
      <c r="V101" s="90"/>
      <c r="W101" s="90">
        <f t="shared" si="62"/>
        <v>5649291.5169011643</v>
      </c>
      <c r="X101" s="90"/>
      <c r="Y101" s="90">
        <f t="shared" si="62"/>
        <v>0</v>
      </c>
      <c r="Z101" s="90"/>
      <c r="AA101" s="90">
        <f t="shared" si="62"/>
        <v>0</v>
      </c>
      <c r="AB101" s="49">
        <f>SUM(H101:AA101)</f>
        <v>150993776.09999999</v>
      </c>
      <c r="AC101" s="29" t="str">
        <f>IF(ABS(AB101-F101)&lt;1,"ok","err")</f>
        <v>ok</v>
      </c>
    </row>
    <row r="102" spans="1:29" x14ac:dyDescent="0.2">
      <c r="Q102" s="14"/>
      <c r="AC102" s="29"/>
    </row>
    <row r="103" spans="1:29" x14ac:dyDescent="0.2">
      <c r="A103" s="27" t="s">
        <v>80</v>
      </c>
      <c r="Q103" s="14"/>
      <c r="AC103" s="29"/>
    </row>
    <row r="104" spans="1:29" x14ac:dyDescent="0.2">
      <c r="A104" s="14" t="s">
        <v>369</v>
      </c>
      <c r="C104" s="14" t="s">
        <v>393</v>
      </c>
      <c r="D104" s="14" t="s">
        <v>79</v>
      </c>
      <c r="F104" s="254"/>
      <c r="G104" s="190"/>
      <c r="H104" s="49">
        <f t="shared" ref="H104:H122" si="63">IF(VLOOKUP($D104,$C$5:$AA$496,6,)=0,0,((VLOOKUP($D104,$C$5:$AA$496,6,)/VLOOKUP($D104,$C$5:$AA$496,4,))*$F104))</f>
        <v>0</v>
      </c>
      <c r="I104" s="49">
        <f t="shared" ref="I104:I122" si="64">IF(VLOOKUP($D104,$C$5:$AA$496,7,)=0,0,((VLOOKUP($D104,$C$5:$AA$496,7,)/VLOOKUP($D104,$C$5:$AA$496,4,))*$F104))</f>
        <v>0</v>
      </c>
      <c r="J104" s="49"/>
      <c r="K104" s="49">
        <f t="shared" ref="K104:K122" si="65">IF(VLOOKUP($D104,$C$5:$AA$496,9,)=0,0,((VLOOKUP($D104,$C$5:$AA$496,9,)/VLOOKUP($D104,$C$5:$AA$496,4,))*$F104))</f>
        <v>0</v>
      </c>
      <c r="L104" s="49"/>
      <c r="M104" s="49">
        <f t="shared" ref="M104:M122" si="66">IF(VLOOKUP($D104,$C$5:$AA$496,11,)=0,0,((VLOOKUP($D104,$C$5:$AA$496,11,)/VLOOKUP($D104,$C$5:$AA$496,4,))*$F104))</f>
        <v>0</v>
      </c>
      <c r="N104" s="49"/>
      <c r="O104" s="49">
        <f t="shared" ref="O104:O122" si="67">IF(VLOOKUP($D104,$C$5:$AA$496,13,)=0,0,((VLOOKUP($D104,$C$5:$AA$496,13,)/VLOOKUP($D104,$C$5:$AA$496,4,))*$F104))</f>
        <v>0</v>
      </c>
      <c r="P104" s="49">
        <f t="shared" ref="P104:P122" si="68">IF(VLOOKUP($D104,$C$5:$AA$496,14,)=0,0,((VLOOKUP($D104,$C$5:$AA$496,14,)/VLOOKUP($D104,$C$5:$AA$496,4,))*$F104))</f>
        <v>0</v>
      </c>
      <c r="Q104" s="49"/>
      <c r="R104" s="49">
        <f t="shared" ref="R104:R122" si="69">IF(VLOOKUP($D104,$C$5:$AA$496,16,)=0,0,((VLOOKUP($D104,$C$5:$AA$496,16,)/VLOOKUP($D104,$C$5:$AA$496,4,))*$F104))</f>
        <v>0</v>
      </c>
      <c r="S104" s="49">
        <f t="shared" ref="S104:S122" si="70">IF(VLOOKUP($D104,$C$5:$AA$496,17,)=0,0,((VLOOKUP($D104,$C$5:$AA$496,17,)/VLOOKUP($D104,$C$5:$AA$496,4,))*$F104))</f>
        <v>0</v>
      </c>
      <c r="T104" s="49"/>
      <c r="U104" s="49">
        <f t="shared" ref="U104:U122" si="71">IF(VLOOKUP($D104,$C$5:$AA$496,19,)=0,0,((VLOOKUP($D104,$C$5:$AA$496,19,)/VLOOKUP($D104,$C$5:$AA$496,4,))*$F104))</f>
        <v>0</v>
      </c>
      <c r="V104" s="49"/>
      <c r="W104" s="49">
        <f t="shared" ref="W104:W122" si="72">IF(VLOOKUP($D104,$C$5:$AA$496,21,)=0,0,((VLOOKUP($D104,$C$5:$AA$496,21,)/VLOOKUP($D104,$C$5:$AA$496,4,))*$F104))</f>
        <v>0</v>
      </c>
      <c r="X104" s="49"/>
      <c r="Y104" s="49">
        <f t="shared" ref="Y104:Y122" si="73">IF(VLOOKUP($D104,$C$5:$AA$496,23,)=0,0,((VLOOKUP($D104,$C$5:$AA$496,23,)/VLOOKUP($D104,$C$5:$AA$496,4,))*$F104))</f>
        <v>0</v>
      </c>
      <c r="Z104" s="49"/>
      <c r="AA104" s="49">
        <f t="shared" ref="AA104:AA122" si="74">IF(VLOOKUP($D104,$C$5:$AA$496,25,)=0,0,((VLOOKUP($D104,$C$5:$AA$496,25,)/VLOOKUP($D104,$C$5:$AA$496,4,))*$F104))</f>
        <v>0</v>
      </c>
      <c r="AB104" s="49">
        <f t="shared" ref="AB104:AB122" si="75">SUM(H104:AA104)</f>
        <v>0</v>
      </c>
      <c r="AC104" s="29" t="str">
        <f t="shared" ref="AC104:AC110" si="76">IF(ABS(AB104-F104)&lt;1,"ok","err")</f>
        <v>ok</v>
      </c>
    </row>
    <row r="105" spans="1:29" x14ac:dyDescent="0.2">
      <c r="A105" s="14" t="s">
        <v>370</v>
      </c>
      <c r="C105" s="14" t="s">
        <v>394</v>
      </c>
      <c r="D105" s="14" t="s">
        <v>16</v>
      </c>
      <c r="F105" s="255">
        <v>71091.62</v>
      </c>
      <c r="G105" s="191"/>
      <c r="H105" s="49">
        <f t="shared" si="63"/>
        <v>0</v>
      </c>
      <c r="I105" s="49">
        <f t="shared" si="64"/>
        <v>0</v>
      </c>
      <c r="J105" s="49"/>
      <c r="K105" s="49">
        <f t="shared" si="65"/>
        <v>0</v>
      </c>
      <c r="L105" s="49"/>
      <c r="M105" s="49">
        <f t="shared" si="66"/>
        <v>9155.3326149738223</v>
      </c>
      <c r="N105" s="49"/>
      <c r="O105" s="49">
        <f t="shared" si="67"/>
        <v>19906.783103311853</v>
      </c>
      <c r="P105" s="49">
        <f t="shared" si="68"/>
        <v>33925.226295164641</v>
      </c>
      <c r="Q105" s="49"/>
      <c r="R105" s="49">
        <f t="shared" si="69"/>
        <v>0</v>
      </c>
      <c r="S105" s="49">
        <f t="shared" si="70"/>
        <v>2738.8412381156763</v>
      </c>
      <c r="T105" s="49"/>
      <c r="U105" s="49">
        <f t="shared" si="71"/>
        <v>2705.6099915829277</v>
      </c>
      <c r="V105" s="49"/>
      <c r="W105" s="49">
        <f t="shared" si="72"/>
        <v>2659.8267568510805</v>
      </c>
      <c r="X105" s="49"/>
      <c r="Y105" s="49">
        <f t="shared" si="73"/>
        <v>0</v>
      </c>
      <c r="Z105" s="49"/>
      <c r="AA105" s="49">
        <f t="shared" si="74"/>
        <v>0</v>
      </c>
      <c r="AB105" s="49">
        <f t="shared" si="75"/>
        <v>71091.62</v>
      </c>
      <c r="AC105" s="29" t="str">
        <f t="shared" si="76"/>
        <v>ok</v>
      </c>
    </row>
    <row r="106" spans="1:29" x14ac:dyDescent="0.2">
      <c r="A106" s="14" t="s">
        <v>834</v>
      </c>
      <c r="C106" s="14" t="s">
        <v>839</v>
      </c>
      <c r="D106" s="14" t="s">
        <v>783</v>
      </c>
      <c r="F106" s="255">
        <v>0</v>
      </c>
      <c r="G106" s="191"/>
      <c r="H106" s="49">
        <f t="shared" si="63"/>
        <v>0</v>
      </c>
      <c r="I106" s="49">
        <f t="shared" si="64"/>
        <v>0</v>
      </c>
      <c r="J106" s="49"/>
      <c r="K106" s="49">
        <f t="shared" si="65"/>
        <v>0</v>
      </c>
      <c r="L106" s="49"/>
      <c r="M106" s="49">
        <f t="shared" si="66"/>
        <v>0</v>
      </c>
      <c r="N106" s="49"/>
      <c r="O106" s="49">
        <f t="shared" si="67"/>
        <v>0</v>
      </c>
      <c r="P106" s="49">
        <f t="shared" si="68"/>
        <v>0</v>
      </c>
      <c r="Q106" s="49"/>
      <c r="R106" s="49">
        <f t="shared" si="69"/>
        <v>0</v>
      </c>
      <c r="S106" s="49">
        <f t="shared" si="70"/>
        <v>0</v>
      </c>
      <c r="T106" s="49"/>
      <c r="U106" s="49">
        <f t="shared" si="71"/>
        <v>0</v>
      </c>
      <c r="V106" s="49"/>
      <c r="W106" s="49">
        <f t="shared" si="72"/>
        <v>0</v>
      </c>
      <c r="X106" s="49"/>
      <c r="Y106" s="49">
        <f t="shared" si="73"/>
        <v>0</v>
      </c>
      <c r="Z106" s="49"/>
      <c r="AA106" s="49">
        <f t="shared" si="74"/>
        <v>0</v>
      </c>
      <c r="AB106" s="49">
        <f t="shared" si="75"/>
        <v>0</v>
      </c>
      <c r="AC106" s="29" t="str">
        <f t="shared" si="76"/>
        <v>ok</v>
      </c>
    </row>
    <row r="107" spans="1:29" x14ac:dyDescent="0.2">
      <c r="A107" s="14" t="s">
        <v>368</v>
      </c>
      <c r="C107" s="14" t="s">
        <v>395</v>
      </c>
      <c r="D107" s="14" t="s">
        <v>390</v>
      </c>
      <c r="F107" s="255">
        <v>0</v>
      </c>
      <c r="G107" s="191"/>
      <c r="H107" s="49">
        <f t="shared" si="63"/>
        <v>0</v>
      </c>
      <c r="I107" s="49">
        <f t="shared" si="64"/>
        <v>0</v>
      </c>
      <c r="J107" s="49"/>
      <c r="K107" s="49">
        <f t="shared" si="65"/>
        <v>0</v>
      </c>
      <c r="L107" s="49"/>
      <c r="M107" s="49">
        <f t="shared" si="66"/>
        <v>0</v>
      </c>
      <c r="N107" s="49"/>
      <c r="O107" s="49">
        <f t="shared" si="67"/>
        <v>0</v>
      </c>
      <c r="P107" s="49">
        <f t="shared" si="68"/>
        <v>0</v>
      </c>
      <c r="Q107" s="49"/>
      <c r="R107" s="49">
        <f t="shared" si="69"/>
        <v>0</v>
      </c>
      <c r="S107" s="49">
        <f t="shared" si="70"/>
        <v>0</v>
      </c>
      <c r="T107" s="49"/>
      <c r="U107" s="49">
        <f t="shared" si="71"/>
        <v>0</v>
      </c>
      <c r="V107" s="49"/>
      <c r="W107" s="49">
        <f t="shared" si="72"/>
        <v>0</v>
      </c>
      <c r="X107" s="49"/>
      <c r="Y107" s="49">
        <f t="shared" si="73"/>
        <v>0</v>
      </c>
      <c r="Z107" s="49"/>
      <c r="AA107" s="49">
        <f t="shared" si="74"/>
        <v>0</v>
      </c>
      <c r="AB107" s="49">
        <f t="shared" si="75"/>
        <v>0</v>
      </c>
      <c r="AC107" s="29" t="str">
        <f t="shared" si="76"/>
        <v>ok</v>
      </c>
    </row>
    <row r="108" spans="1:29" x14ac:dyDescent="0.2">
      <c r="A108" s="14" t="s">
        <v>1030</v>
      </c>
      <c r="C108" s="14" t="s">
        <v>448</v>
      </c>
      <c r="D108" s="14" t="s">
        <v>16</v>
      </c>
      <c r="F108" s="255">
        <v>0</v>
      </c>
      <c r="G108" s="191"/>
      <c r="H108" s="49">
        <f t="shared" si="63"/>
        <v>0</v>
      </c>
      <c r="I108" s="49">
        <f t="shared" si="64"/>
        <v>0</v>
      </c>
      <c r="J108" s="49"/>
      <c r="K108" s="49">
        <f t="shared" si="65"/>
        <v>0</v>
      </c>
      <c r="L108" s="49"/>
      <c r="M108" s="49">
        <f t="shared" si="66"/>
        <v>0</v>
      </c>
      <c r="N108" s="49"/>
      <c r="O108" s="49">
        <f t="shared" si="67"/>
        <v>0</v>
      </c>
      <c r="P108" s="49">
        <f t="shared" si="68"/>
        <v>0</v>
      </c>
      <c r="Q108" s="49"/>
      <c r="R108" s="49">
        <f t="shared" si="69"/>
        <v>0</v>
      </c>
      <c r="S108" s="49">
        <f t="shared" si="70"/>
        <v>0</v>
      </c>
      <c r="T108" s="49"/>
      <c r="U108" s="49">
        <f t="shared" si="71"/>
        <v>0</v>
      </c>
      <c r="V108" s="49"/>
      <c r="W108" s="49">
        <f t="shared" si="72"/>
        <v>0</v>
      </c>
      <c r="X108" s="49"/>
      <c r="Y108" s="49">
        <f t="shared" si="73"/>
        <v>0</v>
      </c>
      <c r="Z108" s="49"/>
      <c r="AA108" s="49">
        <f t="shared" si="74"/>
        <v>0</v>
      </c>
      <c r="AB108" s="49">
        <f t="shared" si="75"/>
        <v>0</v>
      </c>
      <c r="AC108" s="29" t="str">
        <f t="shared" si="76"/>
        <v>ok</v>
      </c>
    </row>
    <row r="109" spans="1:29" x14ac:dyDescent="0.2">
      <c r="A109" s="14" t="s">
        <v>426</v>
      </c>
      <c r="C109" s="14" t="s">
        <v>436</v>
      </c>
      <c r="D109" s="14" t="s">
        <v>424</v>
      </c>
      <c r="F109" s="255">
        <v>0</v>
      </c>
      <c r="G109" s="191"/>
      <c r="H109" s="49">
        <f t="shared" si="63"/>
        <v>0</v>
      </c>
      <c r="I109" s="49">
        <f t="shared" si="64"/>
        <v>0</v>
      </c>
      <c r="J109" s="49"/>
      <c r="K109" s="49">
        <f t="shared" si="65"/>
        <v>0</v>
      </c>
      <c r="L109" s="49"/>
      <c r="M109" s="49">
        <f t="shared" si="66"/>
        <v>0</v>
      </c>
      <c r="N109" s="49"/>
      <c r="O109" s="49">
        <f t="shared" si="67"/>
        <v>0</v>
      </c>
      <c r="P109" s="49">
        <f t="shared" si="68"/>
        <v>0</v>
      </c>
      <c r="Q109" s="49"/>
      <c r="R109" s="49">
        <f t="shared" si="69"/>
        <v>0</v>
      </c>
      <c r="S109" s="49">
        <f t="shared" si="70"/>
        <v>0</v>
      </c>
      <c r="T109" s="49"/>
      <c r="U109" s="49">
        <f t="shared" si="71"/>
        <v>0</v>
      </c>
      <c r="V109" s="49"/>
      <c r="W109" s="49">
        <f t="shared" si="72"/>
        <v>0</v>
      </c>
      <c r="X109" s="49"/>
      <c r="Y109" s="49">
        <f t="shared" si="73"/>
        <v>0</v>
      </c>
      <c r="Z109" s="49"/>
      <c r="AA109" s="49">
        <f t="shared" si="74"/>
        <v>0</v>
      </c>
      <c r="AB109" s="49">
        <f t="shared" si="75"/>
        <v>0</v>
      </c>
      <c r="AC109" s="29" t="str">
        <f t="shared" si="76"/>
        <v>ok</v>
      </c>
    </row>
    <row r="110" spans="1:29" x14ac:dyDescent="0.2">
      <c r="A110" s="14" t="s">
        <v>427</v>
      </c>
      <c r="C110" s="14" t="s">
        <v>437</v>
      </c>
      <c r="D110" s="14" t="s">
        <v>23</v>
      </c>
      <c r="F110" s="255">
        <v>0</v>
      </c>
      <c r="G110" s="191"/>
      <c r="H110" s="49">
        <f t="shared" si="63"/>
        <v>0</v>
      </c>
      <c r="I110" s="49">
        <f t="shared" si="64"/>
        <v>0</v>
      </c>
      <c r="J110" s="49"/>
      <c r="K110" s="49">
        <f t="shared" si="65"/>
        <v>0</v>
      </c>
      <c r="L110" s="49"/>
      <c r="M110" s="49">
        <f t="shared" si="66"/>
        <v>0</v>
      </c>
      <c r="N110" s="49"/>
      <c r="O110" s="49">
        <f t="shared" si="67"/>
        <v>0</v>
      </c>
      <c r="P110" s="49">
        <f t="shared" si="68"/>
        <v>0</v>
      </c>
      <c r="Q110" s="49"/>
      <c r="R110" s="49">
        <f t="shared" si="69"/>
        <v>0</v>
      </c>
      <c r="S110" s="49">
        <f t="shared" si="70"/>
        <v>0</v>
      </c>
      <c r="T110" s="49"/>
      <c r="U110" s="49">
        <f t="shared" si="71"/>
        <v>0</v>
      </c>
      <c r="V110" s="49"/>
      <c r="W110" s="49">
        <f t="shared" si="72"/>
        <v>0</v>
      </c>
      <c r="X110" s="49"/>
      <c r="Y110" s="49">
        <f t="shared" si="73"/>
        <v>0</v>
      </c>
      <c r="Z110" s="49"/>
      <c r="AA110" s="49">
        <f t="shared" si="74"/>
        <v>0</v>
      </c>
      <c r="AB110" s="49">
        <f t="shared" si="75"/>
        <v>0</v>
      </c>
      <c r="AC110" s="29" t="str">
        <f t="shared" si="76"/>
        <v>ok</v>
      </c>
    </row>
    <row r="111" spans="1:29" x14ac:dyDescent="0.2">
      <c r="A111" s="14" t="s">
        <v>428</v>
      </c>
      <c r="C111" s="14" t="s">
        <v>438</v>
      </c>
      <c r="D111" s="14" t="s">
        <v>26</v>
      </c>
      <c r="F111" s="255">
        <v>0</v>
      </c>
      <c r="G111" s="191"/>
      <c r="H111" s="49">
        <f t="shared" si="63"/>
        <v>0</v>
      </c>
      <c r="I111" s="49">
        <f t="shared" si="64"/>
        <v>0</v>
      </c>
      <c r="J111" s="49"/>
      <c r="K111" s="49">
        <f t="shared" si="65"/>
        <v>0</v>
      </c>
      <c r="L111" s="49"/>
      <c r="M111" s="49">
        <f t="shared" si="66"/>
        <v>0</v>
      </c>
      <c r="N111" s="49"/>
      <c r="O111" s="49">
        <f t="shared" si="67"/>
        <v>0</v>
      </c>
      <c r="P111" s="49">
        <f t="shared" si="68"/>
        <v>0</v>
      </c>
      <c r="Q111" s="49"/>
      <c r="R111" s="49">
        <f t="shared" si="69"/>
        <v>0</v>
      </c>
      <c r="S111" s="49">
        <f t="shared" si="70"/>
        <v>0</v>
      </c>
      <c r="T111" s="49"/>
      <c r="U111" s="49">
        <f t="shared" si="71"/>
        <v>0</v>
      </c>
      <c r="V111" s="49"/>
      <c r="W111" s="49">
        <f t="shared" si="72"/>
        <v>0</v>
      </c>
      <c r="X111" s="49"/>
      <c r="Y111" s="49">
        <f t="shared" si="73"/>
        <v>0</v>
      </c>
      <c r="Z111" s="49"/>
      <c r="AA111" s="49">
        <f t="shared" si="74"/>
        <v>0</v>
      </c>
      <c r="AB111" s="49">
        <f t="shared" si="75"/>
        <v>0</v>
      </c>
      <c r="AC111" s="29" t="str">
        <f t="shared" ref="AC111:AC119" si="77">IF(ABS(AB111-F111)&lt;1,"ok","err")</f>
        <v>ok</v>
      </c>
    </row>
    <row r="112" spans="1:29" x14ac:dyDescent="0.2">
      <c r="A112" s="14" t="s">
        <v>429</v>
      </c>
      <c r="C112" s="14" t="s">
        <v>439</v>
      </c>
      <c r="D112" s="14" t="s">
        <v>29</v>
      </c>
      <c r="F112" s="255">
        <v>0</v>
      </c>
      <c r="G112" s="191"/>
      <c r="H112" s="49">
        <f t="shared" si="63"/>
        <v>0</v>
      </c>
      <c r="I112" s="49">
        <f t="shared" si="64"/>
        <v>0</v>
      </c>
      <c r="J112" s="49"/>
      <c r="K112" s="49">
        <f t="shared" si="65"/>
        <v>0</v>
      </c>
      <c r="L112" s="49"/>
      <c r="M112" s="49">
        <f t="shared" si="66"/>
        <v>0</v>
      </c>
      <c r="N112" s="49"/>
      <c r="O112" s="49">
        <f t="shared" si="67"/>
        <v>0</v>
      </c>
      <c r="P112" s="49">
        <f t="shared" si="68"/>
        <v>0</v>
      </c>
      <c r="Q112" s="49"/>
      <c r="R112" s="49">
        <f t="shared" si="69"/>
        <v>0</v>
      </c>
      <c r="S112" s="49">
        <f t="shared" si="70"/>
        <v>0</v>
      </c>
      <c r="T112" s="49"/>
      <c r="U112" s="49">
        <f t="shared" si="71"/>
        <v>0</v>
      </c>
      <c r="V112" s="49"/>
      <c r="W112" s="49">
        <f t="shared" si="72"/>
        <v>0</v>
      </c>
      <c r="X112" s="49"/>
      <c r="Y112" s="49">
        <f t="shared" si="73"/>
        <v>0</v>
      </c>
      <c r="Z112" s="49"/>
      <c r="AA112" s="49">
        <f t="shared" si="74"/>
        <v>0</v>
      </c>
      <c r="AB112" s="49">
        <f t="shared" si="75"/>
        <v>0</v>
      </c>
      <c r="AC112" s="29" t="str">
        <f t="shared" si="77"/>
        <v>ok</v>
      </c>
    </row>
    <row r="113" spans="1:29" x14ac:dyDescent="0.2">
      <c r="A113" s="14" t="s">
        <v>447</v>
      </c>
      <c r="C113" s="14" t="s">
        <v>440</v>
      </c>
      <c r="D113" s="14" t="s">
        <v>32</v>
      </c>
      <c r="F113" s="255">
        <v>0</v>
      </c>
      <c r="G113" s="191"/>
      <c r="H113" s="49">
        <f t="shared" si="63"/>
        <v>0</v>
      </c>
      <c r="I113" s="49">
        <f t="shared" si="64"/>
        <v>0</v>
      </c>
      <c r="J113" s="49"/>
      <c r="K113" s="49">
        <f t="shared" si="65"/>
        <v>0</v>
      </c>
      <c r="L113" s="49"/>
      <c r="M113" s="49">
        <f t="shared" si="66"/>
        <v>0</v>
      </c>
      <c r="N113" s="49"/>
      <c r="O113" s="49">
        <f t="shared" si="67"/>
        <v>0</v>
      </c>
      <c r="P113" s="49">
        <f t="shared" si="68"/>
        <v>0</v>
      </c>
      <c r="Q113" s="49"/>
      <c r="R113" s="49">
        <f t="shared" si="69"/>
        <v>0</v>
      </c>
      <c r="S113" s="49">
        <f t="shared" si="70"/>
        <v>0</v>
      </c>
      <c r="T113" s="49"/>
      <c r="U113" s="49">
        <f t="shared" si="71"/>
        <v>0</v>
      </c>
      <c r="V113" s="49"/>
      <c r="W113" s="49">
        <f t="shared" si="72"/>
        <v>0</v>
      </c>
      <c r="X113" s="49"/>
      <c r="Y113" s="49">
        <f t="shared" si="73"/>
        <v>0</v>
      </c>
      <c r="Z113" s="49"/>
      <c r="AA113" s="49">
        <f t="shared" si="74"/>
        <v>0</v>
      </c>
      <c r="AB113" s="49">
        <f t="shared" si="75"/>
        <v>0</v>
      </c>
      <c r="AC113" s="29" t="str">
        <f t="shared" si="77"/>
        <v>ok</v>
      </c>
    </row>
    <row r="114" spans="1:29" x14ac:dyDescent="0.2">
      <c r="A114" s="14" t="s">
        <v>430</v>
      </c>
      <c r="C114" s="14" t="s">
        <v>441</v>
      </c>
      <c r="D114" s="14" t="s">
        <v>35</v>
      </c>
      <c r="F114" s="255">
        <v>0</v>
      </c>
      <c r="G114" s="191"/>
      <c r="H114" s="49">
        <f t="shared" si="63"/>
        <v>0</v>
      </c>
      <c r="I114" s="49">
        <f t="shared" si="64"/>
        <v>0</v>
      </c>
      <c r="J114" s="49"/>
      <c r="K114" s="49">
        <f t="shared" si="65"/>
        <v>0</v>
      </c>
      <c r="L114" s="49"/>
      <c r="M114" s="49">
        <f t="shared" si="66"/>
        <v>0</v>
      </c>
      <c r="N114" s="49"/>
      <c r="O114" s="49">
        <f t="shared" si="67"/>
        <v>0</v>
      </c>
      <c r="P114" s="49">
        <f t="shared" si="68"/>
        <v>0</v>
      </c>
      <c r="Q114" s="49"/>
      <c r="R114" s="49">
        <f t="shared" si="69"/>
        <v>0</v>
      </c>
      <c r="S114" s="49">
        <f t="shared" si="70"/>
        <v>0</v>
      </c>
      <c r="T114" s="49"/>
      <c r="U114" s="49">
        <f t="shared" si="71"/>
        <v>0</v>
      </c>
      <c r="V114" s="49"/>
      <c r="W114" s="49">
        <f t="shared" si="72"/>
        <v>0</v>
      </c>
      <c r="X114" s="49"/>
      <c r="Y114" s="49">
        <f t="shared" si="73"/>
        <v>0</v>
      </c>
      <c r="Z114" s="49"/>
      <c r="AA114" s="49">
        <f t="shared" si="74"/>
        <v>0</v>
      </c>
      <c r="AB114" s="49">
        <f t="shared" si="75"/>
        <v>0</v>
      </c>
      <c r="AC114" s="29" t="str">
        <f t="shared" si="77"/>
        <v>ok</v>
      </c>
    </row>
    <row r="115" spans="1:29" x14ac:dyDescent="0.2">
      <c r="A115" s="14" t="s">
        <v>431</v>
      </c>
      <c r="C115" s="14" t="s">
        <v>442</v>
      </c>
      <c r="D115" s="14" t="s">
        <v>37</v>
      </c>
      <c r="F115" s="255">
        <v>0</v>
      </c>
      <c r="G115" s="191"/>
      <c r="H115" s="49">
        <f t="shared" si="63"/>
        <v>0</v>
      </c>
      <c r="I115" s="49">
        <f t="shared" si="64"/>
        <v>0</v>
      </c>
      <c r="J115" s="49"/>
      <c r="K115" s="49">
        <f t="shared" si="65"/>
        <v>0</v>
      </c>
      <c r="L115" s="49"/>
      <c r="M115" s="49">
        <f t="shared" si="66"/>
        <v>0</v>
      </c>
      <c r="N115" s="49"/>
      <c r="O115" s="49">
        <f t="shared" si="67"/>
        <v>0</v>
      </c>
      <c r="P115" s="49">
        <f t="shared" si="68"/>
        <v>0</v>
      </c>
      <c r="Q115" s="49"/>
      <c r="R115" s="49">
        <f t="shared" si="69"/>
        <v>0</v>
      </c>
      <c r="S115" s="49">
        <f t="shared" si="70"/>
        <v>0</v>
      </c>
      <c r="T115" s="49"/>
      <c r="U115" s="49">
        <f t="shared" si="71"/>
        <v>0</v>
      </c>
      <c r="V115" s="49"/>
      <c r="W115" s="49">
        <f t="shared" si="72"/>
        <v>0</v>
      </c>
      <c r="X115" s="49"/>
      <c r="Y115" s="49">
        <f t="shared" si="73"/>
        <v>0</v>
      </c>
      <c r="Z115" s="49"/>
      <c r="AA115" s="49">
        <f t="shared" si="74"/>
        <v>0</v>
      </c>
      <c r="AB115" s="49">
        <f t="shared" si="75"/>
        <v>0</v>
      </c>
      <c r="AC115" s="29" t="str">
        <f>IF(ABS(AB115-F115)&lt;1,"ok","err")</f>
        <v>ok</v>
      </c>
    </row>
    <row r="116" spans="1:29" x14ac:dyDescent="0.2">
      <c r="A116" s="14" t="s">
        <v>432</v>
      </c>
      <c r="C116" s="14" t="s">
        <v>443</v>
      </c>
      <c r="D116" s="14" t="s">
        <v>40</v>
      </c>
      <c r="F116" s="255">
        <v>0</v>
      </c>
      <c r="G116" s="191"/>
      <c r="H116" s="49">
        <f t="shared" si="63"/>
        <v>0</v>
      </c>
      <c r="I116" s="49">
        <f t="shared" si="64"/>
        <v>0</v>
      </c>
      <c r="J116" s="49"/>
      <c r="K116" s="49">
        <f t="shared" si="65"/>
        <v>0</v>
      </c>
      <c r="L116" s="49"/>
      <c r="M116" s="49">
        <f t="shared" si="66"/>
        <v>0</v>
      </c>
      <c r="N116" s="49"/>
      <c r="O116" s="49">
        <f t="shared" si="67"/>
        <v>0</v>
      </c>
      <c r="P116" s="49">
        <f t="shared" si="68"/>
        <v>0</v>
      </c>
      <c r="Q116" s="49"/>
      <c r="R116" s="49">
        <f t="shared" si="69"/>
        <v>0</v>
      </c>
      <c r="S116" s="49">
        <f t="shared" si="70"/>
        <v>0</v>
      </c>
      <c r="T116" s="49"/>
      <c r="U116" s="49">
        <f t="shared" si="71"/>
        <v>0</v>
      </c>
      <c r="V116" s="49"/>
      <c r="W116" s="49">
        <f t="shared" si="72"/>
        <v>0</v>
      </c>
      <c r="X116" s="49"/>
      <c r="Y116" s="49">
        <f t="shared" si="73"/>
        <v>0</v>
      </c>
      <c r="Z116" s="49"/>
      <c r="AA116" s="49">
        <f t="shared" si="74"/>
        <v>0</v>
      </c>
      <c r="AB116" s="49">
        <f t="shared" si="75"/>
        <v>0</v>
      </c>
      <c r="AC116" s="29" t="str">
        <f t="shared" si="77"/>
        <v>ok</v>
      </c>
    </row>
    <row r="117" spans="1:29" x14ac:dyDescent="0.2">
      <c r="A117" s="14" t="s">
        <v>433</v>
      </c>
      <c r="C117" s="14" t="s">
        <v>444</v>
      </c>
      <c r="D117" s="14" t="s">
        <v>43</v>
      </c>
      <c r="F117" s="255">
        <v>0</v>
      </c>
      <c r="G117" s="191"/>
      <c r="H117" s="49">
        <f t="shared" si="63"/>
        <v>0</v>
      </c>
      <c r="I117" s="49">
        <f t="shared" si="64"/>
        <v>0</v>
      </c>
      <c r="J117" s="49"/>
      <c r="K117" s="49">
        <f t="shared" si="65"/>
        <v>0</v>
      </c>
      <c r="L117" s="49"/>
      <c r="M117" s="49">
        <f t="shared" si="66"/>
        <v>0</v>
      </c>
      <c r="N117" s="49"/>
      <c r="O117" s="49">
        <f t="shared" si="67"/>
        <v>0</v>
      </c>
      <c r="P117" s="49">
        <f t="shared" si="68"/>
        <v>0</v>
      </c>
      <c r="Q117" s="49"/>
      <c r="R117" s="49">
        <f t="shared" si="69"/>
        <v>0</v>
      </c>
      <c r="S117" s="49">
        <f t="shared" si="70"/>
        <v>0</v>
      </c>
      <c r="T117" s="49"/>
      <c r="U117" s="49">
        <f t="shared" si="71"/>
        <v>0</v>
      </c>
      <c r="V117" s="49"/>
      <c r="W117" s="49">
        <f t="shared" si="72"/>
        <v>0</v>
      </c>
      <c r="X117" s="49"/>
      <c r="Y117" s="49">
        <f t="shared" si="73"/>
        <v>0</v>
      </c>
      <c r="Z117" s="49"/>
      <c r="AA117" s="49">
        <f t="shared" si="74"/>
        <v>0</v>
      </c>
      <c r="AB117" s="49">
        <f t="shared" si="75"/>
        <v>0</v>
      </c>
      <c r="AC117" s="29" t="str">
        <f t="shared" si="77"/>
        <v>ok</v>
      </c>
    </row>
    <row r="118" spans="1:29" x14ac:dyDescent="0.2">
      <c r="A118" s="14" t="s">
        <v>434</v>
      </c>
      <c r="C118" s="14" t="s">
        <v>445</v>
      </c>
      <c r="D118" s="14" t="s">
        <v>46</v>
      </c>
      <c r="F118" s="255">
        <v>0</v>
      </c>
      <c r="G118" s="191"/>
      <c r="H118" s="49">
        <f t="shared" si="63"/>
        <v>0</v>
      </c>
      <c r="I118" s="49">
        <f t="shared" si="64"/>
        <v>0</v>
      </c>
      <c r="J118" s="49"/>
      <c r="K118" s="49">
        <f t="shared" si="65"/>
        <v>0</v>
      </c>
      <c r="L118" s="49"/>
      <c r="M118" s="49">
        <f t="shared" si="66"/>
        <v>0</v>
      </c>
      <c r="N118" s="49"/>
      <c r="O118" s="49">
        <f t="shared" si="67"/>
        <v>0</v>
      </c>
      <c r="P118" s="49">
        <f t="shared" si="68"/>
        <v>0</v>
      </c>
      <c r="Q118" s="49"/>
      <c r="R118" s="49">
        <f t="shared" si="69"/>
        <v>0</v>
      </c>
      <c r="S118" s="49">
        <f t="shared" si="70"/>
        <v>0</v>
      </c>
      <c r="T118" s="49"/>
      <c r="U118" s="49">
        <f t="shared" si="71"/>
        <v>0</v>
      </c>
      <c r="V118" s="49"/>
      <c r="W118" s="49">
        <f t="shared" si="72"/>
        <v>0</v>
      </c>
      <c r="X118" s="49"/>
      <c r="Y118" s="49">
        <f t="shared" si="73"/>
        <v>0</v>
      </c>
      <c r="Z118" s="49"/>
      <c r="AA118" s="49">
        <f t="shared" si="74"/>
        <v>0</v>
      </c>
      <c r="AB118" s="49">
        <f t="shared" si="75"/>
        <v>0</v>
      </c>
      <c r="AC118" s="29" t="str">
        <f t="shared" si="77"/>
        <v>ok</v>
      </c>
    </row>
    <row r="119" spans="1:29" x14ac:dyDescent="0.2">
      <c r="A119" s="14" t="s">
        <v>435</v>
      </c>
      <c r="C119" s="14" t="s">
        <v>446</v>
      </c>
      <c r="D119" s="14" t="s">
        <v>48</v>
      </c>
      <c r="F119" s="255">
        <v>0</v>
      </c>
      <c r="G119" s="191"/>
      <c r="H119" s="49">
        <f t="shared" si="63"/>
        <v>0</v>
      </c>
      <c r="I119" s="49">
        <f t="shared" si="64"/>
        <v>0</v>
      </c>
      <c r="J119" s="49"/>
      <c r="K119" s="49">
        <f t="shared" si="65"/>
        <v>0</v>
      </c>
      <c r="L119" s="49"/>
      <c r="M119" s="49">
        <f t="shared" si="66"/>
        <v>0</v>
      </c>
      <c r="N119" s="49"/>
      <c r="O119" s="49">
        <f t="shared" si="67"/>
        <v>0</v>
      </c>
      <c r="P119" s="49">
        <f t="shared" si="68"/>
        <v>0</v>
      </c>
      <c r="Q119" s="49"/>
      <c r="R119" s="49">
        <f t="shared" si="69"/>
        <v>0</v>
      </c>
      <c r="S119" s="49">
        <f t="shared" si="70"/>
        <v>0</v>
      </c>
      <c r="T119" s="49"/>
      <c r="U119" s="49">
        <f t="shared" si="71"/>
        <v>0</v>
      </c>
      <c r="V119" s="49"/>
      <c r="W119" s="49">
        <f t="shared" si="72"/>
        <v>0</v>
      </c>
      <c r="X119" s="49"/>
      <c r="Y119" s="49">
        <f t="shared" si="73"/>
        <v>0</v>
      </c>
      <c r="Z119" s="49"/>
      <c r="AA119" s="49">
        <f t="shared" si="74"/>
        <v>0</v>
      </c>
      <c r="AB119" s="49">
        <f t="shared" si="75"/>
        <v>0</v>
      </c>
      <c r="AC119" s="29" t="str">
        <f t="shared" si="77"/>
        <v>ok</v>
      </c>
    </row>
    <row r="120" spans="1:29" x14ac:dyDescent="0.2">
      <c r="A120" s="14" t="s">
        <v>836</v>
      </c>
      <c r="D120" s="14" t="s">
        <v>70</v>
      </c>
      <c r="F120" s="255">
        <v>0</v>
      </c>
      <c r="G120" s="191"/>
      <c r="H120" s="49">
        <f t="shared" si="63"/>
        <v>0</v>
      </c>
      <c r="I120" s="49">
        <f t="shared" si="64"/>
        <v>0</v>
      </c>
      <c r="J120" s="49"/>
      <c r="K120" s="49">
        <f t="shared" si="65"/>
        <v>0</v>
      </c>
      <c r="L120" s="49"/>
      <c r="M120" s="49">
        <f t="shared" si="66"/>
        <v>0</v>
      </c>
      <c r="N120" s="49"/>
      <c r="O120" s="49">
        <f t="shared" si="67"/>
        <v>0</v>
      </c>
      <c r="P120" s="49">
        <f t="shared" si="68"/>
        <v>0</v>
      </c>
      <c r="Q120" s="49"/>
      <c r="R120" s="49">
        <f t="shared" si="69"/>
        <v>0</v>
      </c>
      <c r="S120" s="49">
        <f t="shared" si="70"/>
        <v>0</v>
      </c>
      <c r="T120" s="49"/>
      <c r="U120" s="49">
        <f t="shared" si="71"/>
        <v>0</v>
      </c>
      <c r="V120" s="49"/>
      <c r="W120" s="49">
        <f t="shared" si="72"/>
        <v>0</v>
      </c>
      <c r="X120" s="49"/>
      <c r="Y120" s="49">
        <f t="shared" si="73"/>
        <v>0</v>
      </c>
      <c r="Z120" s="49"/>
      <c r="AA120" s="49">
        <f t="shared" si="74"/>
        <v>0</v>
      </c>
      <c r="AB120" s="49">
        <f t="shared" si="75"/>
        <v>0</v>
      </c>
      <c r="AC120" s="29" t="str">
        <f>IF(ABS(AB120-F120)&lt;1,"ok","err")</f>
        <v>ok</v>
      </c>
    </row>
    <row r="121" spans="1:29" x14ac:dyDescent="0.2">
      <c r="A121" s="171" t="s">
        <v>837</v>
      </c>
      <c r="D121" s="14" t="s">
        <v>70</v>
      </c>
      <c r="F121" s="255">
        <v>0</v>
      </c>
      <c r="G121" s="191"/>
      <c r="H121" s="49">
        <f t="shared" si="63"/>
        <v>0</v>
      </c>
      <c r="I121" s="49">
        <f t="shared" si="64"/>
        <v>0</v>
      </c>
      <c r="J121" s="49"/>
      <c r="K121" s="49">
        <f t="shared" si="65"/>
        <v>0</v>
      </c>
      <c r="L121" s="49"/>
      <c r="M121" s="49">
        <f t="shared" si="66"/>
        <v>0</v>
      </c>
      <c r="N121" s="49"/>
      <c r="O121" s="49">
        <f t="shared" si="67"/>
        <v>0</v>
      </c>
      <c r="P121" s="49">
        <f t="shared" si="68"/>
        <v>0</v>
      </c>
      <c r="Q121" s="49"/>
      <c r="R121" s="49">
        <f t="shared" si="69"/>
        <v>0</v>
      </c>
      <c r="S121" s="49">
        <f t="shared" si="70"/>
        <v>0</v>
      </c>
      <c r="T121" s="49"/>
      <c r="U121" s="49">
        <f t="shared" si="71"/>
        <v>0</v>
      </c>
      <c r="V121" s="49"/>
      <c r="W121" s="49">
        <f t="shared" si="72"/>
        <v>0</v>
      </c>
      <c r="X121" s="49"/>
      <c r="Y121" s="49">
        <f t="shared" si="73"/>
        <v>0</v>
      </c>
      <c r="Z121" s="49"/>
      <c r="AA121" s="49">
        <f t="shared" si="74"/>
        <v>0</v>
      </c>
      <c r="AB121" s="49">
        <f t="shared" si="75"/>
        <v>0</v>
      </c>
      <c r="AC121" s="29" t="str">
        <f>IF(ABS(AB121-F121)&lt;1,"ok","err")</f>
        <v>ok</v>
      </c>
    </row>
    <row r="122" spans="1:29" x14ac:dyDescent="0.2">
      <c r="A122" s="14" t="s">
        <v>838</v>
      </c>
      <c r="D122" s="14" t="s">
        <v>70</v>
      </c>
      <c r="F122" s="255">
        <v>0</v>
      </c>
      <c r="G122" s="191"/>
      <c r="H122" s="49">
        <f t="shared" si="63"/>
        <v>0</v>
      </c>
      <c r="I122" s="49">
        <f t="shared" si="64"/>
        <v>0</v>
      </c>
      <c r="J122" s="49"/>
      <c r="K122" s="49">
        <f t="shared" si="65"/>
        <v>0</v>
      </c>
      <c r="L122" s="49"/>
      <c r="M122" s="49">
        <f t="shared" si="66"/>
        <v>0</v>
      </c>
      <c r="N122" s="49"/>
      <c r="O122" s="49">
        <f t="shared" si="67"/>
        <v>0</v>
      </c>
      <c r="P122" s="49">
        <f t="shared" si="68"/>
        <v>0</v>
      </c>
      <c r="Q122" s="49"/>
      <c r="R122" s="49">
        <f t="shared" si="69"/>
        <v>0</v>
      </c>
      <c r="S122" s="49">
        <f t="shared" si="70"/>
        <v>0</v>
      </c>
      <c r="T122" s="49"/>
      <c r="U122" s="49">
        <f t="shared" si="71"/>
        <v>0</v>
      </c>
      <c r="V122" s="49"/>
      <c r="W122" s="49">
        <f t="shared" si="72"/>
        <v>0</v>
      </c>
      <c r="X122" s="49"/>
      <c r="Y122" s="49">
        <f t="shared" si="73"/>
        <v>0</v>
      </c>
      <c r="Z122" s="49"/>
      <c r="AA122" s="49">
        <f t="shared" si="74"/>
        <v>0</v>
      </c>
      <c r="AB122" s="49">
        <f t="shared" si="75"/>
        <v>0</v>
      </c>
      <c r="AC122" s="29" t="str">
        <f>IF(ABS(AB122-F122)&lt;1,"ok","err")</f>
        <v>ok</v>
      </c>
    </row>
    <row r="123" spans="1:29" x14ac:dyDescent="0.2">
      <c r="Q123" s="14"/>
      <c r="AB123" s="49"/>
      <c r="AC123" s="29"/>
    </row>
    <row r="124" spans="1:29" x14ac:dyDescent="0.2">
      <c r="A124" s="14" t="s">
        <v>835</v>
      </c>
      <c r="C124" s="14" t="s">
        <v>82</v>
      </c>
      <c r="F124" s="256">
        <f>SUM(F104:F122)</f>
        <v>71091.62</v>
      </c>
      <c r="G124" s="90"/>
      <c r="H124" s="90">
        <f>SUM(H104:H122)</f>
        <v>0</v>
      </c>
      <c r="I124" s="90">
        <f>SUM(I104:I122)</f>
        <v>0</v>
      </c>
      <c r="J124" s="90"/>
      <c r="K124" s="90">
        <f>SUM(K104:K122)</f>
        <v>0</v>
      </c>
      <c r="L124" s="90"/>
      <c r="M124" s="90">
        <f>SUM(M104:M122)</f>
        <v>9155.3326149738223</v>
      </c>
      <c r="N124" s="90"/>
      <c r="O124" s="90">
        <f>SUM(O104:O122)</f>
        <v>19906.783103311853</v>
      </c>
      <c r="P124" s="90">
        <f>SUM(P104:P122)</f>
        <v>33925.226295164641</v>
      </c>
      <c r="Q124" s="90"/>
      <c r="R124" s="90">
        <f>SUM(R104:R122)</f>
        <v>0</v>
      </c>
      <c r="S124" s="90">
        <f>SUM(S104:S122)</f>
        <v>2738.8412381156763</v>
      </c>
      <c r="T124" s="90"/>
      <c r="U124" s="90">
        <f>SUM(U104:U122)</f>
        <v>2705.6099915829277</v>
      </c>
      <c r="V124" s="90"/>
      <c r="W124" s="90">
        <f>SUM(W104:W122)</f>
        <v>2659.8267568510805</v>
      </c>
      <c r="X124" s="90"/>
      <c r="Y124" s="90">
        <f>SUM(Y104:Y122)</f>
        <v>0</v>
      </c>
      <c r="Z124" s="90"/>
      <c r="AA124" s="90">
        <f>SUM(AA104:AA122)</f>
        <v>0</v>
      </c>
      <c r="AB124" s="49">
        <f>SUM(H124:AA124)</f>
        <v>71091.62</v>
      </c>
      <c r="AC124" s="29" t="str">
        <f>IF(ABS(AB124-F124)&lt;1,"ok","err")</f>
        <v>ok</v>
      </c>
    </row>
    <row r="125" spans="1:29" x14ac:dyDescent="0.2"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49"/>
      <c r="AC125" s="29"/>
    </row>
    <row r="126" spans="1:29" x14ac:dyDescent="0.2">
      <c r="A126" s="27" t="s">
        <v>83</v>
      </c>
      <c r="C126" s="14" t="s">
        <v>84</v>
      </c>
      <c r="F126" s="256">
        <f>F101-F124</f>
        <v>150922684.47999999</v>
      </c>
      <c r="G126" s="90"/>
      <c r="H126" s="90">
        <f>H101-H124</f>
        <v>0</v>
      </c>
      <c r="I126" s="90">
        <f>I101-I124</f>
        <v>0</v>
      </c>
      <c r="J126" s="90"/>
      <c r="K126" s="90">
        <f>K101-K124</f>
        <v>0</v>
      </c>
      <c r="L126" s="90"/>
      <c r="M126" s="90">
        <f>M101-M124</f>
        <v>19436149.795983654</v>
      </c>
      <c r="N126" s="90"/>
      <c r="O126" s="90">
        <f>O101-O124</f>
        <v>42260749.51327499</v>
      </c>
      <c r="P126" s="90">
        <f>P101-P124</f>
        <v>72020953.01890339</v>
      </c>
      <c r="Q126" s="90"/>
      <c r="R126" s="90">
        <f>R101-R124</f>
        <v>0</v>
      </c>
      <c r="S126" s="90">
        <f>S101-S124</f>
        <v>5814374.0713876653</v>
      </c>
      <c r="T126" s="90"/>
      <c r="U126" s="90">
        <f>U101-U124</f>
        <v>5743826.3903059978</v>
      </c>
      <c r="V126" s="90"/>
      <c r="W126" s="90">
        <f>W101-W124</f>
        <v>5646631.6901443135</v>
      </c>
      <c r="X126" s="90"/>
      <c r="Y126" s="90">
        <f>Y101-Y124</f>
        <v>0</v>
      </c>
      <c r="Z126" s="90"/>
      <c r="AA126" s="90">
        <f>AA101-AA124</f>
        <v>0</v>
      </c>
      <c r="AB126" s="49">
        <f>SUM(H126:AA126)</f>
        <v>150922684.47999999</v>
      </c>
      <c r="AC126" s="29" t="str">
        <f>IF(ABS(AB126-F126)&lt;1,"ok","err")</f>
        <v>ok</v>
      </c>
    </row>
    <row r="127" spans="1:29" x14ac:dyDescent="0.2">
      <c r="Q127" s="14"/>
      <c r="AC127" s="29"/>
    </row>
    <row r="128" spans="1:29" x14ac:dyDescent="0.2">
      <c r="A128" s="27" t="s">
        <v>85</v>
      </c>
      <c r="Q128" s="14"/>
      <c r="AC128" s="29"/>
    </row>
    <row r="129" spans="1:29" x14ac:dyDescent="0.2">
      <c r="A129" s="14" t="s">
        <v>413</v>
      </c>
      <c r="C129" s="14" t="s">
        <v>87</v>
      </c>
      <c r="D129" s="14" t="s">
        <v>88</v>
      </c>
      <c r="F129" s="254">
        <f>0.125*(F285-F180)</f>
        <v>1538212.3825000003</v>
      </c>
      <c r="G129" s="65"/>
      <c r="H129" s="65">
        <f>0.125*(H285-H180)</f>
        <v>0</v>
      </c>
      <c r="I129" s="65">
        <f>0.125*(I285-I180)</f>
        <v>0</v>
      </c>
      <c r="J129" s="65"/>
      <c r="K129" s="65">
        <f>0.125*(K285-K180)</f>
        <v>0</v>
      </c>
      <c r="L129" s="65"/>
      <c r="M129" s="65">
        <f>0.125*(M285-M180)</f>
        <v>94579.079019065699</v>
      </c>
      <c r="N129" s="65"/>
      <c r="O129" s="65">
        <f>0.125*(O285-O180)</f>
        <v>392439.55193512881</v>
      </c>
      <c r="P129" s="65">
        <f>0.125*(P285-P180)</f>
        <v>687195.07304329786</v>
      </c>
      <c r="Q129" s="65"/>
      <c r="R129" s="65">
        <f>0.125*(R285-R180)</f>
        <v>0</v>
      </c>
      <c r="S129" s="65">
        <f>0.125*(S285-S180)</f>
        <v>28260.311990559007</v>
      </c>
      <c r="T129" s="65"/>
      <c r="U129" s="65">
        <f>0.125*(U285-U180)</f>
        <v>67325.176578364277</v>
      </c>
      <c r="V129" s="65"/>
      <c r="W129" s="65">
        <f>0.125*(W285-W180)</f>
        <v>18212.165289477838</v>
      </c>
      <c r="X129" s="65"/>
      <c r="Y129" s="65">
        <f>0.125*(Y285-Y180)</f>
        <v>251146.11187126575</v>
      </c>
      <c r="Z129" s="65"/>
      <c r="AA129" s="65">
        <f>0.125*(AA285-AA180)</f>
        <v>-945.08722715912745</v>
      </c>
      <c r="AB129" s="49">
        <f>SUM(H129:AA129)</f>
        <v>1538212.3825000003</v>
      </c>
      <c r="AC129" s="29" t="str">
        <f>IF(ABS(AB129-F129)&lt;1,"ok","err")</f>
        <v>ok</v>
      </c>
    </row>
    <row r="130" spans="1:29" x14ac:dyDescent="0.2">
      <c r="A130" s="14" t="s">
        <v>955</v>
      </c>
      <c r="C130" s="14" t="s">
        <v>396</v>
      </c>
      <c r="D130" s="14" t="s">
        <v>72</v>
      </c>
      <c r="F130" s="255">
        <v>1314688.1746153845</v>
      </c>
      <c r="G130" s="191"/>
      <c r="H130" s="49">
        <f>IF(VLOOKUP($D130,$C$5:$AA$496,6,)=0,0,((VLOOKUP($D130,$C$5:$AA$496,6,)/VLOOKUP($D130,$C$5:$AA$496,4,))*$F130))</f>
        <v>0</v>
      </c>
      <c r="I130" s="49">
        <f>IF(VLOOKUP($D130,$C$5:$AA$496,7,)=0,0,((VLOOKUP($D130,$C$5:$AA$496,7,)/VLOOKUP($D130,$C$5:$AA$496,4,))*$F130))</f>
        <v>0</v>
      </c>
      <c r="J130" s="49"/>
      <c r="K130" s="49">
        <f>IF(VLOOKUP($D130,$C$5:$AA$496,9,)=0,0,((VLOOKUP($D130,$C$5:$AA$496,9,)/VLOOKUP($D130,$C$5:$AA$496,4,))*$F130))</f>
        <v>0</v>
      </c>
      <c r="L130" s="49"/>
      <c r="M130" s="49">
        <f>IF(VLOOKUP($D130,$C$5:$AA$496,11,)=0,0,((VLOOKUP($D130,$C$5:$AA$496,11,)/VLOOKUP($D130,$C$5:$AA$496,4,))*$F130))</f>
        <v>169308.3871710425</v>
      </c>
      <c r="N130" s="49"/>
      <c r="O130" s="49">
        <f>IF(VLOOKUP($D130,$C$5:$AA$496,13,)=0,0,((VLOOKUP($D130,$C$5:$AA$496,13,)/VLOOKUP($D130,$C$5:$AA$496,4,))*$F130))</f>
        <v>368133.57665161439</v>
      </c>
      <c r="P130" s="49">
        <f>IF(VLOOKUP($D130,$C$5:$AA$496,14,)=0,0,((VLOOKUP($D130,$C$5:$AA$496,14,)/VLOOKUP($D130,$C$5:$AA$496,4,))*$F130))</f>
        <v>627374.84152708645</v>
      </c>
      <c r="Q130" s="49"/>
      <c r="R130" s="49">
        <f>IF(VLOOKUP($D130,$C$5:$AA$496,16,)=0,0,((VLOOKUP($D130,$C$5:$AA$496,16,)/VLOOKUP($D130,$C$5:$AA$496,4,))*$F130))</f>
        <v>0</v>
      </c>
      <c r="S130" s="49">
        <f>IF(VLOOKUP($D130,$C$5:$AA$496,17,)=0,0,((VLOOKUP($D130,$C$5:$AA$496,17,)/VLOOKUP($D130,$C$5:$AA$496,4,))*$F130))</f>
        <v>50649.038352194511</v>
      </c>
      <c r="T130" s="49"/>
      <c r="U130" s="49">
        <f>IF(VLOOKUP($D130,$C$5:$AA$496,19,)=0,0,((VLOOKUP($D130,$C$5:$AA$496,19,)/VLOOKUP($D130,$C$5:$AA$496,4,))*$F130))</f>
        <v>50034.497189054142</v>
      </c>
      <c r="V130" s="49"/>
      <c r="W130" s="49">
        <f>IF(VLOOKUP($D130,$C$5:$AA$496,21,)=0,0,((VLOOKUP($D130,$C$5:$AA$496,21,)/VLOOKUP($D130,$C$5:$AA$496,4,))*$F130))</f>
        <v>49187.833724392622</v>
      </c>
      <c r="X130" s="49"/>
      <c r="Y130" s="49">
        <f>IF(VLOOKUP($D130,$C$5:$AA$496,23,)=0,0,((VLOOKUP($D130,$C$5:$AA$496,23,)/VLOOKUP($D130,$C$5:$AA$496,4,))*$F130))</f>
        <v>0</v>
      </c>
      <c r="Z130" s="49"/>
      <c r="AA130" s="49">
        <f>IF(VLOOKUP($D130,$C$5:$AA$496,25,)=0,0,((VLOOKUP($D130,$C$5:$AA$496,25,)/VLOOKUP($D130,$C$5:$AA$496,4,))*$F130))</f>
        <v>0</v>
      </c>
      <c r="AB130" s="49">
        <f>SUM(H130:AA130)</f>
        <v>1314688.1746153845</v>
      </c>
      <c r="AC130" s="29" t="str">
        <f>IF(ABS(AB130-F130)&lt;1,"ok","err")</f>
        <v>ok</v>
      </c>
    </row>
    <row r="131" spans="1:29" x14ac:dyDescent="0.2">
      <c r="A131" s="14" t="s">
        <v>956</v>
      </c>
      <c r="C131" s="14" t="s">
        <v>89</v>
      </c>
      <c r="D131" s="14" t="s">
        <v>72</v>
      </c>
      <c r="F131" s="255">
        <v>206896.5</v>
      </c>
      <c r="G131" s="191"/>
      <c r="H131" s="49">
        <f>IF(VLOOKUP($D131,$C$5:$AA$496,6,)=0,0,((VLOOKUP($D131,$C$5:$AA$496,6,)/VLOOKUP($D131,$C$5:$AA$496,4,))*$F131))</f>
        <v>0</v>
      </c>
      <c r="I131" s="49">
        <f>IF(VLOOKUP($D131,$C$5:$AA$496,7,)=0,0,((VLOOKUP($D131,$C$5:$AA$496,7,)/VLOOKUP($D131,$C$5:$AA$496,4,))*$F131))</f>
        <v>0</v>
      </c>
      <c r="J131" s="49"/>
      <c r="K131" s="49">
        <f>IF(VLOOKUP($D131,$C$5:$AA$496,9,)=0,0,((VLOOKUP($D131,$C$5:$AA$496,9,)/VLOOKUP($D131,$C$5:$AA$496,4,))*$F131))</f>
        <v>0</v>
      </c>
      <c r="L131" s="49"/>
      <c r="M131" s="49">
        <f>IF(VLOOKUP($D131,$C$5:$AA$496,11,)=0,0,((VLOOKUP($D131,$C$5:$AA$496,11,)/VLOOKUP($D131,$C$5:$AA$496,4,))*$F131))</f>
        <v>26644.578845916454</v>
      </c>
      <c r="N131" s="49"/>
      <c r="O131" s="49">
        <f>IF(VLOOKUP($D131,$C$5:$AA$496,13,)=0,0,((VLOOKUP($D131,$C$5:$AA$496,13,)/VLOOKUP($D131,$C$5:$AA$496,4,))*$F131))</f>
        <v>57934.307170582986</v>
      </c>
      <c r="P131" s="49">
        <f>IF(VLOOKUP($D131,$C$5:$AA$496,14,)=0,0,((VLOOKUP($D131,$C$5:$AA$496,14,)/VLOOKUP($D131,$C$5:$AA$496,4,))*$F131))</f>
        <v>98731.898108068592</v>
      </c>
      <c r="Q131" s="49"/>
      <c r="R131" s="49">
        <f>IF(VLOOKUP($D131,$C$5:$AA$496,16,)=0,0,((VLOOKUP($D131,$C$5:$AA$496,16,)/VLOOKUP($D131,$C$5:$AA$496,4,))*$F131))</f>
        <v>0</v>
      </c>
      <c r="S131" s="49">
        <f>IF(VLOOKUP($D131,$C$5:$AA$496,17,)=0,0,((VLOOKUP($D131,$C$5:$AA$496,17,)/VLOOKUP($D131,$C$5:$AA$496,4,))*$F131))</f>
        <v>7970.794113593136</v>
      </c>
      <c r="T131" s="49"/>
      <c r="U131" s="49">
        <f>IF(VLOOKUP($D131,$C$5:$AA$496,19,)=0,0,((VLOOKUP($D131,$C$5:$AA$496,19,)/VLOOKUP($D131,$C$5:$AA$496,4,))*$F131))</f>
        <v>7874.0818907142257</v>
      </c>
      <c r="V131" s="49"/>
      <c r="W131" s="49">
        <f>IF(VLOOKUP($D131,$C$5:$AA$496,21,)=0,0,((VLOOKUP($D131,$C$5:$AA$496,21,)/VLOOKUP($D131,$C$5:$AA$496,4,))*$F131))</f>
        <v>7740.8398711246064</v>
      </c>
      <c r="X131" s="49"/>
      <c r="Y131" s="49">
        <f>IF(VLOOKUP($D131,$C$5:$AA$496,23,)=0,0,((VLOOKUP($D131,$C$5:$AA$496,23,)/VLOOKUP($D131,$C$5:$AA$496,4,))*$F131))</f>
        <v>0</v>
      </c>
      <c r="Z131" s="49"/>
      <c r="AA131" s="49">
        <f>IF(VLOOKUP($D131,$C$5:$AA$496,25,)=0,0,((VLOOKUP($D131,$C$5:$AA$496,25,)/VLOOKUP($D131,$C$5:$AA$496,4,))*$F131))</f>
        <v>0</v>
      </c>
      <c r="AB131" s="49">
        <f>SUM(H131:AA131)</f>
        <v>206896.50000000003</v>
      </c>
      <c r="AC131" s="29" t="str">
        <f>IF(ABS(AB131-F131)&lt;1,"ok","err")</f>
        <v>ok</v>
      </c>
    </row>
    <row r="132" spans="1:29" x14ac:dyDescent="0.2">
      <c r="Q132" s="14"/>
      <c r="AB132" s="49"/>
      <c r="AC132" s="29"/>
    </row>
    <row r="133" spans="1:29" x14ac:dyDescent="0.2">
      <c r="A133" s="93" t="s">
        <v>90</v>
      </c>
      <c r="C133" s="14" t="s">
        <v>91</v>
      </c>
      <c r="F133" s="256">
        <f>SUM(F129:F132)</f>
        <v>3059797.0571153848</v>
      </c>
      <c r="G133" s="90"/>
      <c r="H133" s="90">
        <f t="shared" ref="H133:W133" si="78">SUM(H129:H132)</f>
        <v>0</v>
      </c>
      <c r="I133" s="90">
        <f t="shared" si="78"/>
        <v>0</v>
      </c>
      <c r="J133" s="90"/>
      <c r="K133" s="90">
        <f t="shared" si="78"/>
        <v>0</v>
      </c>
      <c r="L133" s="90"/>
      <c r="M133" s="90">
        <f t="shared" si="78"/>
        <v>290532.04503602465</v>
      </c>
      <c r="N133" s="90"/>
      <c r="O133" s="90">
        <f t="shared" si="78"/>
        <v>818507.4357573262</v>
      </c>
      <c r="P133" s="90">
        <f t="shared" si="78"/>
        <v>1413301.8126784528</v>
      </c>
      <c r="Q133" s="90"/>
      <c r="R133" s="90">
        <f t="shared" si="78"/>
        <v>0</v>
      </c>
      <c r="S133" s="90">
        <f t="shared" si="78"/>
        <v>86880.14445634665</v>
      </c>
      <c r="T133" s="90"/>
      <c r="U133" s="90">
        <f t="shared" si="78"/>
        <v>125233.75565813265</v>
      </c>
      <c r="V133" s="90"/>
      <c r="W133" s="90">
        <f t="shared" si="78"/>
        <v>75140.838884995072</v>
      </c>
      <c r="X133" s="90"/>
      <c r="Y133" s="90">
        <f>SUM(Y129:Y132)</f>
        <v>251146.11187126575</v>
      </c>
      <c r="Z133" s="90"/>
      <c r="AA133" s="90">
        <f>SUM(AA129:AA132)</f>
        <v>-945.08722715912745</v>
      </c>
      <c r="AB133" s="49">
        <f>SUM(H133:AA133)</f>
        <v>3059797.0571153844</v>
      </c>
      <c r="AC133" s="29" t="str">
        <f>IF(ABS(AB133-F133)&lt;1,"ok","err")</f>
        <v>ok</v>
      </c>
    </row>
    <row r="134" spans="1:29" x14ac:dyDescent="0.2">
      <c r="Q134" s="14"/>
      <c r="AC134" s="29"/>
    </row>
    <row r="135" spans="1:29" hidden="1" x14ac:dyDescent="0.2">
      <c r="A135" s="27" t="s">
        <v>935</v>
      </c>
      <c r="Q135" s="14"/>
      <c r="AC135" s="29"/>
    </row>
    <row r="136" spans="1:29" hidden="1" x14ac:dyDescent="0.2">
      <c r="A136" s="32">
        <v>1</v>
      </c>
      <c r="C136" s="14" t="s">
        <v>936</v>
      </c>
      <c r="D136" s="14" t="s">
        <v>16</v>
      </c>
      <c r="F136" s="254">
        <v>0</v>
      </c>
      <c r="G136" s="65"/>
      <c r="H136" s="49">
        <f>IF(VLOOKUP($D136,$C$5:$AA$496,6,)=0,0,((VLOOKUP($D136,$C$5:$AA$496,6,)/VLOOKUP($D136,$C$5:$AA$496,4,))*$F136))</f>
        <v>0</v>
      </c>
      <c r="I136" s="49">
        <f>IF(VLOOKUP($D136,$C$5:$AA$496,7,)=0,0,((VLOOKUP($D136,$C$5:$AA$496,7,)/VLOOKUP($D136,$C$5:$AA$496,4,))*$F136))</f>
        <v>0</v>
      </c>
      <c r="J136" s="49"/>
      <c r="K136" s="49">
        <f>IF(VLOOKUP($D136,$C$5:$AA$496,9,)=0,0,((VLOOKUP($D136,$C$5:$AA$496,9,)/VLOOKUP($D136,$C$5:$AA$496,4,))*$F136))</f>
        <v>0</v>
      </c>
      <c r="L136" s="49"/>
      <c r="M136" s="49">
        <f>IF(VLOOKUP($D136,$C$5:$AA$496,11,)=0,0,((VLOOKUP($D136,$C$5:$AA$496,11,)/VLOOKUP($D136,$C$5:$AA$496,4,))*$F136))</f>
        <v>0</v>
      </c>
      <c r="N136" s="49"/>
      <c r="O136" s="49">
        <f>IF(VLOOKUP($D136,$C$5:$AA$496,13,)=0,0,((VLOOKUP($D136,$C$5:$AA$496,13,)/VLOOKUP($D136,$C$5:$AA$496,4,))*$F136))</f>
        <v>0</v>
      </c>
      <c r="P136" s="49">
        <f>IF(VLOOKUP($D136,$C$5:$AA$496,14,)=0,0,((VLOOKUP($D136,$C$5:$AA$496,14,)/VLOOKUP($D136,$C$5:$AA$496,4,))*$F136))</f>
        <v>0</v>
      </c>
      <c r="Q136" s="49"/>
      <c r="R136" s="49">
        <f>IF(VLOOKUP($D136,$C$5:$AA$496,16,)=0,0,((VLOOKUP($D136,$C$5:$AA$496,16,)/VLOOKUP($D136,$C$5:$AA$496,4,))*$F136))</f>
        <v>0</v>
      </c>
      <c r="S136" s="49">
        <f>IF(VLOOKUP($D136,$C$5:$AA$496,17,)=0,0,((VLOOKUP($D136,$C$5:$AA$496,17,)/VLOOKUP($D136,$C$5:$AA$496,4,))*$F136))</f>
        <v>0</v>
      </c>
      <c r="T136" s="49"/>
      <c r="U136" s="49">
        <f>IF(VLOOKUP($D136,$C$5:$AA$496,19,)=0,0,((VLOOKUP($D136,$C$5:$AA$496,19,)/VLOOKUP($D136,$C$5:$AA$496,4,))*$F136))</f>
        <v>0</v>
      </c>
      <c r="V136" s="49"/>
      <c r="W136" s="49">
        <f>IF(VLOOKUP($D136,$C$5:$AA$496,21,)=0,0,((VLOOKUP($D136,$C$5:$AA$496,21,)/VLOOKUP($D136,$C$5:$AA$496,4,))*$F136))</f>
        <v>0</v>
      </c>
      <c r="X136" s="49"/>
      <c r="Y136" s="49">
        <f>IF(VLOOKUP($D136,$C$5:$AA$496,23,)=0,0,((VLOOKUP($D136,$C$5:$AA$496,23,)/VLOOKUP($D136,$C$5:$AA$496,4,))*$F136))</f>
        <v>0</v>
      </c>
      <c r="Z136" s="49"/>
      <c r="AA136" s="49">
        <f>IF(VLOOKUP($D136,$C$5:$AA$496,25,)=0,0,((VLOOKUP($D136,$C$5:$AA$496,25,)/VLOOKUP($D136,$C$5:$AA$496,4,))*$F136))</f>
        <v>0</v>
      </c>
      <c r="AB136" s="49">
        <f>SUM(H136:AA136)</f>
        <v>0</v>
      </c>
      <c r="AC136" s="29" t="str">
        <f>IF(ABS(AB136-F136)&lt;1,"ok","err")</f>
        <v>ok</v>
      </c>
    </row>
    <row r="137" spans="1:29" hidden="1" x14ac:dyDescent="0.2">
      <c r="A137" s="32">
        <v>2</v>
      </c>
      <c r="C137" s="14" t="s">
        <v>937</v>
      </c>
      <c r="D137" s="14" t="s">
        <v>16</v>
      </c>
      <c r="F137" s="254">
        <v>0</v>
      </c>
      <c r="G137" s="65"/>
      <c r="H137" s="49">
        <f>IF(VLOOKUP($D137,$C$5:$AA$496,6,)=0,0,((VLOOKUP($D137,$C$5:$AA$496,6,)/VLOOKUP($D137,$C$5:$AA$496,4,))*$F137))</f>
        <v>0</v>
      </c>
      <c r="I137" s="49">
        <f>IF(VLOOKUP($D137,$C$5:$AA$496,7,)=0,0,((VLOOKUP($D137,$C$5:$AA$496,7,)/VLOOKUP($D137,$C$5:$AA$496,4,))*$F137))</f>
        <v>0</v>
      </c>
      <c r="J137" s="49"/>
      <c r="K137" s="49">
        <f>IF(VLOOKUP($D137,$C$5:$AA$496,9,)=0,0,((VLOOKUP($D137,$C$5:$AA$496,9,)/VLOOKUP($D137,$C$5:$AA$496,4,))*$F137))</f>
        <v>0</v>
      </c>
      <c r="L137" s="49"/>
      <c r="M137" s="49">
        <f>IF(VLOOKUP($D137,$C$5:$AA$496,11,)=0,0,((VLOOKUP($D137,$C$5:$AA$496,11,)/VLOOKUP($D137,$C$5:$AA$496,4,))*$F137))</f>
        <v>0</v>
      </c>
      <c r="N137" s="49"/>
      <c r="O137" s="49">
        <f>IF(VLOOKUP($D137,$C$5:$AA$496,13,)=0,0,((VLOOKUP($D137,$C$5:$AA$496,13,)/VLOOKUP($D137,$C$5:$AA$496,4,))*$F137))</f>
        <v>0</v>
      </c>
      <c r="P137" s="49">
        <f>IF(VLOOKUP($D137,$C$5:$AA$496,14,)=0,0,((VLOOKUP($D137,$C$5:$AA$496,14,)/VLOOKUP($D137,$C$5:$AA$496,4,))*$F137))</f>
        <v>0</v>
      </c>
      <c r="Q137" s="49"/>
      <c r="R137" s="49">
        <f>IF(VLOOKUP($D137,$C$5:$AA$496,16,)=0,0,((VLOOKUP($D137,$C$5:$AA$496,16,)/VLOOKUP($D137,$C$5:$AA$496,4,))*$F137))</f>
        <v>0</v>
      </c>
      <c r="S137" s="49">
        <f>IF(VLOOKUP($D137,$C$5:$AA$496,17,)=0,0,((VLOOKUP($D137,$C$5:$AA$496,17,)/VLOOKUP($D137,$C$5:$AA$496,4,))*$F137))</f>
        <v>0</v>
      </c>
      <c r="T137" s="49"/>
      <c r="U137" s="49">
        <f>IF(VLOOKUP($D137,$C$5:$AA$496,19,)=0,0,((VLOOKUP($D137,$C$5:$AA$496,19,)/VLOOKUP($D137,$C$5:$AA$496,4,))*$F137))</f>
        <v>0</v>
      </c>
      <c r="V137" s="49"/>
      <c r="W137" s="49">
        <f>IF(VLOOKUP($D137,$C$5:$AA$496,21,)=0,0,((VLOOKUP($D137,$C$5:$AA$496,21,)/VLOOKUP($D137,$C$5:$AA$496,4,))*$F137))</f>
        <v>0</v>
      </c>
      <c r="X137" s="49"/>
      <c r="Y137" s="49">
        <f>IF(VLOOKUP($D137,$C$5:$AA$496,23,)=0,0,((VLOOKUP($D137,$C$5:$AA$496,23,)/VLOOKUP($D137,$C$5:$AA$496,4,))*$F137))</f>
        <v>0</v>
      </c>
      <c r="Z137" s="49"/>
      <c r="AA137" s="49">
        <f>IF(VLOOKUP($D137,$C$5:$AA$496,25,)=0,0,((VLOOKUP($D137,$C$5:$AA$496,25,)/VLOOKUP($D137,$C$5:$AA$496,4,))*$F137))</f>
        <v>0</v>
      </c>
      <c r="AB137" s="49">
        <f>SUM(H137:AA137)</f>
        <v>0</v>
      </c>
      <c r="AC137" s="29" t="str">
        <f>IF(ABS(AB137-F137)&lt;1,"ok","err")</f>
        <v>ok</v>
      </c>
    </row>
    <row r="138" spans="1:29" hidden="1" x14ac:dyDescent="0.2">
      <c r="A138" s="32">
        <v>3</v>
      </c>
      <c r="C138" s="14" t="s">
        <v>938</v>
      </c>
      <c r="D138" s="14" t="s">
        <v>16</v>
      </c>
      <c r="F138" s="254">
        <v>0</v>
      </c>
      <c r="G138" s="65"/>
      <c r="H138" s="49">
        <f>IF(VLOOKUP($D138,$C$5:$AA$496,6,)=0,0,((VLOOKUP($D138,$C$5:$AA$496,6,)/VLOOKUP($D138,$C$5:$AA$496,4,))*$F138))</f>
        <v>0</v>
      </c>
      <c r="I138" s="49">
        <f>IF(VLOOKUP($D138,$C$5:$AA$496,7,)=0,0,((VLOOKUP($D138,$C$5:$AA$496,7,)/VLOOKUP($D138,$C$5:$AA$496,4,))*$F138))</f>
        <v>0</v>
      </c>
      <c r="J138" s="49"/>
      <c r="K138" s="49">
        <f>IF(VLOOKUP($D138,$C$5:$AA$496,9,)=0,0,((VLOOKUP($D138,$C$5:$AA$496,9,)/VLOOKUP($D138,$C$5:$AA$496,4,))*$F138))</f>
        <v>0</v>
      </c>
      <c r="L138" s="49"/>
      <c r="M138" s="49">
        <f>IF(VLOOKUP($D138,$C$5:$AA$496,11,)=0,0,((VLOOKUP($D138,$C$5:$AA$496,11,)/VLOOKUP($D138,$C$5:$AA$496,4,))*$F138))</f>
        <v>0</v>
      </c>
      <c r="N138" s="49"/>
      <c r="O138" s="49">
        <f>IF(VLOOKUP($D138,$C$5:$AA$496,13,)=0,0,((VLOOKUP($D138,$C$5:$AA$496,13,)/VLOOKUP($D138,$C$5:$AA$496,4,))*$F138))</f>
        <v>0</v>
      </c>
      <c r="P138" s="49">
        <f>IF(VLOOKUP($D138,$C$5:$AA$496,14,)=0,0,((VLOOKUP($D138,$C$5:$AA$496,14,)/VLOOKUP($D138,$C$5:$AA$496,4,))*$F138))</f>
        <v>0</v>
      </c>
      <c r="Q138" s="49"/>
      <c r="R138" s="49">
        <f>IF(VLOOKUP($D138,$C$5:$AA$496,16,)=0,0,((VLOOKUP($D138,$C$5:$AA$496,16,)/VLOOKUP($D138,$C$5:$AA$496,4,))*$F138))</f>
        <v>0</v>
      </c>
      <c r="S138" s="49">
        <f>IF(VLOOKUP($D138,$C$5:$AA$496,17,)=0,0,((VLOOKUP($D138,$C$5:$AA$496,17,)/VLOOKUP($D138,$C$5:$AA$496,4,))*$F138))</f>
        <v>0</v>
      </c>
      <c r="T138" s="49"/>
      <c r="U138" s="49">
        <f>IF(VLOOKUP($D138,$C$5:$AA$496,19,)=0,0,((VLOOKUP($D138,$C$5:$AA$496,19,)/VLOOKUP($D138,$C$5:$AA$496,4,))*$F138))</f>
        <v>0</v>
      </c>
      <c r="V138" s="49"/>
      <c r="W138" s="49">
        <f>IF(VLOOKUP($D138,$C$5:$AA$496,21,)=0,0,((VLOOKUP($D138,$C$5:$AA$496,21,)/VLOOKUP($D138,$C$5:$AA$496,4,))*$F138))</f>
        <v>0</v>
      </c>
      <c r="X138" s="49"/>
      <c r="Y138" s="49">
        <f>IF(VLOOKUP($D138,$C$5:$AA$496,23,)=0,0,((VLOOKUP($D138,$C$5:$AA$496,23,)/VLOOKUP($D138,$C$5:$AA$496,4,))*$F138))</f>
        <v>0</v>
      </c>
      <c r="Z138" s="49"/>
      <c r="AA138" s="49">
        <f>IF(VLOOKUP($D138,$C$5:$AA$496,25,)=0,0,((VLOOKUP($D138,$C$5:$AA$496,25,)/VLOOKUP($D138,$C$5:$AA$496,4,))*$F138))</f>
        <v>0</v>
      </c>
      <c r="AB138" s="49">
        <f>SUM(H138:AA138)</f>
        <v>0</v>
      </c>
      <c r="AC138" s="29" t="str">
        <f>IF(ABS(AB138-F138)&lt;1,"ok","err")</f>
        <v>ok</v>
      </c>
    </row>
    <row r="139" spans="1:29" hidden="1" x14ac:dyDescent="0.2">
      <c r="A139" s="32">
        <v>4</v>
      </c>
      <c r="C139" s="14" t="s">
        <v>939</v>
      </c>
      <c r="D139" s="14" t="s">
        <v>16</v>
      </c>
      <c r="F139" s="254">
        <v>0</v>
      </c>
      <c r="G139" s="65"/>
      <c r="H139" s="49">
        <f>IF(VLOOKUP($D139,$C$5:$AA$496,6,)=0,0,((VLOOKUP($D139,$C$5:$AA$496,6,)/VLOOKUP($D139,$C$5:$AA$496,4,))*$F139))</f>
        <v>0</v>
      </c>
      <c r="I139" s="49">
        <f>IF(VLOOKUP($D139,$C$5:$AA$496,7,)=0,0,((VLOOKUP($D139,$C$5:$AA$496,7,)/VLOOKUP($D139,$C$5:$AA$496,4,))*$F139))</f>
        <v>0</v>
      </c>
      <c r="J139" s="49"/>
      <c r="K139" s="49">
        <f>IF(VLOOKUP($D139,$C$5:$AA$496,9,)=0,0,((VLOOKUP($D139,$C$5:$AA$496,9,)/VLOOKUP($D139,$C$5:$AA$496,4,))*$F139))</f>
        <v>0</v>
      </c>
      <c r="L139" s="49"/>
      <c r="M139" s="49">
        <f>IF(VLOOKUP($D139,$C$5:$AA$496,11,)=0,0,((VLOOKUP($D139,$C$5:$AA$496,11,)/VLOOKUP($D139,$C$5:$AA$496,4,))*$F139))</f>
        <v>0</v>
      </c>
      <c r="N139" s="49"/>
      <c r="O139" s="49">
        <f>IF(VLOOKUP($D139,$C$5:$AA$496,13,)=0,0,((VLOOKUP($D139,$C$5:$AA$496,13,)/VLOOKUP($D139,$C$5:$AA$496,4,))*$F139))</f>
        <v>0</v>
      </c>
      <c r="P139" s="49">
        <f>IF(VLOOKUP($D139,$C$5:$AA$496,14,)=0,0,((VLOOKUP($D139,$C$5:$AA$496,14,)/VLOOKUP($D139,$C$5:$AA$496,4,))*$F139))</f>
        <v>0</v>
      </c>
      <c r="Q139" s="49"/>
      <c r="R139" s="49">
        <f>IF(VLOOKUP($D139,$C$5:$AA$496,16,)=0,0,((VLOOKUP($D139,$C$5:$AA$496,16,)/VLOOKUP($D139,$C$5:$AA$496,4,))*$F139))</f>
        <v>0</v>
      </c>
      <c r="S139" s="49">
        <f>IF(VLOOKUP($D139,$C$5:$AA$496,17,)=0,0,((VLOOKUP($D139,$C$5:$AA$496,17,)/VLOOKUP($D139,$C$5:$AA$496,4,))*$F139))</f>
        <v>0</v>
      </c>
      <c r="T139" s="49"/>
      <c r="U139" s="49">
        <f>IF(VLOOKUP($D139,$C$5:$AA$496,19,)=0,0,((VLOOKUP($D139,$C$5:$AA$496,19,)/VLOOKUP($D139,$C$5:$AA$496,4,))*$F139))</f>
        <v>0</v>
      </c>
      <c r="V139" s="49"/>
      <c r="W139" s="49">
        <f>IF(VLOOKUP($D139,$C$5:$AA$496,21,)=0,0,((VLOOKUP($D139,$C$5:$AA$496,21,)/VLOOKUP($D139,$C$5:$AA$496,4,))*$F139))</f>
        <v>0</v>
      </c>
      <c r="X139" s="49"/>
      <c r="Y139" s="49">
        <f>IF(VLOOKUP($D139,$C$5:$AA$496,23,)=0,0,((VLOOKUP($D139,$C$5:$AA$496,23,)/VLOOKUP($D139,$C$5:$AA$496,4,))*$F139))</f>
        <v>0</v>
      </c>
      <c r="Z139" s="49"/>
      <c r="AA139" s="49">
        <f>IF(VLOOKUP($D139,$C$5:$AA$496,25,)=0,0,((VLOOKUP($D139,$C$5:$AA$496,25,)/VLOOKUP($D139,$C$5:$AA$496,4,))*$F139))</f>
        <v>0</v>
      </c>
      <c r="AB139" s="49">
        <f>SUM(H139:AA139)</f>
        <v>0</v>
      </c>
      <c r="AC139" s="29" t="str">
        <f>IF(ABS(AB139-F139)&lt;1,"ok","err")</f>
        <v>ok</v>
      </c>
    </row>
    <row r="140" spans="1:29" hidden="1" x14ac:dyDescent="0.2">
      <c r="F140" s="254"/>
      <c r="G140" s="65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29"/>
    </row>
    <row r="141" spans="1:29" hidden="1" x14ac:dyDescent="0.2">
      <c r="A141" s="14" t="s">
        <v>940</v>
      </c>
      <c r="F141" s="256">
        <v>0</v>
      </c>
      <c r="G141" s="90"/>
      <c r="H141" s="90">
        <f>SUM(H136:H139)</f>
        <v>0</v>
      </c>
      <c r="I141" s="90">
        <f>SUM(I136:I139)</f>
        <v>0</v>
      </c>
      <c r="J141" s="90"/>
      <c r="K141" s="90">
        <f>SUM(K136:K139)</f>
        <v>0</v>
      </c>
      <c r="L141" s="90"/>
      <c r="M141" s="90">
        <f>SUM(M136:M139)</f>
        <v>0</v>
      </c>
      <c r="N141" s="90"/>
      <c r="O141" s="90">
        <f>SUM(O136:O139)</f>
        <v>0</v>
      </c>
      <c r="P141" s="90">
        <f>SUM(P136:P139)</f>
        <v>0</v>
      </c>
      <c r="Q141" s="90"/>
      <c r="R141" s="90">
        <f>SUM(R136:R139)</f>
        <v>0</v>
      </c>
      <c r="S141" s="90">
        <f>SUM(S136:S139)</f>
        <v>0</v>
      </c>
      <c r="T141" s="90"/>
      <c r="U141" s="90">
        <f>SUM(U136:U139)</f>
        <v>0</v>
      </c>
      <c r="V141" s="90"/>
      <c r="W141" s="90">
        <f>SUM(W136:W139)</f>
        <v>0</v>
      </c>
      <c r="X141" s="90"/>
      <c r="Y141" s="90">
        <f>SUM(Y136:Y139)</f>
        <v>0</v>
      </c>
      <c r="Z141" s="90"/>
      <c r="AA141" s="90">
        <f>SUM(AA136:AA139)</f>
        <v>0</v>
      </c>
      <c r="AB141" s="49">
        <f>SUM(H141:AA141)</f>
        <v>0</v>
      </c>
      <c r="AC141" s="29" t="str">
        <f>IF(ABS(AB141-F141)&lt;1,"ok","err")</f>
        <v>ok</v>
      </c>
    </row>
    <row r="142" spans="1:29" x14ac:dyDescent="0.2">
      <c r="A142" s="14" t="s">
        <v>92</v>
      </c>
      <c r="C142" s="14" t="s">
        <v>93</v>
      </c>
      <c r="D142" s="14" t="s">
        <v>72</v>
      </c>
      <c r="F142" s="254">
        <v>-1776470</v>
      </c>
      <c r="G142" s="65"/>
      <c r="H142" s="49">
        <f>IF(VLOOKUP($D142,$C$5:$AA$496,6,)=0,0,((VLOOKUP($D142,$C$5:$AA$496,6,)/VLOOKUP($D142,$C$5:$AA$496,4,))*$F142))</f>
        <v>0</v>
      </c>
      <c r="I142" s="49">
        <f>IF(VLOOKUP($D142,$C$5:$AA$496,7,)=0,0,((VLOOKUP($D142,$C$5:$AA$496,7,)/VLOOKUP($D142,$C$5:$AA$496,4,))*$F142))</f>
        <v>0</v>
      </c>
      <c r="J142" s="49"/>
      <c r="K142" s="49">
        <f>IF(VLOOKUP($D142,$C$5:$AA$496,9,)=0,0,((VLOOKUP($D142,$C$5:$AA$496,9,)/VLOOKUP($D142,$C$5:$AA$496,4,))*$F142))</f>
        <v>0</v>
      </c>
      <c r="L142" s="49"/>
      <c r="M142" s="49">
        <f>IF(VLOOKUP($D142,$C$5:$AA$496,11,)=0,0,((VLOOKUP($D142,$C$5:$AA$496,11,)/VLOOKUP($D142,$C$5:$AA$496,4,))*$F142))</f>
        <v>-228777.64960937091</v>
      </c>
      <c r="N142" s="49"/>
      <c r="O142" s="49">
        <f>IF(VLOOKUP($D142,$C$5:$AA$496,13,)=0,0,((VLOOKUP($D142,$C$5:$AA$496,13,)/VLOOKUP($D142,$C$5:$AA$496,4,))*$F142))</f>
        <v>-497439.82454669639</v>
      </c>
      <c r="P142" s="49">
        <f>IF(VLOOKUP($D142,$C$5:$AA$496,14,)=0,0,((VLOOKUP($D142,$C$5:$AA$496,14,)/VLOOKUP($D142,$C$5:$AA$496,4,))*$F142))</f>
        <v>-847739.11125630746</v>
      </c>
      <c r="Q142" s="49"/>
      <c r="R142" s="49">
        <f>IF(VLOOKUP($D142,$C$5:$AA$496,16,)=0,0,((VLOOKUP($D142,$C$5:$AA$496,16,)/VLOOKUP($D142,$C$5:$AA$496,4,))*$F142))</f>
        <v>0</v>
      </c>
      <c r="S142" s="49">
        <f>IF(VLOOKUP($D142,$C$5:$AA$496,17,)=0,0,((VLOOKUP($D142,$C$5:$AA$496,17,)/VLOOKUP($D142,$C$5:$AA$496,4,))*$F142))</f>
        <v>-68439.42076823338</v>
      </c>
      <c r="T142" s="49"/>
      <c r="U142" s="49">
        <f>IF(VLOOKUP($D142,$C$5:$AA$496,19,)=0,0,((VLOOKUP($D142,$C$5:$AA$496,19,)/VLOOKUP($D142,$C$5:$AA$496,4,))*$F142))</f>
        <v>-67609.023141508442</v>
      </c>
      <c r="V142" s="49"/>
      <c r="W142" s="49">
        <f>IF(VLOOKUP($D142,$C$5:$AA$496,21,)=0,0,((VLOOKUP($D142,$C$5:$AA$496,21,)/VLOOKUP($D142,$C$5:$AA$496,4,))*$F142))</f>
        <v>-66464.970677883539</v>
      </c>
      <c r="X142" s="49"/>
      <c r="Y142" s="49">
        <f>IF(VLOOKUP($D142,$C$5:$AA$496,23,)=0,0,((VLOOKUP($D142,$C$5:$AA$496,23,)/VLOOKUP($D142,$C$5:$AA$496,4,))*$F142))</f>
        <v>0</v>
      </c>
      <c r="Z142" s="49"/>
      <c r="AA142" s="49">
        <f>IF(VLOOKUP($D142,$C$5:$AA$496,25,)=0,0,((VLOOKUP($D142,$C$5:$AA$496,25,)/VLOOKUP($D142,$C$5:$AA$496,4,))*$F142))</f>
        <v>0</v>
      </c>
      <c r="AB142" s="49">
        <f>SUM(H142:AA142)</f>
        <v>-1776470.0000000002</v>
      </c>
      <c r="AC142" s="29" t="str">
        <f>IF(ABS(AB142-F142)&lt;1,"ok","err")</f>
        <v>ok</v>
      </c>
    </row>
    <row r="143" spans="1:29" x14ac:dyDescent="0.2">
      <c r="F143" s="254"/>
      <c r="G143" s="65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29"/>
    </row>
    <row r="144" spans="1:29" x14ac:dyDescent="0.2">
      <c r="A144" s="13" t="s">
        <v>94</v>
      </c>
      <c r="C144" s="14" t="s">
        <v>95</v>
      </c>
      <c r="F144" s="256">
        <f>F126+F133-F142</f>
        <v>155758951.53711537</v>
      </c>
      <c r="G144" s="90"/>
      <c r="H144" s="90">
        <f>H126+H133-H142</f>
        <v>0</v>
      </c>
      <c r="I144" s="90">
        <f>I126+I133-I142</f>
        <v>0</v>
      </c>
      <c r="J144" s="90"/>
      <c r="K144" s="90">
        <f>K126+K133-K142</f>
        <v>0</v>
      </c>
      <c r="L144" s="90"/>
      <c r="M144" s="90">
        <f>M126+M133-M142</f>
        <v>19955459.490629051</v>
      </c>
      <c r="N144" s="90"/>
      <c r="O144" s="90">
        <f>O126+O133-O142</f>
        <v>43576696.773579009</v>
      </c>
      <c r="P144" s="90">
        <f>P126+P133-P142</f>
        <v>74281993.942838147</v>
      </c>
      <c r="Q144" s="90"/>
      <c r="R144" s="90">
        <f>R126+R133-R142</f>
        <v>0</v>
      </c>
      <c r="S144" s="90">
        <f>S126+S133-S142</f>
        <v>5969693.6366122449</v>
      </c>
      <c r="T144" s="90"/>
      <c r="U144" s="90">
        <f>U126+U133-U142</f>
        <v>5936669.1691056387</v>
      </c>
      <c r="V144" s="90"/>
      <c r="W144" s="90">
        <f>W126+W133-W142</f>
        <v>5788237.4997071922</v>
      </c>
      <c r="X144" s="90"/>
      <c r="Y144" s="90">
        <f>Y126+Y133-Y142</f>
        <v>251146.11187126575</v>
      </c>
      <c r="Z144" s="90"/>
      <c r="AA144" s="90">
        <f>AA126+AA133-AA142</f>
        <v>-945.08722715912745</v>
      </c>
      <c r="AB144" s="49">
        <f>SUM(H144:AA144)</f>
        <v>155758951.5371154</v>
      </c>
      <c r="AC144" s="29" t="str">
        <f>IF(ABS(AB144-F144)&lt;1,"ok","err")</f>
        <v>ok</v>
      </c>
    </row>
    <row r="145" spans="1:29" x14ac:dyDescent="0.2">
      <c r="Q145" s="14"/>
      <c r="AC145" s="29"/>
    </row>
    <row r="146" spans="1:29" x14ac:dyDescent="0.2">
      <c r="A146" s="27" t="s">
        <v>86</v>
      </c>
      <c r="Q146" s="14"/>
      <c r="AC146" s="29"/>
    </row>
    <row r="147" spans="1:29" x14ac:dyDescent="0.2">
      <c r="A147" s="27"/>
      <c r="Q147" s="14"/>
      <c r="AC147" s="29"/>
    </row>
    <row r="148" spans="1:29" x14ac:dyDescent="0.2">
      <c r="A148" s="13" t="s">
        <v>789</v>
      </c>
      <c r="Q148" s="14"/>
      <c r="AC148" s="29"/>
    </row>
    <row r="149" spans="1:29" x14ac:dyDescent="0.2">
      <c r="A149" s="14">
        <v>500</v>
      </c>
      <c r="B149" s="14" t="s">
        <v>794</v>
      </c>
      <c r="C149" s="14" t="s">
        <v>807</v>
      </c>
      <c r="D149" s="14" t="s">
        <v>783</v>
      </c>
      <c r="F149" s="254">
        <v>0</v>
      </c>
      <c r="G149" s="190"/>
      <c r="H149" s="49">
        <f t="shared" ref="H149:H157" si="79">IF(VLOOKUP($D149,$C$5:$AA$496,6,)=0,0,((VLOOKUP($D149,$C$5:$AA$496,6,)/VLOOKUP($D149,$C$5:$AA$496,4,))*$F149))</f>
        <v>0</v>
      </c>
      <c r="I149" s="49">
        <f t="shared" ref="I149:I157" si="80">IF(VLOOKUP($D149,$C$5:$AA$496,7,)=0,0,((VLOOKUP($D149,$C$5:$AA$496,7,)/VLOOKUP($D149,$C$5:$AA$496,4,))*$F149))</f>
        <v>0</v>
      </c>
      <c r="J149" s="49"/>
      <c r="K149" s="49">
        <f t="shared" ref="K149:K157" si="81">IF(VLOOKUP($D149,$C$5:$AA$496,9,)=0,0,((VLOOKUP($D149,$C$5:$AA$496,9,)/VLOOKUP($D149,$C$5:$AA$496,4,))*$F149))</f>
        <v>0</v>
      </c>
      <c r="L149" s="49"/>
      <c r="M149" s="49">
        <f t="shared" ref="M149:M157" si="82">IF(VLOOKUP($D149,$C$5:$AA$496,11,)=0,0,((VLOOKUP($D149,$C$5:$AA$496,11,)/VLOOKUP($D149,$C$5:$AA$496,4,))*$F149))</f>
        <v>0</v>
      </c>
      <c r="N149" s="49"/>
      <c r="O149" s="49">
        <f t="shared" ref="O149:O157" si="83">IF(VLOOKUP($D149,$C$5:$AA$496,13,)=0,0,((VLOOKUP($D149,$C$5:$AA$496,13,)/VLOOKUP($D149,$C$5:$AA$496,4,))*$F149))</f>
        <v>0</v>
      </c>
      <c r="P149" s="49">
        <f t="shared" ref="P149:P157" si="84">IF(VLOOKUP($D149,$C$5:$AA$496,14,)=0,0,((VLOOKUP($D149,$C$5:$AA$496,14,)/VLOOKUP($D149,$C$5:$AA$496,4,))*$F149))</f>
        <v>0</v>
      </c>
      <c r="Q149" s="49"/>
      <c r="R149" s="49">
        <f t="shared" ref="R149:R157" si="85">IF(VLOOKUP($D149,$C$5:$AA$496,16,)=0,0,((VLOOKUP($D149,$C$5:$AA$496,16,)/VLOOKUP($D149,$C$5:$AA$496,4,))*$F149))</f>
        <v>0</v>
      </c>
      <c r="S149" s="49">
        <f t="shared" ref="S149:S157" si="86">IF(VLOOKUP($D149,$C$5:$AA$496,17,)=0,0,((VLOOKUP($D149,$C$5:$AA$496,17,)/VLOOKUP($D149,$C$5:$AA$496,4,))*$F149))</f>
        <v>0</v>
      </c>
      <c r="T149" s="49"/>
      <c r="U149" s="49">
        <f t="shared" ref="U149:U157" si="87">IF(VLOOKUP($D149,$C$5:$AA$496,19,)=0,0,((VLOOKUP($D149,$C$5:$AA$496,19,)/VLOOKUP($D149,$C$5:$AA$496,4,))*$F149))</f>
        <v>0</v>
      </c>
      <c r="V149" s="49"/>
      <c r="W149" s="49">
        <f t="shared" ref="W149:W157" si="88">IF(VLOOKUP($D149,$C$5:$AA$496,21,)=0,0,((VLOOKUP($D149,$C$5:$AA$496,21,)/VLOOKUP($D149,$C$5:$AA$496,4,))*$F149))</f>
        <v>0</v>
      </c>
      <c r="X149" s="49"/>
      <c r="Y149" s="49">
        <f t="shared" ref="Y149:Y157" si="89">IF(VLOOKUP($D149,$C$5:$AA$496,23,)=0,0,((VLOOKUP($D149,$C$5:$AA$496,23,)/VLOOKUP($D149,$C$5:$AA$496,4,))*$F149))</f>
        <v>0</v>
      </c>
      <c r="Z149" s="49"/>
      <c r="AA149" s="49">
        <f t="shared" ref="AA149:AA157" si="90">IF(VLOOKUP($D149,$C$5:$AA$496,25,)=0,0,((VLOOKUP($D149,$C$5:$AA$496,25,)/VLOOKUP($D149,$C$5:$AA$496,4,))*$F149))</f>
        <v>0</v>
      </c>
      <c r="AB149" s="49">
        <f t="shared" ref="AB149:AB157" si="91">SUM(H149:AA149)</f>
        <v>0</v>
      </c>
      <c r="AC149" s="29" t="str">
        <f t="shared" ref="AC149:AC157" si="92">IF(ABS(AB149-F149)&lt;1,"ok","err")</f>
        <v>ok</v>
      </c>
    </row>
    <row r="150" spans="1:29" x14ac:dyDescent="0.2">
      <c r="A150" s="14">
        <v>501</v>
      </c>
      <c r="B150" s="14" t="s">
        <v>795</v>
      </c>
      <c r="C150" s="14" t="s">
        <v>808</v>
      </c>
      <c r="D150" s="14" t="s">
        <v>787</v>
      </c>
      <c r="F150" s="255">
        <v>0</v>
      </c>
      <c r="G150" s="191"/>
      <c r="H150" s="49">
        <f t="shared" si="79"/>
        <v>0</v>
      </c>
      <c r="I150" s="49">
        <f t="shared" si="80"/>
        <v>0</v>
      </c>
      <c r="J150" s="49"/>
      <c r="K150" s="49">
        <f t="shared" si="81"/>
        <v>0</v>
      </c>
      <c r="L150" s="49"/>
      <c r="M150" s="49">
        <f t="shared" si="82"/>
        <v>0</v>
      </c>
      <c r="N150" s="49"/>
      <c r="O150" s="49">
        <f t="shared" si="83"/>
        <v>0</v>
      </c>
      <c r="P150" s="49">
        <f t="shared" si="84"/>
        <v>0</v>
      </c>
      <c r="Q150" s="49"/>
      <c r="R150" s="49">
        <f t="shared" si="85"/>
        <v>0</v>
      </c>
      <c r="S150" s="49">
        <f t="shared" si="86"/>
        <v>0</v>
      </c>
      <c r="T150" s="49"/>
      <c r="U150" s="49">
        <f t="shared" si="87"/>
        <v>0</v>
      </c>
      <c r="V150" s="49"/>
      <c r="W150" s="49">
        <f t="shared" si="88"/>
        <v>0</v>
      </c>
      <c r="X150" s="49"/>
      <c r="Y150" s="49">
        <f t="shared" si="89"/>
        <v>0</v>
      </c>
      <c r="Z150" s="49"/>
      <c r="AA150" s="49">
        <f t="shared" si="90"/>
        <v>0</v>
      </c>
      <c r="AB150" s="49">
        <f t="shared" si="91"/>
        <v>0</v>
      </c>
      <c r="AC150" s="29" t="str">
        <f t="shared" si="92"/>
        <v>ok</v>
      </c>
    </row>
    <row r="151" spans="1:29" x14ac:dyDescent="0.2">
      <c r="A151" s="14">
        <v>502</v>
      </c>
      <c r="B151" s="14" t="s">
        <v>796</v>
      </c>
      <c r="C151" s="14" t="s">
        <v>809</v>
      </c>
      <c r="D151" s="14" t="s">
        <v>552</v>
      </c>
      <c r="F151" s="255">
        <v>0</v>
      </c>
      <c r="G151" s="191"/>
      <c r="H151" s="49">
        <f t="shared" si="79"/>
        <v>0</v>
      </c>
      <c r="I151" s="49">
        <f t="shared" si="80"/>
        <v>0</v>
      </c>
      <c r="J151" s="49"/>
      <c r="K151" s="49">
        <f t="shared" si="81"/>
        <v>0</v>
      </c>
      <c r="L151" s="49"/>
      <c r="M151" s="49">
        <f t="shared" si="82"/>
        <v>0</v>
      </c>
      <c r="N151" s="49"/>
      <c r="O151" s="49">
        <f t="shared" si="83"/>
        <v>0</v>
      </c>
      <c r="P151" s="49">
        <f t="shared" si="84"/>
        <v>0</v>
      </c>
      <c r="Q151" s="49"/>
      <c r="R151" s="49">
        <f t="shared" si="85"/>
        <v>0</v>
      </c>
      <c r="S151" s="49">
        <f t="shared" si="86"/>
        <v>0</v>
      </c>
      <c r="T151" s="49"/>
      <c r="U151" s="49">
        <f t="shared" si="87"/>
        <v>0</v>
      </c>
      <c r="V151" s="49"/>
      <c r="W151" s="49">
        <f t="shared" si="88"/>
        <v>0</v>
      </c>
      <c r="X151" s="49"/>
      <c r="Y151" s="49">
        <f t="shared" si="89"/>
        <v>0</v>
      </c>
      <c r="Z151" s="49"/>
      <c r="AA151" s="49">
        <f t="shared" si="90"/>
        <v>0</v>
      </c>
      <c r="AB151" s="49">
        <f t="shared" si="91"/>
        <v>0</v>
      </c>
      <c r="AC151" s="29" t="str">
        <f t="shared" si="92"/>
        <v>ok</v>
      </c>
    </row>
    <row r="152" spans="1:29" x14ac:dyDescent="0.2">
      <c r="A152" s="14">
        <v>503</v>
      </c>
      <c r="B152" s="14" t="s">
        <v>797</v>
      </c>
      <c r="C152" s="14" t="s">
        <v>810</v>
      </c>
      <c r="D152" s="14" t="s">
        <v>552</v>
      </c>
      <c r="F152" s="255">
        <v>0</v>
      </c>
      <c r="G152" s="191"/>
      <c r="H152" s="49">
        <f t="shared" si="79"/>
        <v>0</v>
      </c>
      <c r="I152" s="49">
        <f t="shared" si="80"/>
        <v>0</v>
      </c>
      <c r="J152" s="49"/>
      <c r="K152" s="49">
        <f t="shared" si="81"/>
        <v>0</v>
      </c>
      <c r="L152" s="49"/>
      <c r="M152" s="49">
        <f t="shared" si="82"/>
        <v>0</v>
      </c>
      <c r="N152" s="49"/>
      <c r="O152" s="49">
        <f t="shared" si="83"/>
        <v>0</v>
      </c>
      <c r="P152" s="49">
        <f t="shared" si="84"/>
        <v>0</v>
      </c>
      <c r="Q152" s="49"/>
      <c r="R152" s="49">
        <f t="shared" si="85"/>
        <v>0</v>
      </c>
      <c r="S152" s="49">
        <f t="shared" si="86"/>
        <v>0</v>
      </c>
      <c r="T152" s="49"/>
      <c r="U152" s="49">
        <f t="shared" si="87"/>
        <v>0</v>
      </c>
      <c r="V152" s="49"/>
      <c r="W152" s="49">
        <f t="shared" si="88"/>
        <v>0</v>
      </c>
      <c r="X152" s="49"/>
      <c r="Y152" s="49">
        <f t="shared" si="89"/>
        <v>0</v>
      </c>
      <c r="Z152" s="49"/>
      <c r="AA152" s="49">
        <f t="shared" si="90"/>
        <v>0</v>
      </c>
      <c r="AB152" s="49">
        <f t="shared" si="91"/>
        <v>0</v>
      </c>
      <c r="AC152" s="29" t="str">
        <f t="shared" si="92"/>
        <v>ok</v>
      </c>
    </row>
    <row r="153" spans="1:29" x14ac:dyDescent="0.2">
      <c r="A153" s="14">
        <v>504</v>
      </c>
      <c r="B153" s="14" t="s">
        <v>798</v>
      </c>
      <c r="C153" s="14" t="s">
        <v>811</v>
      </c>
      <c r="D153" s="14" t="s">
        <v>552</v>
      </c>
      <c r="F153" s="255">
        <v>0</v>
      </c>
      <c r="G153" s="191"/>
      <c r="H153" s="49">
        <f t="shared" si="79"/>
        <v>0</v>
      </c>
      <c r="I153" s="49">
        <f t="shared" si="80"/>
        <v>0</v>
      </c>
      <c r="J153" s="49"/>
      <c r="K153" s="49">
        <f t="shared" si="81"/>
        <v>0</v>
      </c>
      <c r="L153" s="49"/>
      <c r="M153" s="49">
        <f t="shared" si="82"/>
        <v>0</v>
      </c>
      <c r="N153" s="49"/>
      <c r="O153" s="49">
        <f t="shared" si="83"/>
        <v>0</v>
      </c>
      <c r="P153" s="49">
        <f t="shared" si="84"/>
        <v>0</v>
      </c>
      <c r="Q153" s="49"/>
      <c r="R153" s="49">
        <f t="shared" si="85"/>
        <v>0</v>
      </c>
      <c r="S153" s="49">
        <f t="shared" si="86"/>
        <v>0</v>
      </c>
      <c r="T153" s="49"/>
      <c r="U153" s="49">
        <f t="shared" si="87"/>
        <v>0</v>
      </c>
      <c r="V153" s="49"/>
      <c r="W153" s="49">
        <f t="shared" si="88"/>
        <v>0</v>
      </c>
      <c r="X153" s="49"/>
      <c r="Y153" s="49">
        <f t="shared" si="89"/>
        <v>0</v>
      </c>
      <c r="Z153" s="49"/>
      <c r="AA153" s="49">
        <f t="shared" si="90"/>
        <v>0</v>
      </c>
      <c r="AB153" s="49">
        <f t="shared" si="91"/>
        <v>0</v>
      </c>
      <c r="AC153" s="29" t="str">
        <f t="shared" si="92"/>
        <v>ok</v>
      </c>
    </row>
    <row r="154" spans="1:29" x14ac:dyDescent="0.2">
      <c r="A154" s="14">
        <v>505</v>
      </c>
      <c r="B154" s="14" t="s">
        <v>799</v>
      </c>
      <c r="C154" s="14" t="s">
        <v>812</v>
      </c>
      <c r="D154" s="14" t="s">
        <v>552</v>
      </c>
      <c r="F154" s="255">
        <v>0</v>
      </c>
      <c r="G154" s="191"/>
      <c r="H154" s="49">
        <f t="shared" si="79"/>
        <v>0</v>
      </c>
      <c r="I154" s="49">
        <f t="shared" si="80"/>
        <v>0</v>
      </c>
      <c r="J154" s="49"/>
      <c r="K154" s="49">
        <f t="shared" si="81"/>
        <v>0</v>
      </c>
      <c r="L154" s="49"/>
      <c r="M154" s="49">
        <f t="shared" si="82"/>
        <v>0</v>
      </c>
      <c r="N154" s="49"/>
      <c r="O154" s="49">
        <f t="shared" si="83"/>
        <v>0</v>
      </c>
      <c r="P154" s="49">
        <f t="shared" si="84"/>
        <v>0</v>
      </c>
      <c r="Q154" s="49"/>
      <c r="R154" s="49">
        <f t="shared" si="85"/>
        <v>0</v>
      </c>
      <c r="S154" s="49">
        <f t="shared" si="86"/>
        <v>0</v>
      </c>
      <c r="T154" s="49"/>
      <c r="U154" s="49">
        <f t="shared" si="87"/>
        <v>0</v>
      </c>
      <c r="V154" s="49"/>
      <c r="W154" s="49">
        <f t="shared" si="88"/>
        <v>0</v>
      </c>
      <c r="X154" s="49"/>
      <c r="Y154" s="49">
        <f t="shared" si="89"/>
        <v>0</v>
      </c>
      <c r="Z154" s="49"/>
      <c r="AA154" s="49">
        <f t="shared" si="90"/>
        <v>0</v>
      </c>
      <c r="AB154" s="49">
        <f t="shared" si="91"/>
        <v>0</v>
      </c>
      <c r="AC154" s="29" t="str">
        <f t="shared" si="92"/>
        <v>ok</v>
      </c>
    </row>
    <row r="155" spans="1:29" x14ac:dyDescent="0.2">
      <c r="A155" s="14">
        <v>506</v>
      </c>
      <c r="B155" s="14" t="s">
        <v>800</v>
      </c>
      <c r="C155" s="14" t="s">
        <v>813</v>
      </c>
      <c r="D155" s="14" t="s">
        <v>552</v>
      </c>
      <c r="F155" s="255">
        <v>0</v>
      </c>
      <c r="G155" s="191"/>
      <c r="H155" s="49">
        <f t="shared" si="79"/>
        <v>0</v>
      </c>
      <c r="I155" s="49">
        <f t="shared" si="80"/>
        <v>0</v>
      </c>
      <c r="J155" s="49"/>
      <c r="K155" s="49">
        <f t="shared" si="81"/>
        <v>0</v>
      </c>
      <c r="L155" s="49"/>
      <c r="M155" s="49">
        <f t="shared" si="82"/>
        <v>0</v>
      </c>
      <c r="N155" s="49"/>
      <c r="O155" s="49">
        <f t="shared" si="83"/>
        <v>0</v>
      </c>
      <c r="P155" s="49">
        <f t="shared" si="84"/>
        <v>0</v>
      </c>
      <c r="Q155" s="49"/>
      <c r="R155" s="49">
        <f t="shared" si="85"/>
        <v>0</v>
      </c>
      <c r="S155" s="49">
        <f t="shared" si="86"/>
        <v>0</v>
      </c>
      <c r="T155" s="49"/>
      <c r="U155" s="49">
        <f t="shared" si="87"/>
        <v>0</v>
      </c>
      <c r="V155" s="49"/>
      <c r="W155" s="49">
        <f t="shared" si="88"/>
        <v>0</v>
      </c>
      <c r="X155" s="49"/>
      <c r="Y155" s="49">
        <f t="shared" si="89"/>
        <v>0</v>
      </c>
      <c r="Z155" s="49"/>
      <c r="AA155" s="49">
        <f t="shared" si="90"/>
        <v>0</v>
      </c>
      <c r="AB155" s="49">
        <f t="shared" si="91"/>
        <v>0</v>
      </c>
      <c r="AC155" s="29" t="str">
        <f t="shared" si="92"/>
        <v>ok</v>
      </c>
    </row>
    <row r="156" spans="1:29" x14ac:dyDescent="0.2">
      <c r="A156" s="14">
        <v>507</v>
      </c>
      <c r="B156" s="14" t="s">
        <v>115</v>
      </c>
      <c r="C156" s="14" t="s">
        <v>814</v>
      </c>
      <c r="D156" s="14" t="s">
        <v>552</v>
      </c>
      <c r="F156" s="255">
        <v>0</v>
      </c>
      <c r="G156" s="191"/>
      <c r="H156" s="49">
        <f t="shared" si="79"/>
        <v>0</v>
      </c>
      <c r="I156" s="49">
        <f t="shared" si="80"/>
        <v>0</v>
      </c>
      <c r="J156" s="49"/>
      <c r="K156" s="49">
        <f t="shared" si="81"/>
        <v>0</v>
      </c>
      <c r="L156" s="49"/>
      <c r="M156" s="49">
        <f t="shared" si="82"/>
        <v>0</v>
      </c>
      <c r="N156" s="49"/>
      <c r="O156" s="49">
        <f t="shared" si="83"/>
        <v>0</v>
      </c>
      <c r="P156" s="49">
        <f t="shared" si="84"/>
        <v>0</v>
      </c>
      <c r="Q156" s="49"/>
      <c r="R156" s="49">
        <f t="shared" si="85"/>
        <v>0</v>
      </c>
      <c r="S156" s="49">
        <f t="shared" si="86"/>
        <v>0</v>
      </c>
      <c r="T156" s="49"/>
      <c r="U156" s="49">
        <f t="shared" si="87"/>
        <v>0</v>
      </c>
      <c r="V156" s="49"/>
      <c r="W156" s="49">
        <f t="shared" si="88"/>
        <v>0</v>
      </c>
      <c r="X156" s="49"/>
      <c r="Y156" s="49">
        <f t="shared" si="89"/>
        <v>0</v>
      </c>
      <c r="Z156" s="49"/>
      <c r="AA156" s="49">
        <f t="shared" si="90"/>
        <v>0</v>
      </c>
      <c r="AB156" s="49">
        <f t="shared" si="91"/>
        <v>0</v>
      </c>
      <c r="AC156" s="29" t="str">
        <f t="shared" si="92"/>
        <v>ok</v>
      </c>
    </row>
    <row r="157" spans="1:29" x14ac:dyDescent="0.2">
      <c r="A157" s="14">
        <v>509</v>
      </c>
      <c r="B157" s="14" t="s">
        <v>801</v>
      </c>
      <c r="C157" s="14" t="s">
        <v>815</v>
      </c>
      <c r="D157" s="14" t="s">
        <v>787</v>
      </c>
      <c r="F157" s="255">
        <v>0</v>
      </c>
      <c r="G157" s="191"/>
      <c r="H157" s="49">
        <f t="shared" si="79"/>
        <v>0</v>
      </c>
      <c r="I157" s="49">
        <f t="shared" si="80"/>
        <v>0</v>
      </c>
      <c r="J157" s="49"/>
      <c r="K157" s="49">
        <f t="shared" si="81"/>
        <v>0</v>
      </c>
      <c r="L157" s="49"/>
      <c r="M157" s="49">
        <f t="shared" si="82"/>
        <v>0</v>
      </c>
      <c r="N157" s="49"/>
      <c r="O157" s="49">
        <f t="shared" si="83"/>
        <v>0</v>
      </c>
      <c r="P157" s="49">
        <f t="shared" si="84"/>
        <v>0</v>
      </c>
      <c r="Q157" s="49"/>
      <c r="R157" s="49">
        <f t="shared" si="85"/>
        <v>0</v>
      </c>
      <c r="S157" s="49">
        <f t="shared" si="86"/>
        <v>0</v>
      </c>
      <c r="T157" s="49"/>
      <c r="U157" s="49">
        <f t="shared" si="87"/>
        <v>0</v>
      </c>
      <c r="V157" s="49"/>
      <c r="W157" s="49">
        <f t="shared" si="88"/>
        <v>0</v>
      </c>
      <c r="X157" s="49"/>
      <c r="Y157" s="49">
        <f t="shared" si="89"/>
        <v>0</v>
      </c>
      <c r="Z157" s="49"/>
      <c r="AA157" s="49">
        <f t="shared" si="90"/>
        <v>0</v>
      </c>
      <c r="AB157" s="49">
        <f t="shared" si="91"/>
        <v>0</v>
      </c>
      <c r="AC157" s="29" t="str">
        <f t="shared" si="92"/>
        <v>ok</v>
      </c>
    </row>
    <row r="158" spans="1:29" x14ac:dyDescent="0.2">
      <c r="F158" s="255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C158" s="29"/>
    </row>
    <row r="159" spans="1:29" x14ac:dyDescent="0.2">
      <c r="A159" s="14" t="s">
        <v>793</v>
      </c>
      <c r="C159" s="14" t="s">
        <v>816</v>
      </c>
      <c r="F159" s="254">
        <f>SUM(F149:F158)</f>
        <v>0</v>
      </c>
      <c r="G159" s="65"/>
      <c r="H159" s="65">
        <f>SUM(H149:H158)</f>
        <v>0</v>
      </c>
      <c r="I159" s="65">
        <f>SUM(I149:I158)</f>
        <v>0</v>
      </c>
      <c r="J159" s="65"/>
      <c r="K159" s="65">
        <f>SUM(K149:K158)</f>
        <v>0</v>
      </c>
      <c r="L159" s="65"/>
      <c r="M159" s="65">
        <f>SUM(M149:M158)</f>
        <v>0</v>
      </c>
      <c r="N159" s="65"/>
      <c r="O159" s="65">
        <f>SUM(O149:O158)</f>
        <v>0</v>
      </c>
      <c r="P159" s="65">
        <f>SUM(P149:P158)</f>
        <v>0</v>
      </c>
      <c r="Q159" s="65"/>
      <c r="R159" s="65">
        <f>SUM(R149:R158)</f>
        <v>0</v>
      </c>
      <c r="S159" s="65">
        <f>SUM(S149:S158)</f>
        <v>0</v>
      </c>
      <c r="T159" s="65"/>
      <c r="U159" s="65">
        <f>SUM(U149:U158)</f>
        <v>0</v>
      </c>
      <c r="V159" s="65"/>
      <c r="W159" s="65">
        <f>SUM(W149:W158)</f>
        <v>0</v>
      </c>
      <c r="X159" s="65"/>
      <c r="Y159" s="65">
        <f>SUM(Y149:Y158)</f>
        <v>0</v>
      </c>
      <c r="Z159" s="65"/>
      <c r="AA159" s="65">
        <f>SUM(AA149:AA158)</f>
        <v>0</v>
      </c>
      <c r="AB159" s="49">
        <f>SUM(H159:AA159)</f>
        <v>0</v>
      </c>
      <c r="AC159" s="29" t="str">
        <f>IF(ABS(AB159-F159)&lt;1,"ok","err")</f>
        <v>ok</v>
      </c>
    </row>
    <row r="160" spans="1:29" x14ac:dyDescent="0.2">
      <c r="A160" s="13"/>
      <c r="F160" s="255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C160" s="29"/>
    </row>
    <row r="161" spans="1:29" x14ac:dyDescent="0.2">
      <c r="A161" s="13" t="s">
        <v>790</v>
      </c>
      <c r="F161" s="255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C161" s="29"/>
    </row>
    <row r="162" spans="1:29" x14ac:dyDescent="0.2">
      <c r="A162" s="14">
        <v>510</v>
      </c>
      <c r="B162" s="14" t="s">
        <v>802</v>
      </c>
      <c r="C162" s="14" t="s">
        <v>818</v>
      </c>
      <c r="D162" s="14" t="s">
        <v>787</v>
      </c>
      <c r="F162" s="254">
        <v>0</v>
      </c>
      <c r="G162" s="190"/>
      <c r="H162" s="49">
        <f>IF(VLOOKUP($D162,$C$5:$AA$496,6,)=0,0,((VLOOKUP($D162,$C$5:$AA$496,6,)/VLOOKUP($D162,$C$5:$AA$496,4,))*$F162))</f>
        <v>0</v>
      </c>
      <c r="I162" s="49">
        <f>IF(VLOOKUP($D162,$C$5:$AA$496,7,)=0,0,((VLOOKUP($D162,$C$5:$AA$496,7,)/VLOOKUP($D162,$C$5:$AA$496,4,))*$F162))</f>
        <v>0</v>
      </c>
      <c r="J162" s="49"/>
      <c r="K162" s="49">
        <f>IF(VLOOKUP($D162,$C$5:$AA$496,9,)=0,0,((VLOOKUP($D162,$C$5:$AA$496,9,)/VLOOKUP($D162,$C$5:$AA$496,4,))*$F162))</f>
        <v>0</v>
      </c>
      <c r="L162" s="49"/>
      <c r="M162" s="49">
        <f>IF(VLOOKUP($D162,$C$5:$AA$496,11,)=0,0,((VLOOKUP($D162,$C$5:$AA$496,11,)/VLOOKUP($D162,$C$5:$AA$496,4,))*$F162))</f>
        <v>0</v>
      </c>
      <c r="N162" s="49"/>
      <c r="O162" s="49">
        <f>IF(VLOOKUP($D162,$C$5:$AA$496,13,)=0,0,((VLOOKUP($D162,$C$5:$AA$496,13,)/VLOOKUP($D162,$C$5:$AA$496,4,))*$F162))</f>
        <v>0</v>
      </c>
      <c r="P162" s="49">
        <f>IF(VLOOKUP($D162,$C$5:$AA$496,14,)=0,0,((VLOOKUP($D162,$C$5:$AA$496,14,)/VLOOKUP($D162,$C$5:$AA$496,4,))*$F162))</f>
        <v>0</v>
      </c>
      <c r="Q162" s="49"/>
      <c r="R162" s="49">
        <f>IF(VLOOKUP($D162,$C$5:$AA$496,16,)=0,0,((VLOOKUP($D162,$C$5:$AA$496,16,)/VLOOKUP($D162,$C$5:$AA$496,4,))*$F162))</f>
        <v>0</v>
      </c>
      <c r="S162" s="49">
        <f>IF(VLOOKUP($D162,$C$5:$AA$496,17,)=0,0,((VLOOKUP($D162,$C$5:$AA$496,17,)/VLOOKUP($D162,$C$5:$AA$496,4,))*$F162))</f>
        <v>0</v>
      </c>
      <c r="T162" s="49"/>
      <c r="U162" s="49">
        <f>IF(VLOOKUP($D162,$C$5:$AA$496,19,)=0,0,((VLOOKUP($D162,$C$5:$AA$496,19,)/VLOOKUP($D162,$C$5:$AA$496,4,))*$F162))</f>
        <v>0</v>
      </c>
      <c r="V162" s="49"/>
      <c r="W162" s="49">
        <f>IF(VLOOKUP($D162,$C$5:$AA$496,21,)=0,0,((VLOOKUP($D162,$C$5:$AA$496,21,)/VLOOKUP($D162,$C$5:$AA$496,4,))*$F162))</f>
        <v>0</v>
      </c>
      <c r="X162" s="49"/>
      <c r="Y162" s="49">
        <f>IF(VLOOKUP($D162,$C$5:$AA$496,23,)=0,0,((VLOOKUP($D162,$C$5:$AA$496,23,)/VLOOKUP($D162,$C$5:$AA$496,4,))*$F162))</f>
        <v>0</v>
      </c>
      <c r="Z162" s="49"/>
      <c r="AA162" s="49">
        <f>IF(VLOOKUP($D162,$C$5:$AA$496,25,)=0,0,((VLOOKUP($D162,$C$5:$AA$496,25,)/VLOOKUP($D162,$C$5:$AA$496,4,))*$F162))</f>
        <v>0</v>
      </c>
      <c r="AB162" s="49">
        <f>SUM(H162:AA162)</f>
        <v>0</v>
      </c>
      <c r="AC162" s="29" t="str">
        <f>IF(ABS(AB162-F162)&lt;1,"ok","err")</f>
        <v>ok</v>
      </c>
    </row>
    <row r="163" spans="1:29" x14ac:dyDescent="0.2">
      <c r="A163" s="14">
        <v>511</v>
      </c>
      <c r="B163" s="14" t="s">
        <v>803</v>
      </c>
      <c r="C163" s="14" t="s">
        <v>819</v>
      </c>
      <c r="D163" s="14" t="s">
        <v>552</v>
      </c>
      <c r="F163" s="255">
        <v>0</v>
      </c>
      <c r="G163" s="191"/>
      <c r="H163" s="49">
        <f>IF(VLOOKUP($D163,$C$5:$AA$496,6,)=0,0,((VLOOKUP($D163,$C$5:$AA$496,6,)/VLOOKUP($D163,$C$5:$AA$496,4,))*$F163))</f>
        <v>0</v>
      </c>
      <c r="I163" s="49">
        <f>IF(VLOOKUP($D163,$C$5:$AA$496,7,)=0,0,((VLOOKUP($D163,$C$5:$AA$496,7,)/VLOOKUP($D163,$C$5:$AA$496,4,))*$F163))</f>
        <v>0</v>
      </c>
      <c r="J163" s="49"/>
      <c r="K163" s="49">
        <f>IF(VLOOKUP($D163,$C$5:$AA$496,9,)=0,0,((VLOOKUP($D163,$C$5:$AA$496,9,)/VLOOKUP($D163,$C$5:$AA$496,4,))*$F163))</f>
        <v>0</v>
      </c>
      <c r="L163" s="49"/>
      <c r="M163" s="49">
        <f>IF(VLOOKUP($D163,$C$5:$AA$496,11,)=0,0,((VLOOKUP($D163,$C$5:$AA$496,11,)/VLOOKUP($D163,$C$5:$AA$496,4,))*$F163))</f>
        <v>0</v>
      </c>
      <c r="N163" s="49"/>
      <c r="O163" s="49">
        <f>IF(VLOOKUP($D163,$C$5:$AA$496,13,)=0,0,((VLOOKUP($D163,$C$5:$AA$496,13,)/VLOOKUP($D163,$C$5:$AA$496,4,))*$F163))</f>
        <v>0</v>
      </c>
      <c r="P163" s="49">
        <f>IF(VLOOKUP($D163,$C$5:$AA$496,14,)=0,0,((VLOOKUP($D163,$C$5:$AA$496,14,)/VLOOKUP($D163,$C$5:$AA$496,4,))*$F163))</f>
        <v>0</v>
      </c>
      <c r="Q163" s="49"/>
      <c r="R163" s="49">
        <f>IF(VLOOKUP($D163,$C$5:$AA$496,16,)=0,0,((VLOOKUP($D163,$C$5:$AA$496,16,)/VLOOKUP($D163,$C$5:$AA$496,4,))*$F163))</f>
        <v>0</v>
      </c>
      <c r="S163" s="49">
        <f>IF(VLOOKUP($D163,$C$5:$AA$496,17,)=0,0,((VLOOKUP($D163,$C$5:$AA$496,17,)/VLOOKUP($D163,$C$5:$AA$496,4,))*$F163))</f>
        <v>0</v>
      </c>
      <c r="T163" s="49"/>
      <c r="U163" s="49">
        <f>IF(VLOOKUP($D163,$C$5:$AA$496,19,)=0,0,((VLOOKUP($D163,$C$5:$AA$496,19,)/VLOOKUP($D163,$C$5:$AA$496,4,))*$F163))</f>
        <v>0</v>
      </c>
      <c r="V163" s="49"/>
      <c r="W163" s="49">
        <f>IF(VLOOKUP($D163,$C$5:$AA$496,21,)=0,0,((VLOOKUP($D163,$C$5:$AA$496,21,)/VLOOKUP($D163,$C$5:$AA$496,4,))*$F163))</f>
        <v>0</v>
      </c>
      <c r="X163" s="49"/>
      <c r="Y163" s="49">
        <f>IF(VLOOKUP($D163,$C$5:$AA$496,23,)=0,0,((VLOOKUP($D163,$C$5:$AA$496,23,)/VLOOKUP($D163,$C$5:$AA$496,4,))*$F163))</f>
        <v>0</v>
      </c>
      <c r="Z163" s="49"/>
      <c r="AA163" s="49">
        <f>IF(VLOOKUP($D163,$C$5:$AA$496,25,)=0,0,((VLOOKUP($D163,$C$5:$AA$496,25,)/VLOOKUP($D163,$C$5:$AA$496,4,))*$F163))</f>
        <v>0</v>
      </c>
      <c r="AB163" s="49">
        <f>SUM(H163:AA163)</f>
        <v>0</v>
      </c>
      <c r="AC163" s="29" t="str">
        <f>IF(ABS(AB163-F163)&lt;1,"ok","err")</f>
        <v>ok</v>
      </c>
    </row>
    <row r="164" spans="1:29" x14ac:dyDescent="0.2">
      <c r="A164" s="14">
        <v>512</v>
      </c>
      <c r="B164" s="14" t="s">
        <v>804</v>
      </c>
      <c r="C164" s="14" t="s">
        <v>820</v>
      </c>
      <c r="D164" s="14" t="s">
        <v>787</v>
      </c>
      <c r="F164" s="255">
        <v>0</v>
      </c>
      <c r="G164" s="191"/>
      <c r="H164" s="49">
        <f>IF(VLOOKUP($D164,$C$5:$AA$496,6,)=0,0,((VLOOKUP($D164,$C$5:$AA$496,6,)/VLOOKUP($D164,$C$5:$AA$496,4,))*$F164))</f>
        <v>0</v>
      </c>
      <c r="I164" s="49">
        <f>IF(VLOOKUP($D164,$C$5:$AA$496,7,)=0,0,((VLOOKUP($D164,$C$5:$AA$496,7,)/VLOOKUP($D164,$C$5:$AA$496,4,))*$F164))</f>
        <v>0</v>
      </c>
      <c r="J164" s="49"/>
      <c r="K164" s="49">
        <f>IF(VLOOKUP($D164,$C$5:$AA$496,9,)=0,0,((VLOOKUP($D164,$C$5:$AA$496,9,)/VLOOKUP($D164,$C$5:$AA$496,4,))*$F164))</f>
        <v>0</v>
      </c>
      <c r="L164" s="49"/>
      <c r="M164" s="49">
        <f>IF(VLOOKUP($D164,$C$5:$AA$496,11,)=0,0,((VLOOKUP($D164,$C$5:$AA$496,11,)/VLOOKUP($D164,$C$5:$AA$496,4,))*$F164))</f>
        <v>0</v>
      </c>
      <c r="N164" s="49"/>
      <c r="O164" s="49">
        <f>IF(VLOOKUP($D164,$C$5:$AA$496,13,)=0,0,((VLOOKUP($D164,$C$5:$AA$496,13,)/VLOOKUP($D164,$C$5:$AA$496,4,))*$F164))</f>
        <v>0</v>
      </c>
      <c r="P164" s="49">
        <f>IF(VLOOKUP($D164,$C$5:$AA$496,14,)=0,0,((VLOOKUP($D164,$C$5:$AA$496,14,)/VLOOKUP($D164,$C$5:$AA$496,4,))*$F164))</f>
        <v>0</v>
      </c>
      <c r="Q164" s="49"/>
      <c r="R164" s="49">
        <f>IF(VLOOKUP($D164,$C$5:$AA$496,16,)=0,0,((VLOOKUP($D164,$C$5:$AA$496,16,)/VLOOKUP($D164,$C$5:$AA$496,4,))*$F164))</f>
        <v>0</v>
      </c>
      <c r="S164" s="49">
        <f>IF(VLOOKUP($D164,$C$5:$AA$496,17,)=0,0,((VLOOKUP($D164,$C$5:$AA$496,17,)/VLOOKUP($D164,$C$5:$AA$496,4,))*$F164))</f>
        <v>0</v>
      </c>
      <c r="T164" s="49"/>
      <c r="U164" s="49">
        <f>IF(VLOOKUP($D164,$C$5:$AA$496,19,)=0,0,((VLOOKUP($D164,$C$5:$AA$496,19,)/VLOOKUP($D164,$C$5:$AA$496,4,))*$F164))</f>
        <v>0</v>
      </c>
      <c r="V164" s="49"/>
      <c r="W164" s="49">
        <f>IF(VLOOKUP($D164,$C$5:$AA$496,21,)=0,0,((VLOOKUP($D164,$C$5:$AA$496,21,)/VLOOKUP($D164,$C$5:$AA$496,4,))*$F164))</f>
        <v>0</v>
      </c>
      <c r="X164" s="49"/>
      <c r="Y164" s="49">
        <f>IF(VLOOKUP($D164,$C$5:$AA$496,23,)=0,0,((VLOOKUP($D164,$C$5:$AA$496,23,)/VLOOKUP($D164,$C$5:$AA$496,4,))*$F164))</f>
        <v>0</v>
      </c>
      <c r="Z164" s="49"/>
      <c r="AA164" s="49">
        <f>IF(VLOOKUP($D164,$C$5:$AA$496,25,)=0,0,((VLOOKUP($D164,$C$5:$AA$496,25,)/VLOOKUP($D164,$C$5:$AA$496,4,))*$F164))</f>
        <v>0</v>
      </c>
      <c r="AB164" s="49">
        <f>SUM(H164:AA164)</f>
        <v>0</v>
      </c>
      <c r="AC164" s="29" t="str">
        <f>IF(ABS(AB164-F164)&lt;1,"ok","err")</f>
        <v>ok</v>
      </c>
    </row>
    <row r="165" spans="1:29" x14ac:dyDescent="0.2">
      <c r="A165" s="14">
        <v>513</v>
      </c>
      <c r="B165" s="14" t="s">
        <v>805</v>
      </c>
      <c r="C165" s="14" t="s">
        <v>821</v>
      </c>
      <c r="D165" s="14" t="s">
        <v>787</v>
      </c>
      <c r="F165" s="255">
        <v>0</v>
      </c>
      <c r="G165" s="191"/>
      <c r="H165" s="49">
        <f>IF(VLOOKUP($D165,$C$5:$AA$496,6,)=0,0,((VLOOKUP($D165,$C$5:$AA$496,6,)/VLOOKUP($D165,$C$5:$AA$496,4,))*$F165))</f>
        <v>0</v>
      </c>
      <c r="I165" s="49">
        <f>IF(VLOOKUP($D165,$C$5:$AA$496,7,)=0,0,((VLOOKUP($D165,$C$5:$AA$496,7,)/VLOOKUP($D165,$C$5:$AA$496,4,))*$F165))</f>
        <v>0</v>
      </c>
      <c r="J165" s="49"/>
      <c r="K165" s="49">
        <f>IF(VLOOKUP($D165,$C$5:$AA$496,9,)=0,0,((VLOOKUP($D165,$C$5:$AA$496,9,)/VLOOKUP($D165,$C$5:$AA$496,4,))*$F165))</f>
        <v>0</v>
      </c>
      <c r="L165" s="49"/>
      <c r="M165" s="49">
        <f>IF(VLOOKUP($D165,$C$5:$AA$496,11,)=0,0,((VLOOKUP($D165,$C$5:$AA$496,11,)/VLOOKUP($D165,$C$5:$AA$496,4,))*$F165))</f>
        <v>0</v>
      </c>
      <c r="N165" s="49"/>
      <c r="O165" s="49">
        <f>IF(VLOOKUP($D165,$C$5:$AA$496,13,)=0,0,((VLOOKUP($D165,$C$5:$AA$496,13,)/VLOOKUP($D165,$C$5:$AA$496,4,))*$F165))</f>
        <v>0</v>
      </c>
      <c r="P165" s="49">
        <f>IF(VLOOKUP($D165,$C$5:$AA$496,14,)=0,0,((VLOOKUP($D165,$C$5:$AA$496,14,)/VLOOKUP($D165,$C$5:$AA$496,4,))*$F165))</f>
        <v>0</v>
      </c>
      <c r="Q165" s="49"/>
      <c r="R165" s="49">
        <f>IF(VLOOKUP($D165,$C$5:$AA$496,16,)=0,0,((VLOOKUP($D165,$C$5:$AA$496,16,)/VLOOKUP($D165,$C$5:$AA$496,4,))*$F165))</f>
        <v>0</v>
      </c>
      <c r="S165" s="49">
        <f>IF(VLOOKUP($D165,$C$5:$AA$496,17,)=0,0,((VLOOKUP($D165,$C$5:$AA$496,17,)/VLOOKUP($D165,$C$5:$AA$496,4,))*$F165))</f>
        <v>0</v>
      </c>
      <c r="T165" s="49"/>
      <c r="U165" s="49">
        <f>IF(VLOOKUP($D165,$C$5:$AA$496,19,)=0,0,((VLOOKUP($D165,$C$5:$AA$496,19,)/VLOOKUP($D165,$C$5:$AA$496,4,))*$F165))</f>
        <v>0</v>
      </c>
      <c r="V165" s="49"/>
      <c r="W165" s="49">
        <f>IF(VLOOKUP($D165,$C$5:$AA$496,21,)=0,0,((VLOOKUP($D165,$C$5:$AA$496,21,)/VLOOKUP($D165,$C$5:$AA$496,4,))*$F165))</f>
        <v>0</v>
      </c>
      <c r="X165" s="49"/>
      <c r="Y165" s="49">
        <f>IF(VLOOKUP($D165,$C$5:$AA$496,23,)=0,0,((VLOOKUP($D165,$C$5:$AA$496,23,)/VLOOKUP($D165,$C$5:$AA$496,4,))*$F165))</f>
        <v>0</v>
      </c>
      <c r="Z165" s="49"/>
      <c r="AA165" s="49">
        <f>IF(VLOOKUP($D165,$C$5:$AA$496,25,)=0,0,((VLOOKUP($D165,$C$5:$AA$496,25,)/VLOOKUP($D165,$C$5:$AA$496,4,))*$F165))</f>
        <v>0</v>
      </c>
      <c r="AB165" s="49">
        <f>SUM(H165:AA165)</f>
        <v>0</v>
      </c>
      <c r="AC165" s="29" t="str">
        <f>IF(ABS(AB165-F165)&lt;1,"ok","err")</f>
        <v>ok</v>
      </c>
    </row>
    <row r="166" spans="1:29" x14ac:dyDescent="0.2">
      <c r="A166" s="14">
        <v>514</v>
      </c>
      <c r="B166" s="14" t="s">
        <v>806</v>
      </c>
      <c r="C166" s="14" t="s">
        <v>822</v>
      </c>
      <c r="D166" s="14" t="s">
        <v>552</v>
      </c>
      <c r="F166" s="255">
        <v>0</v>
      </c>
      <c r="G166" s="191"/>
      <c r="H166" s="49">
        <f>IF(VLOOKUP($D166,$C$5:$AA$496,6,)=0,0,((VLOOKUP($D166,$C$5:$AA$496,6,)/VLOOKUP($D166,$C$5:$AA$496,4,))*$F166))</f>
        <v>0</v>
      </c>
      <c r="I166" s="49">
        <f>IF(VLOOKUP($D166,$C$5:$AA$496,7,)=0,0,((VLOOKUP($D166,$C$5:$AA$496,7,)/VLOOKUP($D166,$C$5:$AA$496,4,))*$F166))</f>
        <v>0</v>
      </c>
      <c r="J166" s="49"/>
      <c r="K166" s="49">
        <f>IF(VLOOKUP($D166,$C$5:$AA$496,9,)=0,0,((VLOOKUP($D166,$C$5:$AA$496,9,)/VLOOKUP($D166,$C$5:$AA$496,4,))*$F166))</f>
        <v>0</v>
      </c>
      <c r="L166" s="49"/>
      <c r="M166" s="49">
        <f>IF(VLOOKUP($D166,$C$5:$AA$496,11,)=0,0,((VLOOKUP($D166,$C$5:$AA$496,11,)/VLOOKUP($D166,$C$5:$AA$496,4,))*$F166))</f>
        <v>0</v>
      </c>
      <c r="N166" s="49"/>
      <c r="O166" s="49">
        <f>IF(VLOOKUP($D166,$C$5:$AA$496,13,)=0,0,((VLOOKUP($D166,$C$5:$AA$496,13,)/VLOOKUP($D166,$C$5:$AA$496,4,))*$F166))</f>
        <v>0</v>
      </c>
      <c r="P166" s="49">
        <f>IF(VLOOKUP($D166,$C$5:$AA$496,14,)=0,0,((VLOOKUP($D166,$C$5:$AA$496,14,)/VLOOKUP($D166,$C$5:$AA$496,4,))*$F166))</f>
        <v>0</v>
      </c>
      <c r="Q166" s="49"/>
      <c r="R166" s="49">
        <f>IF(VLOOKUP($D166,$C$5:$AA$496,16,)=0,0,((VLOOKUP($D166,$C$5:$AA$496,16,)/VLOOKUP($D166,$C$5:$AA$496,4,))*$F166))</f>
        <v>0</v>
      </c>
      <c r="S166" s="49">
        <f>IF(VLOOKUP($D166,$C$5:$AA$496,17,)=0,0,((VLOOKUP($D166,$C$5:$AA$496,17,)/VLOOKUP($D166,$C$5:$AA$496,4,))*$F166))</f>
        <v>0</v>
      </c>
      <c r="T166" s="49"/>
      <c r="U166" s="49">
        <f>IF(VLOOKUP($D166,$C$5:$AA$496,19,)=0,0,((VLOOKUP($D166,$C$5:$AA$496,19,)/VLOOKUP($D166,$C$5:$AA$496,4,))*$F166))</f>
        <v>0</v>
      </c>
      <c r="V166" s="49"/>
      <c r="W166" s="49">
        <f>IF(VLOOKUP($D166,$C$5:$AA$496,21,)=0,0,((VLOOKUP($D166,$C$5:$AA$496,21,)/VLOOKUP($D166,$C$5:$AA$496,4,))*$F166))</f>
        <v>0</v>
      </c>
      <c r="X166" s="49"/>
      <c r="Y166" s="49">
        <f>IF(VLOOKUP($D166,$C$5:$AA$496,23,)=0,0,((VLOOKUP($D166,$C$5:$AA$496,23,)/VLOOKUP($D166,$C$5:$AA$496,4,))*$F166))</f>
        <v>0</v>
      </c>
      <c r="Z166" s="49"/>
      <c r="AA166" s="49">
        <f>IF(VLOOKUP($D166,$C$5:$AA$496,25,)=0,0,((VLOOKUP($D166,$C$5:$AA$496,25,)/VLOOKUP($D166,$C$5:$AA$496,4,))*$F166))</f>
        <v>0</v>
      </c>
      <c r="AB166" s="49">
        <f>SUM(H166:AA166)</f>
        <v>0</v>
      </c>
      <c r="AC166" s="29" t="str">
        <f>IF(ABS(AB166-F166)&lt;1,"ok","err")</f>
        <v>ok</v>
      </c>
    </row>
    <row r="167" spans="1:29" x14ac:dyDescent="0.2">
      <c r="F167" s="255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29"/>
    </row>
    <row r="168" spans="1:29" x14ac:dyDescent="0.2">
      <c r="A168" s="14" t="s">
        <v>791</v>
      </c>
      <c r="C168" s="14" t="s">
        <v>817</v>
      </c>
      <c r="F168" s="254">
        <f>SUM(F162:F167)</f>
        <v>0</v>
      </c>
      <c r="G168" s="65"/>
      <c r="H168" s="65">
        <f>SUM(H162:H167)</f>
        <v>0</v>
      </c>
      <c r="I168" s="65">
        <f>SUM(I162:I167)</f>
        <v>0</v>
      </c>
      <c r="J168" s="65"/>
      <c r="K168" s="65">
        <f>SUM(K162:K167)</f>
        <v>0</v>
      </c>
      <c r="L168" s="65"/>
      <c r="M168" s="65">
        <f>SUM(M162:M167)</f>
        <v>0</v>
      </c>
      <c r="N168" s="65"/>
      <c r="O168" s="65">
        <f>SUM(O162:O167)</f>
        <v>0</v>
      </c>
      <c r="P168" s="65">
        <f>SUM(P162:P167)</f>
        <v>0</v>
      </c>
      <c r="Q168" s="65"/>
      <c r="R168" s="65">
        <f>SUM(R162:R167)</f>
        <v>0</v>
      </c>
      <c r="S168" s="65">
        <f>SUM(S162:S167)</f>
        <v>0</v>
      </c>
      <c r="T168" s="65"/>
      <c r="U168" s="65">
        <f>SUM(U162:U167)</f>
        <v>0</v>
      </c>
      <c r="V168" s="65"/>
      <c r="W168" s="65">
        <f>SUM(W162:W167)</f>
        <v>0</v>
      </c>
      <c r="X168" s="65"/>
      <c r="Y168" s="65">
        <f>SUM(Y162:Y167)</f>
        <v>0</v>
      </c>
      <c r="Z168" s="65"/>
      <c r="AA168" s="65">
        <f>SUM(AA162:AA167)</f>
        <v>0</v>
      </c>
      <c r="AB168" s="49">
        <f>SUM(H168:AA168)</f>
        <v>0</v>
      </c>
      <c r="AC168" s="29" t="str">
        <f>IF(ABS(AB168-F168)&lt;1,"ok","err")</f>
        <v>ok</v>
      </c>
    </row>
    <row r="169" spans="1:29" x14ac:dyDescent="0.2">
      <c r="F169" s="255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C169" s="29"/>
    </row>
    <row r="170" spans="1:29" x14ac:dyDescent="0.2">
      <c r="A170" s="14" t="s">
        <v>792</v>
      </c>
      <c r="C170" s="14" t="s">
        <v>825</v>
      </c>
      <c r="F170" s="255">
        <f>F159+F168</f>
        <v>0</v>
      </c>
      <c r="G170" s="49"/>
      <c r="H170" s="49">
        <f>H159+H168</f>
        <v>0</v>
      </c>
      <c r="I170" s="49">
        <f>I159+I168</f>
        <v>0</v>
      </c>
      <c r="J170" s="49"/>
      <c r="K170" s="49">
        <f>K159+K168</f>
        <v>0</v>
      </c>
      <c r="L170" s="49"/>
      <c r="M170" s="49">
        <f>M159+M168</f>
        <v>0</v>
      </c>
      <c r="N170" s="49"/>
      <c r="O170" s="49">
        <f>O159+O168</f>
        <v>0</v>
      </c>
      <c r="P170" s="49">
        <f>P159+P168</f>
        <v>0</v>
      </c>
      <c r="Q170" s="49"/>
      <c r="R170" s="49">
        <f>R159+R168</f>
        <v>0</v>
      </c>
      <c r="S170" s="49">
        <f>S159+S168</f>
        <v>0</v>
      </c>
      <c r="T170" s="49"/>
      <c r="U170" s="49">
        <f>U159+U168</f>
        <v>0</v>
      </c>
      <c r="V170" s="49"/>
      <c r="W170" s="49">
        <f>W159+W168</f>
        <v>0</v>
      </c>
      <c r="X170" s="49"/>
      <c r="Y170" s="49">
        <f>Y159+Y168</f>
        <v>0</v>
      </c>
      <c r="Z170" s="49"/>
      <c r="AA170" s="49">
        <f>AA159+AA168</f>
        <v>0</v>
      </c>
      <c r="AB170" s="49">
        <f>SUM(H170:AA170)</f>
        <v>0</v>
      </c>
      <c r="AC170" s="29" t="str">
        <f>IF(ABS(AB170-F170)&lt;1,"ok","err")</f>
        <v>ok</v>
      </c>
    </row>
    <row r="171" spans="1:29" x14ac:dyDescent="0.2">
      <c r="F171" s="255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C171" s="29"/>
    </row>
    <row r="172" spans="1:29" x14ac:dyDescent="0.2">
      <c r="A172" s="27" t="s">
        <v>136</v>
      </c>
      <c r="F172" s="255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C172" s="29"/>
    </row>
    <row r="173" spans="1:29" x14ac:dyDescent="0.2">
      <c r="F173" s="255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C173" s="29"/>
    </row>
    <row r="174" spans="1:29" x14ac:dyDescent="0.2">
      <c r="A174" s="13" t="s">
        <v>96</v>
      </c>
      <c r="H174" s="65"/>
      <c r="I174" s="65"/>
      <c r="Q174" s="14"/>
      <c r="AC174" s="29"/>
    </row>
    <row r="175" spans="1:29" x14ac:dyDescent="0.2">
      <c r="A175" s="14">
        <v>555</v>
      </c>
      <c r="B175" s="14" t="s">
        <v>379</v>
      </c>
      <c r="C175" s="14" t="s">
        <v>397</v>
      </c>
      <c r="D175" s="14" t="s">
        <v>97</v>
      </c>
      <c r="F175" s="254">
        <v>66430864</v>
      </c>
      <c r="G175" s="190"/>
      <c r="H175" s="65">
        <f>IF(VLOOKUP($D175,$C$5:$AA$496,6,)=0,0,((VLOOKUP($D175,$C$5:$AA$496,6,)/VLOOKUP($D175,$C$5:$AA$496,4,))*$F175))</f>
        <v>19459969.028273102</v>
      </c>
      <c r="I175" s="65">
        <f>IF(VLOOKUP($D175,$C$5:$AA$496,7,)=0,0,((VLOOKUP($D175,$C$5:$AA$496,7,)/VLOOKUP($D175,$C$5:$AA$496,4,))*$F175))</f>
        <v>46970894.971726887</v>
      </c>
      <c r="J175" s="49"/>
      <c r="K175" s="49">
        <f>IF(VLOOKUP($D175,$C$5:$AA$496,9,)=0,0,((VLOOKUP($D175,$C$5:$AA$496,9,)/VLOOKUP($D175,$C$5:$AA$496,4,))*$F175))</f>
        <v>0</v>
      </c>
      <c r="L175" s="49"/>
      <c r="M175" s="49">
        <f>IF(VLOOKUP($D175,$C$5:$AA$496,11,)=0,0,((VLOOKUP($D175,$C$5:$AA$496,11,)/VLOOKUP($D175,$C$5:$AA$496,4,))*$F175))</f>
        <v>0</v>
      </c>
      <c r="N175" s="49"/>
      <c r="O175" s="49">
        <f>IF(VLOOKUP($D175,$C$5:$AA$496,13,)=0,0,((VLOOKUP($D175,$C$5:$AA$496,13,)/VLOOKUP($D175,$C$5:$AA$496,4,))*$F175))</f>
        <v>0</v>
      </c>
      <c r="P175" s="49">
        <f>IF(VLOOKUP($D175,$C$5:$AA$496,14,)=0,0,((VLOOKUP($D175,$C$5:$AA$496,14,)/VLOOKUP($D175,$C$5:$AA$496,4,))*$F175))</f>
        <v>0</v>
      </c>
      <c r="Q175" s="49"/>
      <c r="R175" s="49">
        <f>IF(VLOOKUP($D175,$C$5:$AA$496,16,)=0,0,((VLOOKUP($D175,$C$5:$AA$496,16,)/VLOOKUP($D175,$C$5:$AA$496,4,))*$F175))</f>
        <v>0</v>
      </c>
      <c r="S175" s="49">
        <f>IF(VLOOKUP($D175,$C$5:$AA$496,17,)=0,0,((VLOOKUP($D175,$C$5:$AA$496,17,)/VLOOKUP($D175,$C$5:$AA$496,4,))*$F175))</f>
        <v>0</v>
      </c>
      <c r="T175" s="49"/>
      <c r="U175" s="49">
        <f>IF(VLOOKUP($D175,$C$5:$AA$496,19,)=0,0,((VLOOKUP($D175,$C$5:$AA$496,19,)/VLOOKUP($D175,$C$5:$AA$496,4,))*$F175))</f>
        <v>0</v>
      </c>
      <c r="V175" s="49"/>
      <c r="W175" s="49">
        <f>IF(VLOOKUP($D175,$C$5:$AA$496,21,)=0,0,((VLOOKUP($D175,$C$5:$AA$496,21,)/VLOOKUP($D175,$C$5:$AA$496,4,))*$F175))</f>
        <v>0</v>
      </c>
      <c r="X175" s="49"/>
      <c r="Y175" s="49">
        <f>IF(VLOOKUP($D175,$C$5:$AA$496,23,)=0,0,((VLOOKUP($D175,$C$5:$AA$496,23,)/VLOOKUP($D175,$C$5:$AA$496,4,))*$F175))</f>
        <v>0</v>
      </c>
      <c r="Z175" s="49"/>
      <c r="AA175" s="49">
        <f>IF(VLOOKUP($D175,$C$5:$AA$496,25,)=0,0,((VLOOKUP($D175,$C$5:$AA$496,25,)/VLOOKUP($D175,$C$5:$AA$496,4,))*$F175))</f>
        <v>0</v>
      </c>
      <c r="AB175" s="49">
        <f>SUM(H175:AA175)</f>
        <v>66430863.999999985</v>
      </c>
      <c r="AC175" s="29" t="str">
        <f>IF(ABS(AB175-F175)&lt;1,"ok","err")</f>
        <v>ok</v>
      </c>
    </row>
    <row r="176" spans="1:29" x14ac:dyDescent="0.2">
      <c r="A176" s="14">
        <v>556</v>
      </c>
      <c r="B176" s="14" t="s">
        <v>911</v>
      </c>
      <c r="C176" s="14" t="s">
        <v>912</v>
      </c>
      <c r="D176" s="14" t="s">
        <v>97</v>
      </c>
      <c r="F176" s="255">
        <v>0</v>
      </c>
      <c r="G176" s="191"/>
      <c r="H176" s="49">
        <f>IF(VLOOKUP($D176,$C$5:$AA$496,6,)=0,0,((VLOOKUP($D176,$C$5:$AA$496,6,)/VLOOKUP($D176,$C$5:$AA$496,4,))*$F176))</f>
        <v>0</v>
      </c>
      <c r="I176" s="49">
        <f>IF(VLOOKUP($D176,$C$5:$AA$496,7,)=0,0,((VLOOKUP($D176,$C$5:$AA$496,7,)/VLOOKUP($D176,$C$5:$AA$496,4,))*$F176))</f>
        <v>0</v>
      </c>
      <c r="J176" s="49"/>
      <c r="K176" s="49">
        <f>IF(VLOOKUP($D176,$C$5:$AA$496,9,)=0,0,((VLOOKUP($D176,$C$5:$AA$496,9,)/VLOOKUP($D176,$C$5:$AA$496,4,))*$F176))</f>
        <v>0</v>
      </c>
      <c r="L176" s="49"/>
      <c r="M176" s="49">
        <f>IF(VLOOKUP($D176,$C$5:$AA$496,11,)=0,0,((VLOOKUP($D176,$C$5:$AA$496,11,)/VLOOKUP($D176,$C$5:$AA$496,4,))*$F176))</f>
        <v>0</v>
      </c>
      <c r="N176" s="49"/>
      <c r="O176" s="49">
        <f>IF(VLOOKUP($D176,$C$5:$AA$496,13,)=0,0,((VLOOKUP($D176,$C$5:$AA$496,13,)/VLOOKUP($D176,$C$5:$AA$496,4,))*$F176))</f>
        <v>0</v>
      </c>
      <c r="P176" s="49">
        <f>IF(VLOOKUP($D176,$C$5:$AA$496,14,)=0,0,((VLOOKUP($D176,$C$5:$AA$496,14,)/VLOOKUP($D176,$C$5:$AA$496,4,))*$F176))</f>
        <v>0</v>
      </c>
      <c r="Q176" s="49"/>
      <c r="R176" s="49">
        <f>IF(VLOOKUP($D176,$C$5:$AA$496,16,)=0,0,((VLOOKUP($D176,$C$5:$AA$496,16,)/VLOOKUP($D176,$C$5:$AA$496,4,))*$F176))</f>
        <v>0</v>
      </c>
      <c r="S176" s="49">
        <f>IF(VLOOKUP($D176,$C$5:$AA$496,17,)=0,0,((VLOOKUP($D176,$C$5:$AA$496,17,)/VLOOKUP($D176,$C$5:$AA$496,4,))*$F176))</f>
        <v>0</v>
      </c>
      <c r="T176" s="49"/>
      <c r="U176" s="49">
        <f>IF(VLOOKUP($D176,$C$5:$AA$496,19,)=0,0,((VLOOKUP($D176,$C$5:$AA$496,19,)/VLOOKUP($D176,$C$5:$AA$496,4,))*$F176))</f>
        <v>0</v>
      </c>
      <c r="V176" s="49"/>
      <c r="W176" s="49">
        <f>IF(VLOOKUP($D176,$C$5:$AA$496,21,)=0,0,((VLOOKUP($D176,$C$5:$AA$496,21,)/VLOOKUP($D176,$C$5:$AA$496,4,))*$F176))</f>
        <v>0</v>
      </c>
      <c r="X176" s="49"/>
      <c r="Y176" s="49">
        <f>IF(VLOOKUP($D176,$C$5:$AA$496,23,)=0,0,((VLOOKUP($D176,$C$5:$AA$496,23,)/VLOOKUP($D176,$C$5:$AA$496,4,))*$F176))</f>
        <v>0</v>
      </c>
      <c r="Z176" s="49"/>
      <c r="AA176" s="49">
        <f>IF(VLOOKUP($D176,$C$5:$AA$496,25,)=0,0,((VLOOKUP($D176,$C$5:$AA$496,25,)/VLOOKUP($D176,$C$5:$AA$496,4,))*$F176))</f>
        <v>0</v>
      </c>
      <c r="AB176" s="49">
        <f>SUM(H176:AA176)</f>
        <v>0</v>
      </c>
      <c r="AC176" s="29" t="str">
        <f>IF(ABS(AB176-F176)&lt;1,"ok","err")</f>
        <v>ok</v>
      </c>
    </row>
    <row r="177" spans="1:29" x14ac:dyDescent="0.2">
      <c r="A177" s="14">
        <v>557</v>
      </c>
      <c r="B177" s="14" t="s">
        <v>398</v>
      </c>
      <c r="C177" s="14" t="s">
        <v>400</v>
      </c>
      <c r="D177" s="14" t="s">
        <v>97</v>
      </c>
      <c r="F177" s="255">
        <v>0</v>
      </c>
      <c r="G177" s="191"/>
      <c r="H177" s="49">
        <f>IF(VLOOKUP($D177,$C$5:$AA$496,6,)=0,0,((VLOOKUP($D177,$C$5:$AA$496,6,)/VLOOKUP($D177,$C$5:$AA$496,4,))*$F177))</f>
        <v>0</v>
      </c>
      <c r="I177" s="49">
        <f>IF(VLOOKUP($D177,$C$5:$AA$496,7,)=0,0,((VLOOKUP($D177,$C$5:$AA$496,7,)/VLOOKUP($D177,$C$5:$AA$496,4,))*$F177))</f>
        <v>0</v>
      </c>
      <c r="J177" s="49"/>
      <c r="K177" s="49">
        <f>IF(VLOOKUP($D177,$C$5:$AA$496,9,)=0,0,((VLOOKUP($D177,$C$5:$AA$496,9,)/VLOOKUP($D177,$C$5:$AA$496,4,))*$F177))</f>
        <v>0</v>
      </c>
      <c r="L177" s="49"/>
      <c r="M177" s="49">
        <f>IF(VLOOKUP($D177,$C$5:$AA$496,11,)=0,0,((VLOOKUP($D177,$C$5:$AA$496,11,)/VLOOKUP($D177,$C$5:$AA$496,4,))*$F177))</f>
        <v>0</v>
      </c>
      <c r="N177" s="49"/>
      <c r="O177" s="49">
        <f>IF(VLOOKUP($D177,$C$5:$AA$496,13,)=0,0,((VLOOKUP($D177,$C$5:$AA$496,13,)/VLOOKUP($D177,$C$5:$AA$496,4,))*$F177))</f>
        <v>0</v>
      </c>
      <c r="P177" s="49">
        <f>IF(VLOOKUP($D177,$C$5:$AA$496,14,)=0,0,((VLOOKUP($D177,$C$5:$AA$496,14,)/VLOOKUP($D177,$C$5:$AA$496,4,))*$F177))</f>
        <v>0</v>
      </c>
      <c r="Q177" s="49"/>
      <c r="R177" s="49">
        <f>IF(VLOOKUP($D177,$C$5:$AA$496,16,)=0,0,((VLOOKUP($D177,$C$5:$AA$496,16,)/VLOOKUP($D177,$C$5:$AA$496,4,))*$F177))</f>
        <v>0</v>
      </c>
      <c r="S177" s="49">
        <f>IF(VLOOKUP($D177,$C$5:$AA$496,17,)=0,0,((VLOOKUP($D177,$C$5:$AA$496,17,)/VLOOKUP($D177,$C$5:$AA$496,4,))*$F177))</f>
        <v>0</v>
      </c>
      <c r="T177" s="49"/>
      <c r="U177" s="49">
        <f>IF(VLOOKUP($D177,$C$5:$AA$496,19,)=0,0,((VLOOKUP($D177,$C$5:$AA$496,19,)/VLOOKUP($D177,$C$5:$AA$496,4,))*$F177))</f>
        <v>0</v>
      </c>
      <c r="V177" s="49"/>
      <c r="W177" s="49">
        <f>IF(VLOOKUP($D177,$C$5:$AA$496,21,)=0,0,((VLOOKUP($D177,$C$5:$AA$496,21,)/VLOOKUP($D177,$C$5:$AA$496,4,))*$F177))</f>
        <v>0</v>
      </c>
      <c r="X177" s="49"/>
      <c r="Y177" s="49">
        <f>IF(VLOOKUP($D177,$C$5:$AA$496,23,)=0,0,((VLOOKUP($D177,$C$5:$AA$496,23,)/VLOOKUP($D177,$C$5:$AA$496,4,))*$F177))</f>
        <v>0</v>
      </c>
      <c r="Z177" s="49"/>
      <c r="AA177" s="49">
        <f>IF(VLOOKUP($D177,$C$5:$AA$496,25,)=0,0,((VLOOKUP($D177,$C$5:$AA$496,25,)/VLOOKUP($D177,$C$5:$AA$496,4,))*$F177))</f>
        <v>0</v>
      </c>
      <c r="AB177" s="49">
        <f>SUM(H177:AA177)</f>
        <v>0</v>
      </c>
      <c r="AC177" s="29" t="str">
        <f>IF(ABS(AB177-F177)&lt;1,"ok","err")</f>
        <v>ok</v>
      </c>
    </row>
    <row r="178" spans="1:29" x14ac:dyDescent="0.2">
      <c r="A178" s="14">
        <v>559</v>
      </c>
      <c r="B178" s="14" t="s">
        <v>832</v>
      </c>
      <c r="C178" s="14" t="s">
        <v>833</v>
      </c>
      <c r="D178" s="14" t="s">
        <v>97</v>
      </c>
      <c r="F178" s="255">
        <v>0</v>
      </c>
      <c r="G178" s="191"/>
      <c r="H178" s="49">
        <f>IF(VLOOKUP($D178,$C$5:$AA$496,6,)=0,0,((VLOOKUP($D178,$C$5:$AA$496,6,)/VLOOKUP($D178,$C$5:$AA$496,4,))*$F178))</f>
        <v>0</v>
      </c>
      <c r="I178" s="49">
        <f>IF(VLOOKUP($D178,$C$5:$AA$496,7,)=0,0,((VLOOKUP($D178,$C$5:$AA$496,7,)/VLOOKUP($D178,$C$5:$AA$496,4,))*$F178))</f>
        <v>0</v>
      </c>
      <c r="J178" s="49"/>
      <c r="K178" s="49">
        <f>IF(VLOOKUP($D178,$C$5:$AA$496,9,)=0,0,((VLOOKUP($D178,$C$5:$AA$496,9,)/VLOOKUP($D178,$C$5:$AA$496,4,))*$F178))</f>
        <v>0</v>
      </c>
      <c r="L178" s="49"/>
      <c r="M178" s="49">
        <f>IF(VLOOKUP($D178,$C$5:$AA$496,11,)=0,0,((VLOOKUP($D178,$C$5:$AA$496,11,)/VLOOKUP($D178,$C$5:$AA$496,4,))*$F178))</f>
        <v>0</v>
      </c>
      <c r="N178" s="49"/>
      <c r="O178" s="49">
        <f>IF(VLOOKUP($D178,$C$5:$AA$496,13,)=0,0,((VLOOKUP($D178,$C$5:$AA$496,13,)/VLOOKUP($D178,$C$5:$AA$496,4,))*$F178))</f>
        <v>0</v>
      </c>
      <c r="P178" s="49">
        <f>IF(VLOOKUP($D178,$C$5:$AA$496,14,)=0,0,((VLOOKUP($D178,$C$5:$AA$496,14,)/VLOOKUP($D178,$C$5:$AA$496,4,))*$F178))</f>
        <v>0</v>
      </c>
      <c r="Q178" s="49"/>
      <c r="R178" s="49">
        <f>IF(VLOOKUP($D178,$C$5:$AA$496,16,)=0,0,((VLOOKUP($D178,$C$5:$AA$496,16,)/VLOOKUP($D178,$C$5:$AA$496,4,))*$F178))</f>
        <v>0</v>
      </c>
      <c r="S178" s="49">
        <f>IF(VLOOKUP($D178,$C$5:$AA$496,17,)=0,0,((VLOOKUP($D178,$C$5:$AA$496,17,)/VLOOKUP($D178,$C$5:$AA$496,4,))*$F178))</f>
        <v>0</v>
      </c>
      <c r="T178" s="49"/>
      <c r="U178" s="49">
        <f>IF(VLOOKUP($D178,$C$5:$AA$496,19,)=0,0,((VLOOKUP($D178,$C$5:$AA$496,19,)/VLOOKUP($D178,$C$5:$AA$496,4,))*$F178))</f>
        <v>0</v>
      </c>
      <c r="V178" s="49"/>
      <c r="W178" s="49">
        <f>IF(VLOOKUP($D178,$C$5:$AA$496,21,)=0,0,((VLOOKUP($D178,$C$5:$AA$496,21,)/VLOOKUP($D178,$C$5:$AA$496,4,))*$F178))</f>
        <v>0</v>
      </c>
      <c r="X178" s="49"/>
      <c r="Y178" s="49">
        <f>IF(VLOOKUP($D178,$C$5:$AA$496,23,)=0,0,((VLOOKUP($D178,$C$5:$AA$496,23,)/VLOOKUP($D178,$C$5:$AA$496,4,))*$F178))</f>
        <v>0</v>
      </c>
      <c r="Z178" s="49"/>
      <c r="AA178" s="49">
        <f>IF(VLOOKUP($D178,$C$5:$AA$496,25,)=0,0,((VLOOKUP($D178,$C$5:$AA$496,25,)/VLOOKUP($D178,$C$5:$AA$496,4,))*$F178))</f>
        <v>0</v>
      </c>
      <c r="AB178" s="49">
        <f>SUM(H178:AA178)</f>
        <v>0</v>
      </c>
      <c r="AC178" s="29" t="str">
        <f>IF(ABS(AB178-F178)&lt;1,"ok","err")</f>
        <v>ok</v>
      </c>
    </row>
    <row r="179" spans="1:29" x14ac:dyDescent="0.2">
      <c r="F179" s="254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49"/>
      <c r="AC179" s="29"/>
    </row>
    <row r="180" spans="1:29" x14ac:dyDescent="0.2">
      <c r="A180" s="14" t="s">
        <v>399</v>
      </c>
      <c r="C180" s="14" t="s">
        <v>401</v>
      </c>
      <c r="F180" s="254">
        <f>SUM(F175:F179)</f>
        <v>66430864</v>
      </c>
      <c r="G180" s="65"/>
      <c r="H180" s="65">
        <f>SUM(H175:H179)</f>
        <v>19459969.028273102</v>
      </c>
      <c r="I180" s="65">
        <f t="shared" ref="I180:AA180" si="93">SUM(I175:I179)</f>
        <v>46970894.971726887</v>
      </c>
      <c r="J180" s="65"/>
      <c r="K180" s="65">
        <f t="shared" si="93"/>
        <v>0</v>
      </c>
      <c r="L180" s="65"/>
      <c r="M180" s="65">
        <f t="shared" si="93"/>
        <v>0</v>
      </c>
      <c r="N180" s="65"/>
      <c r="O180" s="65">
        <f t="shared" si="93"/>
        <v>0</v>
      </c>
      <c r="P180" s="65">
        <f t="shared" si="93"/>
        <v>0</v>
      </c>
      <c r="Q180" s="65"/>
      <c r="R180" s="65">
        <f t="shared" si="93"/>
        <v>0</v>
      </c>
      <c r="S180" s="65">
        <f t="shared" si="93"/>
        <v>0</v>
      </c>
      <c r="T180" s="65"/>
      <c r="U180" s="65">
        <f t="shared" si="93"/>
        <v>0</v>
      </c>
      <c r="V180" s="65"/>
      <c r="W180" s="65">
        <f t="shared" si="93"/>
        <v>0</v>
      </c>
      <c r="X180" s="65"/>
      <c r="Y180" s="65">
        <f t="shared" si="93"/>
        <v>0</v>
      </c>
      <c r="Z180" s="65"/>
      <c r="AA180" s="65">
        <f t="shared" si="93"/>
        <v>0</v>
      </c>
      <c r="AB180" s="49">
        <f>SUM(H180:AA180)</f>
        <v>66430863.999999985</v>
      </c>
      <c r="AC180" s="29" t="str">
        <f>IF(ABS(AB180-F180)&lt;1,"ok","err")</f>
        <v>ok</v>
      </c>
    </row>
    <row r="181" spans="1:29" x14ac:dyDescent="0.2">
      <c r="F181" s="254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49"/>
      <c r="AC181" s="29"/>
    </row>
    <row r="182" spans="1:29" x14ac:dyDescent="0.2">
      <c r="A182" s="13" t="s">
        <v>371</v>
      </c>
      <c r="F182" s="254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49"/>
      <c r="AC182" s="29"/>
    </row>
    <row r="183" spans="1:29" x14ac:dyDescent="0.2">
      <c r="A183" s="14">
        <v>560</v>
      </c>
      <c r="B183" s="14" t="s">
        <v>374</v>
      </c>
      <c r="C183" s="14" t="s">
        <v>403</v>
      </c>
      <c r="D183" s="14" t="s">
        <v>390</v>
      </c>
      <c r="F183" s="254">
        <v>0</v>
      </c>
      <c r="G183" s="190"/>
      <c r="H183" s="49">
        <f t="shared" ref="H183:H197" si="94">IF((VLOOKUP($D183,$C$5:$AA$496,6,)=0),0,((VLOOKUP($D183,$C$5:$AA$496,6,)/VLOOKUP($D183,$C$5:$AA$496,4,))*$F183))</f>
        <v>0</v>
      </c>
      <c r="I183" s="49">
        <f t="shared" ref="I183:I197" si="95">IF((VLOOKUP($D183,$C$5:$AA$496,7,)=0),0,((VLOOKUP($D183,$C$5:$AA$496,7,)/VLOOKUP($D183,$C$5:$AA$496,4,))*$F183))</f>
        <v>0</v>
      </c>
      <c r="J183" s="49"/>
      <c r="K183" s="49">
        <f t="shared" ref="K183:K197" si="96">IF((VLOOKUP($D183,$C$5:$AA$496,9,)=0),0,((VLOOKUP($D183,$C$5:$AA$496,9,)/VLOOKUP($D183,$C$5:$AA$496,4,))*$F183))</f>
        <v>0</v>
      </c>
      <c r="L183" s="49"/>
      <c r="M183" s="49">
        <f t="shared" ref="M183:M197" si="97">IF((VLOOKUP($D183,$C$5:$AA$496,11,)=0),0,((VLOOKUP($D183,$C$5:$AA$496,11,)/VLOOKUP($D183,$C$5:$AA$496,4,))*$F183))</f>
        <v>0</v>
      </c>
      <c r="N183" s="49"/>
      <c r="O183" s="49">
        <f t="shared" ref="O183:O197" si="98">IF((VLOOKUP($D183,$C$5:$AA$496,13,)=0),0,((VLOOKUP($D183,$C$5:$AA$496,13,)/VLOOKUP($D183,$C$5:$AA$496,4,))*$F183))</f>
        <v>0</v>
      </c>
      <c r="P183" s="49">
        <f t="shared" ref="P183:P197" si="99">IF((VLOOKUP($D183,$C$5:$AA$496,14,)=0),0,((VLOOKUP($D183,$C$5:$AA$496,14,)/VLOOKUP($D183,$C$5:$AA$496,4,))*$F183))</f>
        <v>0</v>
      </c>
      <c r="Q183" s="49"/>
      <c r="R183" s="49">
        <f t="shared" ref="R183:R197" si="100">IF((VLOOKUP($D183,$C$5:$AA$496,16,)=0),0,((VLOOKUP($D183,$C$5:$AA$496,16,)/VLOOKUP($D183,$C$5:$AA$496,4,))*$F183))</f>
        <v>0</v>
      </c>
      <c r="S183" s="49">
        <f t="shared" ref="S183:S197" si="101">IF((VLOOKUP($D183,$C$5:$AA$496,17,)=0),0,((VLOOKUP($D183,$C$5:$AA$496,17,)/VLOOKUP($D183,$C$5:$AA$496,4,))*$F183))</f>
        <v>0</v>
      </c>
      <c r="T183" s="49"/>
      <c r="U183" s="49">
        <f t="shared" ref="U183:U197" si="102">IF((VLOOKUP($D183,$C$5:$AA$496,19,)=0),0,((VLOOKUP($D183,$C$5:$AA$496,19,)/VLOOKUP($D183,$C$5:$AA$496,4,))*$F183))</f>
        <v>0</v>
      </c>
      <c r="V183" s="49"/>
      <c r="W183" s="49">
        <f t="shared" ref="W183:W197" si="103">IF((VLOOKUP($D183,$C$5:$AA$496,21,)=0),0,((VLOOKUP($D183,$C$5:$AA$496,21,)/VLOOKUP($D183,$C$5:$AA$496,4,))*$F183))</f>
        <v>0</v>
      </c>
      <c r="X183" s="49"/>
      <c r="Y183" s="49">
        <f t="shared" ref="Y183:Y197" si="104">IF((VLOOKUP($D183,$C$5:$AA$496,23,)=0),0,((VLOOKUP($D183,$C$5:$AA$496,23,)/VLOOKUP($D183,$C$5:$AA$496,4,))*$F183))</f>
        <v>0</v>
      </c>
      <c r="Z183" s="49"/>
      <c r="AA183" s="49">
        <f t="shared" ref="AA183:AA197" si="105">IF((VLOOKUP($D183,$C$5:$AA$496,25,)=0),0,((VLOOKUP($D183,$C$5:$AA$496,25,)/VLOOKUP($D183,$C$5:$AA$496,4,))*$F183))</f>
        <v>0</v>
      </c>
      <c r="AB183" s="49">
        <f t="shared" ref="AB183:AB197" si="106">SUM(H183:AA183)</f>
        <v>0</v>
      </c>
      <c r="AC183" s="29" t="str">
        <f t="shared" ref="AC183:AC197" si="107">IF(ABS(AB183-F183)&lt;1,"ok","err")</f>
        <v>ok</v>
      </c>
    </row>
    <row r="184" spans="1:29" x14ac:dyDescent="0.2">
      <c r="A184" s="14">
        <v>561</v>
      </c>
      <c r="B184" s="14" t="s">
        <v>101</v>
      </c>
      <c r="C184" s="14" t="s">
        <v>404</v>
      </c>
      <c r="D184" s="14" t="s">
        <v>390</v>
      </c>
      <c r="F184" s="255">
        <v>0</v>
      </c>
      <c r="G184" s="191"/>
      <c r="H184" s="49">
        <f t="shared" si="94"/>
        <v>0</v>
      </c>
      <c r="I184" s="49">
        <f t="shared" si="95"/>
        <v>0</v>
      </c>
      <c r="J184" s="49"/>
      <c r="K184" s="49">
        <f t="shared" si="96"/>
        <v>0</v>
      </c>
      <c r="L184" s="49"/>
      <c r="M184" s="49">
        <f t="shared" si="97"/>
        <v>0</v>
      </c>
      <c r="N184" s="49"/>
      <c r="O184" s="49">
        <f t="shared" si="98"/>
        <v>0</v>
      </c>
      <c r="P184" s="49">
        <f t="shared" si="99"/>
        <v>0</v>
      </c>
      <c r="Q184" s="49"/>
      <c r="R184" s="49">
        <f t="shared" si="100"/>
        <v>0</v>
      </c>
      <c r="S184" s="49">
        <f t="shared" si="101"/>
        <v>0</v>
      </c>
      <c r="T184" s="49"/>
      <c r="U184" s="49">
        <f t="shared" si="102"/>
        <v>0</v>
      </c>
      <c r="V184" s="49"/>
      <c r="W184" s="49">
        <f t="shared" si="103"/>
        <v>0</v>
      </c>
      <c r="X184" s="49"/>
      <c r="Y184" s="49">
        <f t="shared" si="104"/>
        <v>0</v>
      </c>
      <c r="Z184" s="49"/>
      <c r="AA184" s="49">
        <f t="shared" si="105"/>
        <v>0</v>
      </c>
      <c r="AB184" s="49">
        <f t="shared" si="106"/>
        <v>0</v>
      </c>
      <c r="AC184" s="29" t="str">
        <f t="shared" si="107"/>
        <v>ok</v>
      </c>
    </row>
    <row r="185" spans="1:29" x14ac:dyDescent="0.2">
      <c r="A185" s="14">
        <v>562</v>
      </c>
      <c r="B185" s="14" t="s">
        <v>372</v>
      </c>
      <c r="C185" s="14" t="s">
        <v>405</v>
      </c>
      <c r="D185" s="14" t="s">
        <v>390</v>
      </c>
      <c r="F185" s="255">
        <v>0</v>
      </c>
      <c r="G185" s="191"/>
      <c r="H185" s="49">
        <f t="shared" si="94"/>
        <v>0</v>
      </c>
      <c r="I185" s="49">
        <f t="shared" si="95"/>
        <v>0</v>
      </c>
      <c r="J185" s="49"/>
      <c r="K185" s="49">
        <f t="shared" si="96"/>
        <v>0</v>
      </c>
      <c r="L185" s="49"/>
      <c r="M185" s="49">
        <f t="shared" si="97"/>
        <v>0</v>
      </c>
      <c r="N185" s="49"/>
      <c r="O185" s="49">
        <f t="shared" si="98"/>
        <v>0</v>
      </c>
      <c r="P185" s="49">
        <f t="shared" si="99"/>
        <v>0</v>
      </c>
      <c r="Q185" s="49"/>
      <c r="R185" s="49">
        <f t="shared" si="100"/>
        <v>0</v>
      </c>
      <c r="S185" s="49">
        <f t="shared" si="101"/>
        <v>0</v>
      </c>
      <c r="T185" s="49"/>
      <c r="U185" s="49">
        <f t="shared" si="102"/>
        <v>0</v>
      </c>
      <c r="V185" s="49"/>
      <c r="W185" s="49">
        <f t="shared" si="103"/>
        <v>0</v>
      </c>
      <c r="X185" s="49"/>
      <c r="Y185" s="49">
        <f t="shared" si="104"/>
        <v>0</v>
      </c>
      <c r="Z185" s="49"/>
      <c r="AA185" s="49">
        <f t="shared" si="105"/>
        <v>0</v>
      </c>
      <c r="AB185" s="49">
        <f t="shared" si="106"/>
        <v>0</v>
      </c>
      <c r="AC185" s="29" t="str">
        <f t="shared" si="107"/>
        <v>ok</v>
      </c>
    </row>
    <row r="186" spans="1:29" x14ac:dyDescent="0.2">
      <c r="A186" s="14">
        <v>563</v>
      </c>
      <c r="B186" s="14" t="s">
        <v>103</v>
      </c>
      <c r="C186" s="14" t="s">
        <v>406</v>
      </c>
      <c r="D186" s="14" t="s">
        <v>390</v>
      </c>
      <c r="F186" s="255">
        <v>0</v>
      </c>
      <c r="G186" s="191"/>
      <c r="H186" s="49">
        <f t="shared" si="94"/>
        <v>0</v>
      </c>
      <c r="I186" s="49">
        <f t="shared" si="95"/>
        <v>0</v>
      </c>
      <c r="J186" s="49"/>
      <c r="K186" s="49">
        <f t="shared" si="96"/>
        <v>0</v>
      </c>
      <c r="L186" s="49"/>
      <c r="M186" s="49">
        <f t="shared" si="97"/>
        <v>0</v>
      </c>
      <c r="N186" s="49"/>
      <c r="O186" s="49">
        <f t="shared" si="98"/>
        <v>0</v>
      </c>
      <c r="P186" s="49">
        <f t="shared" si="99"/>
        <v>0</v>
      </c>
      <c r="Q186" s="49"/>
      <c r="R186" s="49">
        <f t="shared" si="100"/>
        <v>0</v>
      </c>
      <c r="S186" s="49">
        <f t="shared" si="101"/>
        <v>0</v>
      </c>
      <c r="T186" s="49"/>
      <c r="U186" s="49">
        <f t="shared" si="102"/>
        <v>0</v>
      </c>
      <c r="V186" s="49"/>
      <c r="W186" s="49">
        <f t="shared" si="103"/>
        <v>0</v>
      </c>
      <c r="X186" s="49"/>
      <c r="Y186" s="49">
        <f t="shared" si="104"/>
        <v>0</v>
      </c>
      <c r="Z186" s="49"/>
      <c r="AA186" s="49">
        <f t="shared" si="105"/>
        <v>0</v>
      </c>
      <c r="AB186" s="49">
        <f t="shared" si="106"/>
        <v>0</v>
      </c>
      <c r="AC186" s="29" t="str">
        <f t="shared" si="107"/>
        <v>ok</v>
      </c>
    </row>
    <row r="187" spans="1:29" x14ac:dyDescent="0.2">
      <c r="A187" s="14">
        <v>564</v>
      </c>
      <c r="B187" s="14" t="s">
        <v>105</v>
      </c>
      <c r="C187" s="14" t="s">
        <v>914</v>
      </c>
      <c r="D187" s="14" t="s">
        <v>390</v>
      </c>
      <c r="F187" s="255">
        <v>0</v>
      </c>
      <c r="G187" s="191"/>
      <c r="H187" s="49">
        <f t="shared" si="94"/>
        <v>0</v>
      </c>
      <c r="I187" s="49">
        <f t="shared" si="95"/>
        <v>0</v>
      </c>
      <c r="J187" s="49"/>
      <c r="K187" s="49">
        <f t="shared" si="96"/>
        <v>0</v>
      </c>
      <c r="L187" s="49"/>
      <c r="M187" s="49">
        <f t="shared" si="97"/>
        <v>0</v>
      </c>
      <c r="N187" s="49"/>
      <c r="O187" s="49">
        <f t="shared" si="98"/>
        <v>0</v>
      </c>
      <c r="P187" s="49">
        <f t="shared" si="99"/>
        <v>0</v>
      </c>
      <c r="Q187" s="49"/>
      <c r="R187" s="49">
        <f t="shared" si="100"/>
        <v>0</v>
      </c>
      <c r="S187" s="49">
        <f t="shared" si="101"/>
        <v>0</v>
      </c>
      <c r="T187" s="49"/>
      <c r="U187" s="49">
        <f t="shared" si="102"/>
        <v>0</v>
      </c>
      <c r="V187" s="49"/>
      <c r="W187" s="49">
        <f t="shared" si="103"/>
        <v>0</v>
      </c>
      <c r="X187" s="49"/>
      <c r="Y187" s="49">
        <f t="shared" si="104"/>
        <v>0</v>
      </c>
      <c r="Z187" s="49"/>
      <c r="AA187" s="49">
        <f t="shared" si="105"/>
        <v>0</v>
      </c>
      <c r="AB187" s="49">
        <f>SUM(H187:AA187)</f>
        <v>0</v>
      </c>
      <c r="AC187" s="29" t="str">
        <f>IF(ABS(AB187-F187)&lt;1,"ok","err")</f>
        <v>ok</v>
      </c>
    </row>
    <row r="188" spans="1:29" x14ac:dyDescent="0.2">
      <c r="A188" s="14">
        <v>565</v>
      </c>
      <c r="B188" s="14" t="s">
        <v>913</v>
      </c>
      <c r="C188" s="14" t="s">
        <v>915</v>
      </c>
      <c r="D188" s="14" t="s">
        <v>390</v>
      </c>
      <c r="F188" s="255">
        <v>0</v>
      </c>
      <c r="G188" s="191"/>
      <c r="H188" s="49">
        <f t="shared" si="94"/>
        <v>0</v>
      </c>
      <c r="I188" s="49">
        <f t="shared" si="95"/>
        <v>0</v>
      </c>
      <c r="J188" s="49"/>
      <c r="K188" s="49">
        <f t="shared" si="96"/>
        <v>0</v>
      </c>
      <c r="L188" s="49"/>
      <c r="M188" s="49">
        <f t="shared" si="97"/>
        <v>0</v>
      </c>
      <c r="N188" s="49"/>
      <c r="O188" s="49">
        <f t="shared" si="98"/>
        <v>0</v>
      </c>
      <c r="P188" s="49">
        <f t="shared" si="99"/>
        <v>0</v>
      </c>
      <c r="Q188" s="49"/>
      <c r="R188" s="49">
        <f t="shared" si="100"/>
        <v>0</v>
      </c>
      <c r="S188" s="49">
        <f t="shared" si="101"/>
        <v>0</v>
      </c>
      <c r="T188" s="49"/>
      <c r="U188" s="49">
        <f t="shared" si="102"/>
        <v>0</v>
      </c>
      <c r="V188" s="49"/>
      <c r="W188" s="49">
        <f t="shared" si="103"/>
        <v>0</v>
      </c>
      <c r="X188" s="49"/>
      <c r="Y188" s="49">
        <f t="shared" si="104"/>
        <v>0</v>
      </c>
      <c r="Z188" s="49"/>
      <c r="AA188" s="49">
        <f t="shared" si="105"/>
        <v>0</v>
      </c>
      <c r="AB188" s="49">
        <f>SUM(H188:AA188)</f>
        <v>0</v>
      </c>
      <c r="AC188" s="29" t="str">
        <f>IF(ABS(AB188-F188)&lt;1,"ok","err")</f>
        <v>ok</v>
      </c>
    </row>
    <row r="189" spans="1:29" x14ac:dyDescent="0.2">
      <c r="A189" s="14">
        <v>566</v>
      </c>
      <c r="B189" s="14" t="s">
        <v>585</v>
      </c>
      <c r="C189" s="14" t="s">
        <v>586</v>
      </c>
      <c r="D189" s="14" t="s">
        <v>390</v>
      </c>
      <c r="F189" s="255">
        <v>0</v>
      </c>
      <c r="G189" s="191"/>
      <c r="H189" s="49">
        <f t="shared" si="94"/>
        <v>0</v>
      </c>
      <c r="I189" s="49">
        <f t="shared" si="95"/>
        <v>0</v>
      </c>
      <c r="J189" s="49"/>
      <c r="K189" s="49">
        <f t="shared" si="96"/>
        <v>0</v>
      </c>
      <c r="L189" s="49"/>
      <c r="M189" s="49">
        <f t="shared" si="97"/>
        <v>0</v>
      </c>
      <c r="N189" s="49"/>
      <c r="O189" s="49">
        <f t="shared" si="98"/>
        <v>0</v>
      </c>
      <c r="P189" s="49">
        <f t="shared" si="99"/>
        <v>0</v>
      </c>
      <c r="Q189" s="49"/>
      <c r="R189" s="49">
        <f t="shared" si="100"/>
        <v>0</v>
      </c>
      <c r="S189" s="49">
        <f t="shared" si="101"/>
        <v>0</v>
      </c>
      <c r="T189" s="49"/>
      <c r="U189" s="49">
        <f t="shared" si="102"/>
        <v>0</v>
      </c>
      <c r="V189" s="49"/>
      <c r="W189" s="49">
        <f t="shared" si="103"/>
        <v>0</v>
      </c>
      <c r="X189" s="49"/>
      <c r="Y189" s="49">
        <f t="shared" si="104"/>
        <v>0</v>
      </c>
      <c r="Z189" s="49"/>
      <c r="AA189" s="49">
        <f t="shared" si="105"/>
        <v>0</v>
      </c>
      <c r="AB189" s="49">
        <f>SUM(H189:AA189)</f>
        <v>0</v>
      </c>
      <c r="AC189" s="29" t="str">
        <f>IF(ABS(AB189-F189)&lt;1,"ok","err")</f>
        <v>ok</v>
      </c>
    </row>
    <row r="190" spans="1:29" x14ac:dyDescent="0.2">
      <c r="A190" s="14">
        <v>567</v>
      </c>
      <c r="B190" s="14" t="s">
        <v>115</v>
      </c>
      <c r="C190" s="14" t="s">
        <v>916</v>
      </c>
      <c r="D190" s="14" t="s">
        <v>390</v>
      </c>
      <c r="F190" s="255">
        <v>0</v>
      </c>
      <c r="G190" s="191"/>
      <c r="H190" s="49">
        <f t="shared" si="94"/>
        <v>0</v>
      </c>
      <c r="I190" s="49">
        <f t="shared" si="95"/>
        <v>0</v>
      </c>
      <c r="J190" s="49"/>
      <c r="K190" s="49">
        <f t="shared" si="96"/>
        <v>0</v>
      </c>
      <c r="L190" s="49"/>
      <c r="M190" s="49">
        <f t="shared" si="97"/>
        <v>0</v>
      </c>
      <c r="N190" s="49"/>
      <c r="O190" s="49">
        <f t="shared" si="98"/>
        <v>0</v>
      </c>
      <c r="P190" s="49">
        <f t="shared" si="99"/>
        <v>0</v>
      </c>
      <c r="Q190" s="49"/>
      <c r="R190" s="49">
        <f t="shared" si="100"/>
        <v>0</v>
      </c>
      <c r="S190" s="49">
        <f t="shared" si="101"/>
        <v>0</v>
      </c>
      <c r="T190" s="49"/>
      <c r="U190" s="49">
        <f t="shared" si="102"/>
        <v>0</v>
      </c>
      <c r="V190" s="49"/>
      <c r="W190" s="49">
        <f t="shared" si="103"/>
        <v>0</v>
      </c>
      <c r="X190" s="49"/>
      <c r="Y190" s="49">
        <f t="shared" si="104"/>
        <v>0</v>
      </c>
      <c r="Z190" s="49"/>
      <c r="AA190" s="49">
        <f t="shared" si="105"/>
        <v>0</v>
      </c>
      <c r="AB190" s="49">
        <f>SUM(H190:AA190)</f>
        <v>0</v>
      </c>
      <c r="AC190" s="29" t="str">
        <f>IF(ABS(AB190-F190)&lt;1,"ok","err")</f>
        <v>ok</v>
      </c>
    </row>
    <row r="191" spans="1:29" x14ac:dyDescent="0.2">
      <c r="A191" s="14">
        <v>568</v>
      </c>
      <c r="B191" s="14" t="s">
        <v>917</v>
      </c>
      <c r="C191" s="14" t="s">
        <v>407</v>
      </c>
      <c r="D191" s="14" t="s">
        <v>390</v>
      </c>
      <c r="F191" s="255">
        <v>0</v>
      </c>
      <c r="G191" s="191"/>
      <c r="H191" s="49">
        <f t="shared" si="94"/>
        <v>0</v>
      </c>
      <c r="I191" s="49">
        <f t="shared" si="95"/>
        <v>0</v>
      </c>
      <c r="J191" s="49"/>
      <c r="K191" s="49">
        <f t="shared" si="96"/>
        <v>0</v>
      </c>
      <c r="L191" s="49"/>
      <c r="M191" s="49">
        <f t="shared" si="97"/>
        <v>0</v>
      </c>
      <c r="N191" s="49"/>
      <c r="O191" s="49">
        <f t="shared" si="98"/>
        <v>0</v>
      </c>
      <c r="P191" s="49">
        <f t="shared" si="99"/>
        <v>0</v>
      </c>
      <c r="Q191" s="49"/>
      <c r="R191" s="49">
        <f t="shared" si="100"/>
        <v>0</v>
      </c>
      <c r="S191" s="49">
        <f t="shared" si="101"/>
        <v>0</v>
      </c>
      <c r="T191" s="49"/>
      <c r="U191" s="49">
        <f t="shared" si="102"/>
        <v>0</v>
      </c>
      <c r="V191" s="49"/>
      <c r="W191" s="49">
        <f t="shared" si="103"/>
        <v>0</v>
      </c>
      <c r="X191" s="49"/>
      <c r="Y191" s="49">
        <f t="shared" si="104"/>
        <v>0</v>
      </c>
      <c r="Z191" s="49"/>
      <c r="AA191" s="49">
        <f t="shared" si="105"/>
        <v>0</v>
      </c>
      <c r="AB191" s="49">
        <f>SUM(H191:AA191)</f>
        <v>0</v>
      </c>
      <c r="AC191" s="29" t="str">
        <f>IF(ABS(AB191-F191)&lt;1,"ok","err")</f>
        <v>ok</v>
      </c>
    </row>
    <row r="192" spans="1:29" x14ac:dyDescent="0.2">
      <c r="A192" s="14">
        <v>569</v>
      </c>
      <c r="B192" s="14" t="s">
        <v>803</v>
      </c>
      <c r="C192" s="14" t="s">
        <v>918</v>
      </c>
      <c r="D192" s="14" t="s">
        <v>390</v>
      </c>
      <c r="F192" s="255">
        <v>0</v>
      </c>
      <c r="G192" s="191"/>
      <c r="H192" s="49">
        <f t="shared" si="94"/>
        <v>0</v>
      </c>
      <c r="I192" s="49">
        <f t="shared" si="95"/>
        <v>0</v>
      </c>
      <c r="J192" s="49"/>
      <c r="K192" s="49">
        <f t="shared" si="96"/>
        <v>0</v>
      </c>
      <c r="L192" s="49"/>
      <c r="M192" s="49">
        <f t="shared" si="97"/>
        <v>0</v>
      </c>
      <c r="N192" s="49"/>
      <c r="O192" s="49">
        <f t="shared" si="98"/>
        <v>0</v>
      </c>
      <c r="P192" s="49">
        <f t="shared" si="99"/>
        <v>0</v>
      </c>
      <c r="Q192" s="49"/>
      <c r="R192" s="49">
        <f t="shared" si="100"/>
        <v>0</v>
      </c>
      <c r="S192" s="49">
        <f t="shared" si="101"/>
        <v>0</v>
      </c>
      <c r="T192" s="49"/>
      <c r="U192" s="49">
        <f t="shared" si="102"/>
        <v>0</v>
      </c>
      <c r="V192" s="49"/>
      <c r="W192" s="49">
        <f t="shared" si="103"/>
        <v>0</v>
      </c>
      <c r="X192" s="49"/>
      <c r="Y192" s="49">
        <f t="shared" si="104"/>
        <v>0</v>
      </c>
      <c r="Z192" s="49"/>
      <c r="AA192" s="49">
        <f t="shared" si="105"/>
        <v>0</v>
      </c>
      <c r="AB192" s="49">
        <f t="shared" si="106"/>
        <v>0</v>
      </c>
      <c r="AC192" s="29" t="str">
        <f t="shared" si="107"/>
        <v>ok</v>
      </c>
    </row>
    <row r="193" spans="1:29" x14ac:dyDescent="0.2">
      <c r="A193" s="14">
        <v>570</v>
      </c>
      <c r="B193" s="14" t="s">
        <v>375</v>
      </c>
      <c r="C193" s="14" t="s">
        <v>408</v>
      </c>
      <c r="D193" s="14" t="s">
        <v>390</v>
      </c>
      <c r="F193" s="255">
        <v>0</v>
      </c>
      <c r="G193" s="191"/>
      <c r="H193" s="49">
        <f t="shared" si="94"/>
        <v>0</v>
      </c>
      <c r="I193" s="49">
        <f t="shared" si="95"/>
        <v>0</v>
      </c>
      <c r="J193" s="49"/>
      <c r="K193" s="49">
        <f t="shared" si="96"/>
        <v>0</v>
      </c>
      <c r="L193" s="49"/>
      <c r="M193" s="49">
        <f t="shared" si="97"/>
        <v>0</v>
      </c>
      <c r="N193" s="49"/>
      <c r="O193" s="49">
        <f t="shared" si="98"/>
        <v>0</v>
      </c>
      <c r="P193" s="49">
        <f t="shared" si="99"/>
        <v>0</v>
      </c>
      <c r="Q193" s="49"/>
      <c r="R193" s="49">
        <f t="shared" si="100"/>
        <v>0</v>
      </c>
      <c r="S193" s="49">
        <f t="shared" si="101"/>
        <v>0</v>
      </c>
      <c r="T193" s="49"/>
      <c r="U193" s="49">
        <f t="shared" si="102"/>
        <v>0</v>
      </c>
      <c r="V193" s="49"/>
      <c r="W193" s="49">
        <f t="shared" si="103"/>
        <v>0</v>
      </c>
      <c r="X193" s="49"/>
      <c r="Y193" s="49">
        <f t="shared" si="104"/>
        <v>0</v>
      </c>
      <c r="Z193" s="49"/>
      <c r="AA193" s="49">
        <f t="shared" si="105"/>
        <v>0</v>
      </c>
      <c r="AB193" s="49">
        <f t="shared" si="106"/>
        <v>0</v>
      </c>
      <c r="AC193" s="29" t="str">
        <f t="shared" si="107"/>
        <v>ok</v>
      </c>
    </row>
    <row r="194" spans="1:29" x14ac:dyDescent="0.2">
      <c r="A194" s="14">
        <v>571</v>
      </c>
      <c r="B194" s="14" t="s">
        <v>376</v>
      </c>
      <c r="C194" s="14" t="s">
        <v>409</v>
      </c>
      <c r="D194" s="14" t="s">
        <v>390</v>
      </c>
      <c r="F194" s="255">
        <v>0</v>
      </c>
      <c r="G194" s="191"/>
      <c r="H194" s="49">
        <f t="shared" si="94"/>
        <v>0</v>
      </c>
      <c r="I194" s="49">
        <f t="shared" si="95"/>
        <v>0</v>
      </c>
      <c r="J194" s="49"/>
      <c r="K194" s="49">
        <f t="shared" si="96"/>
        <v>0</v>
      </c>
      <c r="L194" s="49"/>
      <c r="M194" s="49">
        <f t="shared" si="97"/>
        <v>0</v>
      </c>
      <c r="N194" s="49"/>
      <c r="O194" s="49">
        <f t="shared" si="98"/>
        <v>0</v>
      </c>
      <c r="P194" s="49">
        <f t="shared" si="99"/>
        <v>0</v>
      </c>
      <c r="Q194" s="49"/>
      <c r="R194" s="49">
        <f t="shared" si="100"/>
        <v>0</v>
      </c>
      <c r="S194" s="49">
        <f t="shared" si="101"/>
        <v>0</v>
      </c>
      <c r="T194" s="49"/>
      <c r="U194" s="49">
        <f t="shared" si="102"/>
        <v>0</v>
      </c>
      <c r="V194" s="49"/>
      <c r="W194" s="49">
        <f t="shared" si="103"/>
        <v>0</v>
      </c>
      <c r="X194" s="49"/>
      <c r="Y194" s="49">
        <f t="shared" si="104"/>
        <v>0</v>
      </c>
      <c r="Z194" s="49"/>
      <c r="AA194" s="49">
        <f t="shared" si="105"/>
        <v>0</v>
      </c>
      <c r="AB194" s="49">
        <f t="shared" si="106"/>
        <v>0</v>
      </c>
      <c r="AC194" s="29" t="str">
        <f t="shared" si="107"/>
        <v>ok</v>
      </c>
    </row>
    <row r="195" spans="1:29" x14ac:dyDescent="0.2">
      <c r="A195" s="14">
        <v>572</v>
      </c>
      <c r="B195" s="14" t="s">
        <v>924</v>
      </c>
      <c r="C195" s="14" t="s">
        <v>921</v>
      </c>
      <c r="D195" s="14" t="s">
        <v>390</v>
      </c>
      <c r="F195" s="255">
        <v>0</v>
      </c>
      <c r="G195" s="191"/>
      <c r="H195" s="49">
        <f t="shared" si="94"/>
        <v>0</v>
      </c>
      <c r="I195" s="49">
        <f t="shared" si="95"/>
        <v>0</v>
      </c>
      <c r="J195" s="49"/>
      <c r="K195" s="49">
        <f t="shared" si="96"/>
        <v>0</v>
      </c>
      <c r="L195" s="49"/>
      <c r="M195" s="49">
        <f t="shared" si="97"/>
        <v>0</v>
      </c>
      <c r="N195" s="49"/>
      <c r="O195" s="49">
        <f t="shared" si="98"/>
        <v>0</v>
      </c>
      <c r="P195" s="49">
        <f t="shared" si="99"/>
        <v>0</v>
      </c>
      <c r="Q195" s="49"/>
      <c r="R195" s="49">
        <f t="shared" si="100"/>
        <v>0</v>
      </c>
      <c r="S195" s="49">
        <f t="shared" si="101"/>
        <v>0</v>
      </c>
      <c r="T195" s="49"/>
      <c r="U195" s="49">
        <f t="shared" si="102"/>
        <v>0</v>
      </c>
      <c r="V195" s="49"/>
      <c r="W195" s="49">
        <f t="shared" si="103"/>
        <v>0</v>
      </c>
      <c r="X195" s="49"/>
      <c r="Y195" s="49">
        <f t="shared" si="104"/>
        <v>0</v>
      </c>
      <c r="Z195" s="49"/>
      <c r="AA195" s="49">
        <f t="shared" si="105"/>
        <v>0</v>
      </c>
      <c r="AB195" s="49">
        <f>SUM(H195:AA195)</f>
        <v>0</v>
      </c>
      <c r="AC195" s="29" t="str">
        <f>IF(ABS(AB195-F195)&lt;1,"ok","err")</f>
        <v>ok</v>
      </c>
    </row>
    <row r="196" spans="1:29" x14ac:dyDescent="0.2">
      <c r="A196" s="14">
        <v>573</v>
      </c>
      <c r="B196" s="14" t="s">
        <v>919</v>
      </c>
      <c r="C196" s="14" t="s">
        <v>922</v>
      </c>
      <c r="D196" s="14" t="s">
        <v>390</v>
      </c>
      <c r="F196" s="255">
        <v>0</v>
      </c>
      <c r="G196" s="191"/>
      <c r="H196" s="49">
        <f t="shared" si="94"/>
        <v>0</v>
      </c>
      <c r="I196" s="49">
        <f t="shared" si="95"/>
        <v>0</v>
      </c>
      <c r="J196" s="49"/>
      <c r="K196" s="49">
        <f t="shared" si="96"/>
        <v>0</v>
      </c>
      <c r="L196" s="49"/>
      <c r="M196" s="49">
        <f t="shared" si="97"/>
        <v>0</v>
      </c>
      <c r="N196" s="49"/>
      <c r="O196" s="49">
        <f t="shared" si="98"/>
        <v>0</v>
      </c>
      <c r="P196" s="49">
        <f t="shared" si="99"/>
        <v>0</v>
      </c>
      <c r="Q196" s="49"/>
      <c r="R196" s="49">
        <f t="shared" si="100"/>
        <v>0</v>
      </c>
      <c r="S196" s="49">
        <f t="shared" si="101"/>
        <v>0</v>
      </c>
      <c r="T196" s="49"/>
      <c r="U196" s="49">
        <f t="shared" si="102"/>
        <v>0</v>
      </c>
      <c r="V196" s="49"/>
      <c r="W196" s="49">
        <f t="shared" si="103"/>
        <v>0</v>
      </c>
      <c r="X196" s="49"/>
      <c r="Y196" s="49">
        <f t="shared" si="104"/>
        <v>0</v>
      </c>
      <c r="Z196" s="49"/>
      <c r="AA196" s="49">
        <f t="shared" si="105"/>
        <v>0</v>
      </c>
      <c r="AB196" s="49">
        <f>SUM(H196:AA196)</f>
        <v>0</v>
      </c>
      <c r="AC196" s="29" t="str">
        <f>IF(ABS(AB196-F196)&lt;1,"ok","err")</f>
        <v>ok</v>
      </c>
    </row>
    <row r="197" spans="1:29" x14ac:dyDescent="0.2">
      <c r="A197" s="14">
        <v>574</v>
      </c>
      <c r="B197" s="14" t="s">
        <v>920</v>
      </c>
      <c r="C197" s="14" t="s">
        <v>923</v>
      </c>
      <c r="D197" s="14" t="s">
        <v>390</v>
      </c>
      <c r="F197" s="255">
        <v>0</v>
      </c>
      <c r="G197" s="191"/>
      <c r="H197" s="49">
        <f t="shared" si="94"/>
        <v>0</v>
      </c>
      <c r="I197" s="49">
        <f t="shared" si="95"/>
        <v>0</v>
      </c>
      <c r="J197" s="49"/>
      <c r="K197" s="49">
        <f t="shared" si="96"/>
        <v>0</v>
      </c>
      <c r="L197" s="49"/>
      <c r="M197" s="49">
        <f t="shared" si="97"/>
        <v>0</v>
      </c>
      <c r="N197" s="49"/>
      <c r="O197" s="49">
        <f t="shared" si="98"/>
        <v>0</v>
      </c>
      <c r="P197" s="49">
        <f t="shared" si="99"/>
        <v>0</v>
      </c>
      <c r="Q197" s="49"/>
      <c r="R197" s="49">
        <f t="shared" si="100"/>
        <v>0</v>
      </c>
      <c r="S197" s="49">
        <f t="shared" si="101"/>
        <v>0</v>
      </c>
      <c r="T197" s="49"/>
      <c r="U197" s="49">
        <f t="shared" si="102"/>
        <v>0</v>
      </c>
      <c r="V197" s="49"/>
      <c r="W197" s="49">
        <f t="shared" si="103"/>
        <v>0</v>
      </c>
      <c r="X197" s="49"/>
      <c r="Y197" s="49">
        <f t="shared" si="104"/>
        <v>0</v>
      </c>
      <c r="Z197" s="49"/>
      <c r="AA197" s="49">
        <f t="shared" si="105"/>
        <v>0</v>
      </c>
      <c r="AB197" s="49">
        <f t="shared" si="106"/>
        <v>0</v>
      </c>
      <c r="AC197" s="29" t="str">
        <f t="shared" si="107"/>
        <v>ok</v>
      </c>
    </row>
    <row r="198" spans="1:29" x14ac:dyDescent="0.2">
      <c r="F198" s="254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49"/>
      <c r="AC198" s="29"/>
    </row>
    <row r="199" spans="1:29" x14ac:dyDescent="0.2">
      <c r="A199" s="14" t="s">
        <v>377</v>
      </c>
      <c r="F199" s="256">
        <f>SUM(F183:F197)</f>
        <v>0</v>
      </c>
      <c r="G199" s="90"/>
      <c r="H199" s="90">
        <f t="shared" ref="H199:AA199" si="108">SUM(H183:H197)</f>
        <v>0</v>
      </c>
      <c r="I199" s="90">
        <f t="shared" si="108"/>
        <v>0</v>
      </c>
      <c r="J199" s="90"/>
      <c r="K199" s="90">
        <f t="shared" si="108"/>
        <v>0</v>
      </c>
      <c r="L199" s="90"/>
      <c r="M199" s="90">
        <f t="shared" si="108"/>
        <v>0</v>
      </c>
      <c r="N199" s="90"/>
      <c r="O199" s="90">
        <f t="shared" si="108"/>
        <v>0</v>
      </c>
      <c r="P199" s="90">
        <f t="shared" si="108"/>
        <v>0</v>
      </c>
      <c r="Q199" s="90"/>
      <c r="R199" s="90">
        <f t="shared" si="108"/>
        <v>0</v>
      </c>
      <c r="S199" s="90">
        <f t="shared" si="108"/>
        <v>0</v>
      </c>
      <c r="T199" s="90"/>
      <c r="U199" s="90">
        <f t="shared" si="108"/>
        <v>0</v>
      </c>
      <c r="V199" s="90"/>
      <c r="W199" s="90">
        <f t="shared" si="108"/>
        <v>0</v>
      </c>
      <c r="X199" s="90"/>
      <c r="Y199" s="90">
        <f t="shared" si="108"/>
        <v>0</v>
      </c>
      <c r="Z199" s="90"/>
      <c r="AA199" s="90">
        <f t="shared" si="108"/>
        <v>0</v>
      </c>
      <c r="AB199" s="65">
        <f>SUM(H199:AA199)</f>
        <v>0</v>
      </c>
      <c r="AC199" s="29" t="str">
        <f>IF(ABS(AB199-F199)&lt;1,"ok","err")</f>
        <v>ok</v>
      </c>
    </row>
    <row r="200" spans="1:29" x14ac:dyDescent="0.2">
      <c r="B200" s="90"/>
      <c r="Q200" s="14"/>
      <c r="AC200" s="29"/>
    </row>
    <row r="201" spans="1:29" x14ac:dyDescent="0.2">
      <c r="A201" s="13" t="s">
        <v>98</v>
      </c>
      <c r="Q201" s="14"/>
      <c r="AC201" s="29"/>
    </row>
    <row r="202" spans="1:29" x14ac:dyDescent="0.2">
      <c r="A202" s="14">
        <v>580</v>
      </c>
      <c r="B202" s="14" t="s">
        <v>99</v>
      </c>
      <c r="C202" s="14" t="s">
        <v>100</v>
      </c>
      <c r="D202" s="14" t="s">
        <v>16</v>
      </c>
      <c r="F202" s="254">
        <v>394614.97</v>
      </c>
      <c r="G202" s="190"/>
      <c r="H202" s="49">
        <f t="shared" ref="H202:H213" si="109">IF(VLOOKUP($D202,$C$5:$AA$496,6,)=0,0,((VLOOKUP($D202,$C$5:$AA$496,6,)/VLOOKUP($D202,$C$5:$AA$496,4,))*$F202))</f>
        <v>0</v>
      </c>
      <c r="I202" s="49">
        <f t="shared" ref="I202:I213" si="110">IF(VLOOKUP($D202,$C$5:$AA$496,7,)=0,0,((VLOOKUP($D202,$C$5:$AA$496,7,)/VLOOKUP($D202,$C$5:$AA$496,4,))*$F202))</f>
        <v>0</v>
      </c>
      <c r="J202" s="49"/>
      <c r="K202" s="49">
        <f t="shared" ref="K202:K213" si="111">IF(VLOOKUP($D202,$C$5:$AA$496,9,)=0,0,((VLOOKUP($D202,$C$5:$AA$496,9,)/VLOOKUP($D202,$C$5:$AA$496,4,))*$F202))</f>
        <v>0</v>
      </c>
      <c r="L202" s="49"/>
      <c r="M202" s="49">
        <f t="shared" ref="M202:M213" si="112">IF(VLOOKUP($D202,$C$5:$AA$496,11,)=0,0,((VLOOKUP($D202,$C$5:$AA$496,11,)/VLOOKUP($D202,$C$5:$AA$496,4,))*$F202))</f>
        <v>50819.369500904839</v>
      </c>
      <c r="N202" s="49"/>
      <c r="O202" s="49">
        <f t="shared" ref="O202:O213" si="113">IF(VLOOKUP($D202,$C$5:$AA$496,13,)=0,0,((VLOOKUP($D202,$C$5:$AA$496,13,)/VLOOKUP($D202,$C$5:$AA$496,4,))*$F202))</f>
        <v>110498.46124071885</v>
      </c>
      <c r="P202" s="49">
        <f t="shared" ref="P202:P213" si="114">IF(VLOOKUP($D202,$C$5:$AA$496,14,)=0,0,((VLOOKUP($D202,$C$5:$AA$496,14,)/VLOOKUP($D202,$C$5:$AA$496,4,))*$F202))</f>
        <v>188311.95795945579</v>
      </c>
      <c r="Q202" s="49"/>
      <c r="R202" s="49">
        <f t="shared" ref="R202:R213" si="115">IF(VLOOKUP($D202,$C$5:$AA$496,16,)=0,0,((VLOOKUP($D202,$C$5:$AA$496,16,)/VLOOKUP($D202,$C$5:$AA$496,4,))*$F202))</f>
        <v>0</v>
      </c>
      <c r="S202" s="49">
        <f t="shared" ref="S202:S213" si="116">IF(VLOOKUP($D202,$C$5:$AA$496,17,)=0,0,((VLOOKUP($D202,$C$5:$AA$496,17,)/VLOOKUP($D202,$C$5:$AA$496,4,))*$F202))</f>
        <v>15202.744754076226</v>
      </c>
      <c r="T202" s="49"/>
      <c r="U202" s="49">
        <f t="shared" ref="U202:U213" si="117">IF(VLOOKUP($D202,$C$5:$AA$496,19,)=0,0,((VLOOKUP($D202,$C$5:$AA$496,19,)/VLOOKUP($D202,$C$5:$AA$496,4,))*$F202))</f>
        <v>15018.284935132964</v>
      </c>
      <c r="V202" s="49"/>
      <c r="W202" s="49">
        <f t="shared" ref="W202:W213" si="118">IF(VLOOKUP($D202,$C$5:$AA$496,21,)=0,0,((VLOOKUP($D202,$C$5:$AA$496,21,)/VLOOKUP($D202,$C$5:$AA$496,4,))*$F202))</f>
        <v>14764.151609711333</v>
      </c>
      <c r="X202" s="49"/>
      <c r="Y202" s="49">
        <f t="shared" ref="Y202:Y213" si="119">IF(VLOOKUP($D202,$C$5:$AA$496,23,)=0,0,((VLOOKUP($D202,$C$5:$AA$496,23,)/VLOOKUP($D202,$C$5:$AA$496,4,))*$F202))</f>
        <v>0</v>
      </c>
      <c r="Z202" s="49"/>
      <c r="AA202" s="49">
        <f t="shared" ref="AA202:AA213" si="120">IF(VLOOKUP($D202,$C$5:$AA$496,25,)=0,0,((VLOOKUP($D202,$C$5:$AA$496,25,)/VLOOKUP($D202,$C$5:$AA$496,4,))*$F202))</f>
        <v>0</v>
      </c>
      <c r="AB202" s="49">
        <f t="shared" ref="AB202:AB213" si="121">SUM(H202:AA202)</f>
        <v>394614.97000000003</v>
      </c>
      <c r="AC202" s="29" t="str">
        <f t="shared" ref="AC202:AC213" si="122">IF(ABS(AB202-F202)&lt;1,"ok","err")</f>
        <v>ok</v>
      </c>
    </row>
    <row r="203" spans="1:29" x14ac:dyDescent="0.2">
      <c r="A203" s="14">
        <v>581</v>
      </c>
      <c r="B203" s="14" t="s">
        <v>101</v>
      </c>
      <c r="C203" s="14" t="s">
        <v>102</v>
      </c>
      <c r="D203" s="14" t="s">
        <v>23</v>
      </c>
      <c r="F203" s="255">
        <v>0</v>
      </c>
      <c r="G203" s="191"/>
      <c r="H203" s="49">
        <f t="shared" si="109"/>
        <v>0</v>
      </c>
      <c r="I203" s="49">
        <f t="shared" si="110"/>
        <v>0</v>
      </c>
      <c r="J203" s="49"/>
      <c r="K203" s="49">
        <f t="shared" si="111"/>
        <v>0</v>
      </c>
      <c r="L203" s="49"/>
      <c r="M203" s="49">
        <f t="shared" si="112"/>
        <v>0</v>
      </c>
      <c r="N203" s="49"/>
      <c r="O203" s="49">
        <f t="shared" si="113"/>
        <v>0</v>
      </c>
      <c r="P203" s="49">
        <f t="shared" si="114"/>
        <v>0</v>
      </c>
      <c r="Q203" s="49"/>
      <c r="R203" s="49">
        <f t="shared" si="115"/>
        <v>0</v>
      </c>
      <c r="S203" s="49">
        <f t="shared" si="116"/>
        <v>0</v>
      </c>
      <c r="T203" s="49"/>
      <c r="U203" s="49">
        <f t="shared" si="117"/>
        <v>0</v>
      </c>
      <c r="V203" s="49"/>
      <c r="W203" s="49">
        <f t="shared" si="118"/>
        <v>0</v>
      </c>
      <c r="X203" s="49"/>
      <c r="Y203" s="49">
        <f t="shared" si="119"/>
        <v>0</v>
      </c>
      <c r="Z203" s="49"/>
      <c r="AA203" s="49">
        <f t="shared" si="120"/>
        <v>0</v>
      </c>
      <c r="AB203" s="49">
        <f t="shared" si="121"/>
        <v>0</v>
      </c>
      <c r="AC203" s="29" t="str">
        <f t="shared" si="122"/>
        <v>ok</v>
      </c>
    </row>
    <row r="204" spans="1:29" x14ac:dyDescent="0.2">
      <c r="A204" s="14">
        <v>582</v>
      </c>
      <c r="B204" s="14" t="s">
        <v>372</v>
      </c>
      <c r="C204" s="14" t="s">
        <v>378</v>
      </c>
      <c r="D204" s="14" t="s">
        <v>23</v>
      </c>
      <c r="F204" s="255">
        <v>106544.12999999999</v>
      </c>
      <c r="G204" s="191"/>
      <c r="H204" s="49">
        <f t="shared" si="109"/>
        <v>0</v>
      </c>
      <c r="I204" s="49">
        <f t="shared" si="110"/>
        <v>0</v>
      </c>
      <c r="J204" s="49"/>
      <c r="K204" s="49">
        <f t="shared" si="111"/>
        <v>0</v>
      </c>
      <c r="L204" s="49"/>
      <c r="M204" s="49">
        <f t="shared" si="112"/>
        <v>106544.12999999999</v>
      </c>
      <c r="N204" s="49"/>
      <c r="O204" s="49">
        <f t="shared" si="113"/>
        <v>0</v>
      </c>
      <c r="P204" s="49">
        <f t="shared" si="114"/>
        <v>0</v>
      </c>
      <c r="Q204" s="49"/>
      <c r="R204" s="49">
        <f t="shared" si="115"/>
        <v>0</v>
      </c>
      <c r="S204" s="49">
        <f t="shared" si="116"/>
        <v>0</v>
      </c>
      <c r="T204" s="49"/>
      <c r="U204" s="49">
        <f t="shared" si="117"/>
        <v>0</v>
      </c>
      <c r="V204" s="49"/>
      <c r="W204" s="49">
        <f t="shared" si="118"/>
        <v>0</v>
      </c>
      <c r="X204" s="49"/>
      <c r="Y204" s="49">
        <f t="shared" si="119"/>
        <v>0</v>
      </c>
      <c r="Z204" s="49"/>
      <c r="AA204" s="49">
        <f t="shared" si="120"/>
        <v>0</v>
      </c>
      <c r="AB204" s="49">
        <f t="shared" si="121"/>
        <v>106544.12999999999</v>
      </c>
      <c r="AC204" s="29" t="str">
        <f t="shared" si="122"/>
        <v>ok</v>
      </c>
    </row>
    <row r="205" spans="1:29" x14ac:dyDescent="0.2">
      <c r="A205" s="14">
        <v>583</v>
      </c>
      <c r="B205" s="14" t="s">
        <v>103</v>
      </c>
      <c r="C205" s="14" t="s">
        <v>104</v>
      </c>
      <c r="D205" s="14" t="s">
        <v>29</v>
      </c>
      <c r="F205" s="255">
        <v>1322785.3400000001</v>
      </c>
      <c r="G205" s="191"/>
      <c r="H205" s="49">
        <f t="shared" si="109"/>
        <v>0</v>
      </c>
      <c r="I205" s="49">
        <f t="shared" si="110"/>
        <v>0</v>
      </c>
      <c r="J205" s="49"/>
      <c r="K205" s="49">
        <f t="shared" si="111"/>
        <v>0</v>
      </c>
      <c r="L205" s="49"/>
      <c r="M205" s="49">
        <f t="shared" si="112"/>
        <v>0</v>
      </c>
      <c r="N205" s="49"/>
      <c r="O205" s="49">
        <f t="shared" si="113"/>
        <v>475425.87281023973</v>
      </c>
      <c r="P205" s="49">
        <f t="shared" si="114"/>
        <v>847359.4671897603</v>
      </c>
      <c r="Q205" s="49"/>
      <c r="R205" s="49">
        <f t="shared" si="115"/>
        <v>0</v>
      </c>
      <c r="S205" s="49">
        <f t="shared" si="116"/>
        <v>0</v>
      </c>
      <c r="T205" s="49"/>
      <c r="U205" s="49">
        <f t="shared" si="117"/>
        <v>0</v>
      </c>
      <c r="V205" s="49"/>
      <c r="W205" s="49">
        <f t="shared" si="118"/>
        <v>0</v>
      </c>
      <c r="X205" s="49"/>
      <c r="Y205" s="49">
        <f t="shared" si="119"/>
        <v>0</v>
      </c>
      <c r="Z205" s="49"/>
      <c r="AA205" s="49">
        <f t="shared" si="120"/>
        <v>0</v>
      </c>
      <c r="AB205" s="49">
        <f t="shared" si="121"/>
        <v>1322785.3400000001</v>
      </c>
      <c r="AC205" s="29" t="str">
        <f t="shared" si="122"/>
        <v>ok</v>
      </c>
    </row>
    <row r="206" spans="1:29" x14ac:dyDescent="0.2">
      <c r="A206" s="14">
        <v>584</v>
      </c>
      <c r="B206" s="14" t="s">
        <v>105</v>
      </c>
      <c r="C206" s="14" t="s">
        <v>106</v>
      </c>
      <c r="D206" s="14" t="s">
        <v>35</v>
      </c>
      <c r="F206" s="255">
        <v>0</v>
      </c>
      <c r="G206" s="191"/>
      <c r="H206" s="49">
        <f t="shared" si="109"/>
        <v>0</v>
      </c>
      <c r="I206" s="49">
        <f t="shared" si="110"/>
        <v>0</v>
      </c>
      <c r="J206" s="49"/>
      <c r="K206" s="49">
        <f t="shared" si="111"/>
        <v>0</v>
      </c>
      <c r="L206" s="49"/>
      <c r="M206" s="49">
        <f t="shared" si="112"/>
        <v>0</v>
      </c>
      <c r="N206" s="49"/>
      <c r="O206" s="49">
        <f t="shared" si="113"/>
        <v>0</v>
      </c>
      <c r="P206" s="49">
        <f t="shared" si="114"/>
        <v>0</v>
      </c>
      <c r="Q206" s="49"/>
      <c r="R206" s="49">
        <f t="shared" si="115"/>
        <v>0</v>
      </c>
      <c r="S206" s="49">
        <f t="shared" si="116"/>
        <v>0</v>
      </c>
      <c r="T206" s="49"/>
      <c r="U206" s="49">
        <f t="shared" si="117"/>
        <v>0</v>
      </c>
      <c r="V206" s="49"/>
      <c r="W206" s="49">
        <f t="shared" si="118"/>
        <v>0</v>
      </c>
      <c r="X206" s="49"/>
      <c r="Y206" s="49">
        <f t="shared" si="119"/>
        <v>0</v>
      </c>
      <c r="Z206" s="49"/>
      <c r="AA206" s="49">
        <f t="shared" si="120"/>
        <v>0</v>
      </c>
      <c r="AB206" s="49">
        <f t="shared" si="121"/>
        <v>0</v>
      </c>
      <c r="AC206" s="29" t="str">
        <f t="shared" si="122"/>
        <v>ok</v>
      </c>
    </row>
    <row r="207" spans="1:29" x14ac:dyDescent="0.2">
      <c r="A207" s="14">
        <v>585</v>
      </c>
      <c r="B207" s="14" t="s">
        <v>107</v>
      </c>
      <c r="C207" s="14" t="s">
        <v>108</v>
      </c>
      <c r="D207" s="14" t="s">
        <v>46</v>
      </c>
      <c r="F207" s="255">
        <v>0</v>
      </c>
      <c r="G207" s="191"/>
      <c r="H207" s="49">
        <f t="shared" si="109"/>
        <v>0</v>
      </c>
      <c r="I207" s="49">
        <f t="shared" si="110"/>
        <v>0</v>
      </c>
      <c r="J207" s="49"/>
      <c r="K207" s="49">
        <f t="shared" si="111"/>
        <v>0</v>
      </c>
      <c r="L207" s="49"/>
      <c r="M207" s="49">
        <f t="shared" si="112"/>
        <v>0</v>
      </c>
      <c r="N207" s="49"/>
      <c r="O207" s="49">
        <f t="shared" si="113"/>
        <v>0</v>
      </c>
      <c r="P207" s="49">
        <f t="shared" si="114"/>
        <v>0</v>
      </c>
      <c r="Q207" s="49"/>
      <c r="R207" s="49">
        <f t="shared" si="115"/>
        <v>0</v>
      </c>
      <c r="S207" s="49">
        <f t="shared" si="116"/>
        <v>0</v>
      </c>
      <c r="T207" s="49"/>
      <c r="U207" s="49">
        <f t="shared" si="117"/>
        <v>0</v>
      </c>
      <c r="V207" s="49"/>
      <c r="W207" s="49">
        <f t="shared" si="118"/>
        <v>0</v>
      </c>
      <c r="X207" s="49"/>
      <c r="Y207" s="49">
        <f t="shared" si="119"/>
        <v>0</v>
      </c>
      <c r="Z207" s="49"/>
      <c r="AA207" s="49">
        <f t="shared" si="120"/>
        <v>0</v>
      </c>
      <c r="AB207" s="49">
        <f t="shared" si="121"/>
        <v>0</v>
      </c>
      <c r="AC207" s="29" t="str">
        <f t="shared" si="122"/>
        <v>ok</v>
      </c>
    </row>
    <row r="208" spans="1:29" x14ac:dyDescent="0.2">
      <c r="A208" s="14">
        <v>586</v>
      </c>
      <c r="B208" s="14" t="s">
        <v>109</v>
      </c>
      <c r="C208" s="14" t="s">
        <v>110</v>
      </c>
      <c r="D208" s="14" t="s">
        <v>43</v>
      </c>
      <c r="F208" s="255">
        <v>347321.41</v>
      </c>
      <c r="G208" s="191"/>
      <c r="H208" s="49">
        <f t="shared" si="109"/>
        <v>0</v>
      </c>
      <c r="I208" s="49">
        <f t="shared" si="110"/>
        <v>0</v>
      </c>
      <c r="J208" s="49"/>
      <c r="K208" s="49">
        <f t="shared" si="111"/>
        <v>0</v>
      </c>
      <c r="L208" s="49"/>
      <c r="M208" s="49">
        <f t="shared" si="112"/>
        <v>0</v>
      </c>
      <c r="N208" s="49"/>
      <c r="O208" s="49">
        <f t="shared" si="113"/>
        <v>0</v>
      </c>
      <c r="P208" s="49">
        <f t="shared" si="114"/>
        <v>0</v>
      </c>
      <c r="Q208" s="49"/>
      <c r="R208" s="49">
        <f t="shared" si="115"/>
        <v>0</v>
      </c>
      <c r="S208" s="49">
        <f t="shared" si="116"/>
        <v>0</v>
      </c>
      <c r="T208" s="49"/>
      <c r="U208" s="49">
        <f t="shared" si="117"/>
        <v>347321.41</v>
      </c>
      <c r="V208" s="49"/>
      <c r="W208" s="49">
        <f t="shared" si="118"/>
        <v>0</v>
      </c>
      <c r="X208" s="49"/>
      <c r="Y208" s="49">
        <f t="shared" si="119"/>
        <v>0</v>
      </c>
      <c r="Z208" s="49"/>
      <c r="AA208" s="49">
        <f t="shared" si="120"/>
        <v>0</v>
      </c>
      <c r="AB208" s="49">
        <f t="shared" si="121"/>
        <v>347321.41</v>
      </c>
      <c r="AC208" s="29" t="str">
        <f t="shared" si="122"/>
        <v>ok</v>
      </c>
    </row>
    <row r="209" spans="1:29" x14ac:dyDescent="0.2">
      <c r="A209" s="14">
        <v>586</v>
      </c>
      <c r="B209" s="14" t="s">
        <v>450</v>
      </c>
      <c r="C209" s="14" t="s">
        <v>451</v>
      </c>
      <c r="D209" s="14" t="s">
        <v>471</v>
      </c>
      <c r="F209" s="255">
        <v>0</v>
      </c>
      <c r="G209" s="191"/>
      <c r="H209" s="49">
        <f t="shared" si="109"/>
        <v>0</v>
      </c>
      <c r="I209" s="49">
        <f t="shared" si="110"/>
        <v>0</v>
      </c>
      <c r="J209" s="49"/>
      <c r="K209" s="49">
        <f t="shared" si="111"/>
        <v>0</v>
      </c>
      <c r="L209" s="49"/>
      <c r="M209" s="49">
        <f t="shared" si="112"/>
        <v>0</v>
      </c>
      <c r="N209" s="49"/>
      <c r="O209" s="49">
        <f t="shared" si="113"/>
        <v>0</v>
      </c>
      <c r="P209" s="49">
        <f t="shared" si="114"/>
        <v>0</v>
      </c>
      <c r="Q209" s="49"/>
      <c r="R209" s="49">
        <f t="shared" si="115"/>
        <v>0</v>
      </c>
      <c r="S209" s="49">
        <f t="shared" si="116"/>
        <v>0</v>
      </c>
      <c r="T209" s="49"/>
      <c r="U209" s="49">
        <f t="shared" si="117"/>
        <v>0</v>
      </c>
      <c r="V209" s="49"/>
      <c r="W209" s="49">
        <f t="shared" si="118"/>
        <v>0</v>
      </c>
      <c r="X209" s="49"/>
      <c r="Y209" s="49">
        <f t="shared" si="119"/>
        <v>0</v>
      </c>
      <c r="Z209" s="49"/>
      <c r="AA209" s="49">
        <f t="shared" si="120"/>
        <v>0</v>
      </c>
      <c r="AB209" s="49">
        <f t="shared" si="121"/>
        <v>0</v>
      </c>
      <c r="AC209" s="29" t="str">
        <f t="shared" si="122"/>
        <v>ok</v>
      </c>
    </row>
    <row r="210" spans="1:29" x14ac:dyDescent="0.2">
      <c r="A210" s="14">
        <v>587</v>
      </c>
      <c r="B210" s="14" t="s">
        <v>111</v>
      </c>
      <c r="C210" s="14" t="s">
        <v>112</v>
      </c>
      <c r="D210" s="14" t="s">
        <v>40</v>
      </c>
      <c r="F210" s="255">
        <v>80956.700000000012</v>
      </c>
      <c r="G210" s="191"/>
      <c r="H210" s="49">
        <f t="shared" si="109"/>
        <v>0</v>
      </c>
      <c r="I210" s="49">
        <f t="shared" si="110"/>
        <v>0</v>
      </c>
      <c r="J210" s="49"/>
      <c r="K210" s="49">
        <f t="shared" si="111"/>
        <v>0</v>
      </c>
      <c r="L210" s="49"/>
      <c r="M210" s="49">
        <f t="shared" si="112"/>
        <v>0</v>
      </c>
      <c r="N210" s="49"/>
      <c r="O210" s="49">
        <f t="shared" si="113"/>
        <v>0</v>
      </c>
      <c r="P210" s="49">
        <f t="shared" si="114"/>
        <v>0</v>
      </c>
      <c r="Q210" s="49"/>
      <c r="R210" s="49">
        <f t="shared" si="115"/>
        <v>0</v>
      </c>
      <c r="S210" s="49">
        <f t="shared" si="116"/>
        <v>80956.700000000012</v>
      </c>
      <c r="T210" s="49"/>
      <c r="U210" s="49">
        <f t="shared" si="117"/>
        <v>0</v>
      </c>
      <c r="V210" s="49"/>
      <c r="W210" s="49">
        <f t="shared" si="118"/>
        <v>0</v>
      </c>
      <c r="X210" s="49"/>
      <c r="Y210" s="49">
        <f t="shared" si="119"/>
        <v>0</v>
      </c>
      <c r="Z210" s="49"/>
      <c r="AA210" s="49">
        <f t="shared" si="120"/>
        <v>0</v>
      </c>
      <c r="AB210" s="49">
        <f t="shared" si="121"/>
        <v>80956.700000000012</v>
      </c>
      <c r="AC210" s="29" t="str">
        <f t="shared" si="122"/>
        <v>ok</v>
      </c>
    </row>
    <row r="211" spans="1:29" x14ac:dyDescent="0.2">
      <c r="A211" s="14">
        <v>588</v>
      </c>
      <c r="B211" s="14" t="s">
        <v>113</v>
      </c>
      <c r="C211" s="14" t="s">
        <v>114</v>
      </c>
      <c r="D211" s="14" t="s">
        <v>16</v>
      </c>
      <c r="F211" s="255">
        <v>1674491.1800000002</v>
      </c>
      <c r="G211" s="191"/>
      <c r="H211" s="49">
        <f t="shared" si="109"/>
        <v>0</v>
      </c>
      <c r="I211" s="49">
        <f t="shared" si="110"/>
        <v>0</v>
      </c>
      <c r="J211" s="49"/>
      <c r="K211" s="49">
        <f t="shared" si="111"/>
        <v>0</v>
      </c>
      <c r="L211" s="49"/>
      <c r="M211" s="49">
        <f t="shared" si="112"/>
        <v>215644.59656060734</v>
      </c>
      <c r="N211" s="49"/>
      <c r="O211" s="49">
        <f t="shared" si="113"/>
        <v>468884.13470770157</v>
      </c>
      <c r="P211" s="49">
        <f t="shared" si="114"/>
        <v>799074.38050725637</v>
      </c>
      <c r="Q211" s="49"/>
      <c r="R211" s="49">
        <f t="shared" si="115"/>
        <v>0</v>
      </c>
      <c r="S211" s="49">
        <f t="shared" si="116"/>
        <v>64510.634258228754</v>
      </c>
      <c r="T211" s="49"/>
      <c r="U211" s="49">
        <f t="shared" si="117"/>
        <v>63727.905868870163</v>
      </c>
      <c r="V211" s="49"/>
      <c r="W211" s="49">
        <f t="shared" si="118"/>
        <v>62649.528097336079</v>
      </c>
      <c r="X211" s="49"/>
      <c r="Y211" s="49">
        <f t="shared" si="119"/>
        <v>0</v>
      </c>
      <c r="Z211" s="49"/>
      <c r="AA211" s="49">
        <f t="shared" si="120"/>
        <v>0</v>
      </c>
      <c r="AB211" s="49">
        <f t="shared" si="121"/>
        <v>1674491.1800000006</v>
      </c>
      <c r="AC211" s="29" t="str">
        <f t="shared" si="122"/>
        <v>ok</v>
      </c>
    </row>
    <row r="212" spans="1:29" x14ac:dyDescent="0.2">
      <c r="A212" s="14">
        <v>588</v>
      </c>
      <c r="B212" s="14" t="s">
        <v>709</v>
      </c>
      <c r="C212" s="14" t="s">
        <v>550</v>
      </c>
      <c r="D212" s="14" t="s">
        <v>551</v>
      </c>
      <c r="F212" s="255">
        <v>0</v>
      </c>
      <c r="G212" s="191"/>
      <c r="H212" s="49">
        <f t="shared" si="109"/>
        <v>0</v>
      </c>
      <c r="I212" s="49">
        <f t="shared" si="110"/>
        <v>0</v>
      </c>
      <c r="J212" s="49"/>
      <c r="K212" s="49">
        <f t="shared" si="111"/>
        <v>0</v>
      </c>
      <c r="L212" s="49"/>
      <c r="M212" s="49">
        <f t="shared" si="112"/>
        <v>0</v>
      </c>
      <c r="N212" s="49"/>
      <c r="O212" s="49">
        <f t="shared" si="113"/>
        <v>0</v>
      </c>
      <c r="P212" s="49">
        <f t="shared" si="114"/>
        <v>0</v>
      </c>
      <c r="Q212" s="49"/>
      <c r="R212" s="49">
        <f t="shared" si="115"/>
        <v>0</v>
      </c>
      <c r="S212" s="49">
        <f t="shared" si="116"/>
        <v>0</v>
      </c>
      <c r="T212" s="49"/>
      <c r="U212" s="49">
        <f t="shared" si="117"/>
        <v>0</v>
      </c>
      <c r="V212" s="49"/>
      <c r="W212" s="49">
        <f t="shared" si="118"/>
        <v>0</v>
      </c>
      <c r="X212" s="49"/>
      <c r="Y212" s="49">
        <f t="shared" si="119"/>
        <v>0</v>
      </c>
      <c r="Z212" s="49"/>
      <c r="AA212" s="49">
        <f t="shared" si="120"/>
        <v>0</v>
      </c>
      <c r="AB212" s="49">
        <f t="shared" si="121"/>
        <v>0</v>
      </c>
      <c r="AC212" s="29" t="str">
        <f t="shared" si="122"/>
        <v>ok</v>
      </c>
    </row>
    <row r="213" spans="1:29" x14ac:dyDescent="0.2">
      <c r="A213" s="14">
        <v>589</v>
      </c>
      <c r="B213" s="14" t="s">
        <v>115</v>
      </c>
      <c r="C213" s="14" t="s">
        <v>116</v>
      </c>
      <c r="D213" s="14" t="s">
        <v>16</v>
      </c>
      <c r="F213" s="255">
        <v>0</v>
      </c>
      <c r="G213" s="191"/>
      <c r="H213" s="49">
        <f t="shared" si="109"/>
        <v>0</v>
      </c>
      <c r="I213" s="49">
        <f t="shared" si="110"/>
        <v>0</v>
      </c>
      <c r="J213" s="49"/>
      <c r="K213" s="49">
        <f t="shared" si="111"/>
        <v>0</v>
      </c>
      <c r="L213" s="49"/>
      <c r="M213" s="49">
        <f t="shared" si="112"/>
        <v>0</v>
      </c>
      <c r="N213" s="49"/>
      <c r="O213" s="49">
        <f t="shared" si="113"/>
        <v>0</v>
      </c>
      <c r="P213" s="49">
        <f t="shared" si="114"/>
        <v>0</v>
      </c>
      <c r="Q213" s="49"/>
      <c r="R213" s="49">
        <f t="shared" si="115"/>
        <v>0</v>
      </c>
      <c r="S213" s="49">
        <f t="shared" si="116"/>
        <v>0</v>
      </c>
      <c r="T213" s="49"/>
      <c r="U213" s="49">
        <f t="shared" si="117"/>
        <v>0</v>
      </c>
      <c r="V213" s="49"/>
      <c r="W213" s="49">
        <f t="shared" si="118"/>
        <v>0</v>
      </c>
      <c r="X213" s="49"/>
      <c r="Y213" s="49">
        <f t="shared" si="119"/>
        <v>0</v>
      </c>
      <c r="Z213" s="49"/>
      <c r="AA213" s="49">
        <f t="shared" si="120"/>
        <v>0</v>
      </c>
      <c r="AB213" s="49">
        <f t="shared" si="121"/>
        <v>0</v>
      </c>
      <c r="AC213" s="29" t="str">
        <f t="shared" si="122"/>
        <v>ok</v>
      </c>
    </row>
    <row r="214" spans="1:29" x14ac:dyDescent="0.2">
      <c r="F214" s="255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C214" s="29"/>
    </row>
    <row r="215" spans="1:29" x14ac:dyDescent="0.2">
      <c r="A215" s="14" t="s">
        <v>117</v>
      </c>
      <c r="C215" s="14" t="s">
        <v>118</v>
      </c>
      <c r="F215" s="254">
        <f>SUM(F202:F214)</f>
        <v>3926713.7300000004</v>
      </c>
      <c r="G215" s="65"/>
      <c r="H215" s="65">
        <f t="shared" ref="H215:AA215" si="123">SUM(H202:H214)</f>
        <v>0</v>
      </c>
      <c r="I215" s="65">
        <f t="shared" si="123"/>
        <v>0</v>
      </c>
      <c r="J215" s="65"/>
      <c r="K215" s="65">
        <f t="shared" si="123"/>
        <v>0</v>
      </c>
      <c r="L215" s="65"/>
      <c r="M215" s="65">
        <f t="shared" si="123"/>
        <v>373008.09606151213</v>
      </c>
      <c r="N215" s="65"/>
      <c r="O215" s="65">
        <f t="shared" si="123"/>
        <v>1054808.4687586601</v>
      </c>
      <c r="P215" s="65">
        <f t="shared" si="123"/>
        <v>1834745.8056564725</v>
      </c>
      <c r="Q215" s="65"/>
      <c r="R215" s="65">
        <f t="shared" si="123"/>
        <v>0</v>
      </c>
      <c r="S215" s="65">
        <f t="shared" si="123"/>
        <v>160670.07901230498</v>
      </c>
      <c r="T215" s="65"/>
      <c r="U215" s="65">
        <f t="shared" si="123"/>
        <v>426067.60080400307</v>
      </c>
      <c r="V215" s="65"/>
      <c r="W215" s="65">
        <f t="shared" si="123"/>
        <v>77413.679707047413</v>
      </c>
      <c r="X215" s="65"/>
      <c r="Y215" s="65">
        <f t="shared" si="123"/>
        <v>0</v>
      </c>
      <c r="Z215" s="65"/>
      <c r="AA215" s="65">
        <f t="shared" si="123"/>
        <v>0</v>
      </c>
      <c r="AB215" s="49">
        <f>SUM(H215:AA215)</f>
        <v>3926713.73</v>
      </c>
      <c r="AC215" s="29" t="str">
        <f>IF(ABS(AB215-F215)&lt;1,"ok","err")</f>
        <v>ok</v>
      </c>
    </row>
    <row r="216" spans="1:29" x14ac:dyDescent="0.2">
      <c r="F216" s="254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49"/>
      <c r="AC216" s="29"/>
    </row>
    <row r="217" spans="1:29" x14ac:dyDescent="0.2">
      <c r="A217" s="27" t="s">
        <v>136</v>
      </c>
      <c r="F217" s="255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C217" s="29"/>
    </row>
    <row r="218" spans="1:29" x14ac:dyDescent="0.2">
      <c r="F218" s="255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C218" s="29"/>
    </row>
    <row r="219" spans="1:29" x14ac:dyDescent="0.2">
      <c r="A219" s="13" t="s">
        <v>119</v>
      </c>
      <c r="F219" s="255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C219" s="29"/>
    </row>
    <row r="220" spans="1:29" x14ac:dyDescent="0.2">
      <c r="A220" s="14">
        <v>590</v>
      </c>
      <c r="B220" s="14" t="s">
        <v>120</v>
      </c>
      <c r="C220" s="14" t="s">
        <v>121</v>
      </c>
      <c r="D220" s="14" t="s">
        <v>16</v>
      </c>
      <c r="F220" s="254">
        <v>400629.99</v>
      </c>
      <c r="G220" s="190"/>
      <c r="H220" s="49">
        <f t="shared" ref="H220:H227" si="124">IF(VLOOKUP($D220,$C$5:$AA$496,6,)=0,0,((VLOOKUP($D220,$C$5:$AA$496,6,)/VLOOKUP($D220,$C$5:$AA$496,4,))*$F220))</f>
        <v>0</v>
      </c>
      <c r="I220" s="49">
        <f t="shared" ref="I220:I227" si="125">IF(VLOOKUP($D220,$C$5:$AA$496,7,)=0,0,((VLOOKUP($D220,$C$5:$AA$496,7,)/VLOOKUP($D220,$C$5:$AA$496,4,))*$F220))</f>
        <v>0</v>
      </c>
      <c r="J220" s="49"/>
      <c r="K220" s="49">
        <f t="shared" ref="K220:K227" si="126">IF(VLOOKUP($D220,$C$5:$AA$496,9,)=0,0,((VLOOKUP($D220,$C$5:$AA$496,9,)/VLOOKUP($D220,$C$5:$AA$496,4,))*$F220))</f>
        <v>0</v>
      </c>
      <c r="L220" s="49"/>
      <c r="M220" s="49">
        <f t="shared" ref="M220:M227" si="127">IF(VLOOKUP($D220,$C$5:$AA$496,11,)=0,0,((VLOOKUP($D220,$C$5:$AA$496,11,)/VLOOKUP($D220,$C$5:$AA$496,4,))*$F220))</f>
        <v>51593.996788702192</v>
      </c>
      <c r="N220" s="49"/>
      <c r="O220" s="49">
        <f t="shared" ref="O220:O227" si="128">IF(VLOOKUP($D220,$C$5:$AA$496,13,)=0,0,((VLOOKUP($D220,$C$5:$AA$496,13,)/VLOOKUP($D220,$C$5:$AA$496,4,))*$F220))</f>
        <v>112182.76240732729</v>
      </c>
      <c r="P220" s="49">
        <f t="shared" ref="P220:P227" si="129">IF(VLOOKUP($D220,$C$5:$AA$496,14,)=0,0,((VLOOKUP($D220,$C$5:$AA$496,14,)/VLOOKUP($D220,$C$5:$AA$496,4,))*$F220))</f>
        <v>191182.35132888446</v>
      </c>
      <c r="Q220" s="49"/>
      <c r="R220" s="49">
        <f t="shared" ref="R220:R227" si="130">IF(VLOOKUP($D220,$C$5:$AA$496,16,)=0,0,((VLOOKUP($D220,$C$5:$AA$496,16,)/VLOOKUP($D220,$C$5:$AA$496,4,))*$F220))</f>
        <v>0</v>
      </c>
      <c r="S220" s="49">
        <f t="shared" ref="S220:S227" si="131">IF(VLOOKUP($D220,$C$5:$AA$496,17,)=0,0,((VLOOKUP($D220,$C$5:$AA$496,17,)/VLOOKUP($D220,$C$5:$AA$496,4,))*$F220))</f>
        <v>15434.476494386696</v>
      </c>
      <c r="T220" s="49"/>
      <c r="U220" s="49">
        <f t="shared" ref="U220:U227" si="132">IF(VLOOKUP($D220,$C$5:$AA$496,19,)=0,0,((VLOOKUP($D220,$C$5:$AA$496,19,)/VLOOKUP($D220,$C$5:$AA$496,4,))*$F220))</f>
        <v>15247.204999292018</v>
      </c>
      <c r="V220" s="49"/>
      <c r="W220" s="49">
        <f t="shared" ref="W220:W227" si="133">IF(VLOOKUP($D220,$C$5:$AA$496,21,)=0,0,((VLOOKUP($D220,$C$5:$AA$496,21,)/VLOOKUP($D220,$C$5:$AA$496,4,))*$F220))</f>
        <v>14989.197981407386</v>
      </c>
      <c r="X220" s="49"/>
      <c r="Y220" s="49">
        <f t="shared" ref="Y220:Y227" si="134">IF(VLOOKUP($D220,$C$5:$AA$496,23,)=0,0,((VLOOKUP($D220,$C$5:$AA$496,23,)/VLOOKUP($D220,$C$5:$AA$496,4,))*$F220))</f>
        <v>0</v>
      </c>
      <c r="Z220" s="49"/>
      <c r="AA220" s="49">
        <f t="shared" ref="AA220:AA227" si="135">IF(VLOOKUP($D220,$C$5:$AA$496,25,)=0,0,((VLOOKUP($D220,$C$5:$AA$496,25,)/VLOOKUP($D220,$C$5:$AA$496,4,))*$F220))</f>
        <v>0</v>
      </c>
      <c r="AB220" s="49">
        <f t="shared" ref="AB220:AB227" si="136">SUM(H220:AA220)</f>
        <v>400629.99000000005</v>
      </c>
      <c r="AC220" s="29" t="str">
        <f t="shared" ref="AC220:AC227" si="137">IF(ABS(AB220-F220)&lt;1,"ok","err")</f>
        <v>ok</v>
      </c>
    </row>
    <row r="221" spans="1:29" x14ac:dyDescent="0.2">
      <c r="A221" s="14">
        <v>592</v>
      </c>
      <c r="B221" s="14" t="s">
        <v>122</v>
      </c>
      <c r="C221" s="14" t="s">
        <v>123</v>
      </c>
      <c r="D221" s="14" t="s">
        <v>23</v>
      </c>
      <c r="F221" s="255">
        <v>167471.28</v>
      </c>
      <c r="G221" s="191"/>
      <c r="H221" s="49">
        <f t="shared" si="124"/>
        <v>0</v>
      </c>
      <c r="I221" s="49">
        <f t="shared" si="125"/>
        <v>0</v>
      </c>
      <c r="J221" s="49"/>
      <c r="K221" s="49">
        <f t="shared" si="126"/>
        <v>0</v>
      </c>
      <c r="L221" s="49"/>
      <c r="M221" s="49">
        <f t="shared" si="127"/>
        <v>167471.28</v>
      </c>
      <c r="N221" s="49"/>
      <c r="O221" s="49">
        <f t="shared" si="128"/>
        <v>0</v>
      </c>
      <c r="P221" s="49">
        <f t="shared" si="129"/>
        <v>0</v>
      </c>
      <c r="Q221" s="49"/>
      <c r="R221" s="49">
        <f t="shared" si="130"/>
        <v>0</v>
      </c>
      <c r="S221" s="49">
        <f t="shared" si="131"/>
        <v>0</v>
      </c>
      <c r="T221" s="49"/>
      <c r="U221" s="49">
        <f t="shared" si="132"/>
        <v>0</v>
      </c>
      <c r="V221" s="49"/>
      <c r="W221" s="49">
        <f t="shared" si="133"/>
        <v>0</v>
      </c>
      <c r="X221" s="49"/>
      <c r="Y221" s="49">
        <f t="shared" si="134"/>
        <v>0</v>
      </c>
      <c r="Z221" s="49"/>
      <c r="AA221" s="49">
        <f t="shared" si="135"/>
        <v>0</v>
      </c>
      <c r="AB221" s="49">
        <f t="shared" si="136"/>
        <v>167471.28</v>
      </c>
      <c r="AC221" s="29" t="str">
        <f t="shared" si="137"/>
        <v>ok</v>
      </c>
    </row>
    <row r="222" spans="1:29" x14ac:dyDescent="0.2">
      <c r="A222" s="14">
        <v>593</v>
      </c>
      <c r="B222" s="14" t="s">
        <v>124</v>
      </c>
      <c r="C222" s="14" t="s">
        <v>125</v>
      </c>
      <c r="D222" s="14" t="s">
        <v>29</v>
      </c>
      <c r="F222" s="255">
        <v>3780262.2000000007</v>
      </c>
      <c r="G222" s="191"/>
      <c r="H222" s="49">
        <f t="shared" si="124"/>
        <v>0</v>
      </c>
      <c r="I222" s="49">
        <f t="shared" si="125"/>
        <v>0</v>
      </c>
      <c r="J222" s="49"/>
      <c r="K222" s="49">
        <f t="shared" si="126"/>
        <v>0</v>
      </c>
      <c r="L222" s="49"/>
      <c r="M222" s="49">
        <f t="shared" si="127"/>
        <v>0</v>
      </c>
      <c r="N222" s="49"/>
      <c r="O222" s="49">
        <f t="shared" si="128"/>
        <v>1358674.3075687226</v>
      </c>
      <c r="P222" s="49">
        <f t="shared" si="129"/>
        <v>2421587.8924312782</v>
      </c>
      <c r="Q222" s="49"/>
      <c r="R222" s="49">
        <f t="shared" si="130"/>
        <v>0</v>
      </c>
      <c r="S222" s="49">
        <f t="shared" si="131"/>
        <v>0</v>
      </c>
      <c r="T222" s="49"/>
      <c r="U222" s="49">
        <f t="shared" si="132"/>
        <v>0</v>
      </c>
      <c r="V222" s="49"/>
      <c r="W222" s="49">
        <f t="shared" si="133"/>
        <v>0</v>
      </c>
      <c r="X222" s="49"/>
      <c r="Y222" s="49">
        <f t="shared" si="134"/>
        <v>0</v>
      </c>
      <c r="Z222" s="49"/>
      <c r="AA222" s="49">
        <f t="shared" si="135"/>
        <v>0</v>
      </c>
      <c r="AB222" s="49">
        <f t="shared" si="136"/>
        <v>3780262.2000000011</v>
      </c>
      <c r="AC222" s="29" t="str">
        <f t="shared" si="137"/>
        <v>ok</v>
      </c>
    </row>
    <row r="223" spans="1:29" x14ac:dyDescent="0.2">
      <c r="A223" s="14">
        <v>594</v>
      </c>
      <c r="B223" s="14" t="s">
        <v>126</v>
      </c>
      <c r="C223" s="14" t="s">
        <v>127</v>
      </c>
      <c r="D223" s="14" t="s">
        <v>35</v>
      </c>
      <c r="F223" s="255">
        <v>22313.130000000005</v>
      </c>
      <c r="G223" s="191"/>
      <c r="H223" s="49">
        <f t="shared" si="124"/>
        <v>0</v>
      </c>
      <c r="I223" s="49">
        <f t="shared" si="125"/>
        <v>0</v>
      </c>
      <c r="J223" s="49"/>
      <c r="K223" s="49">
        <f t="shared" si="126"/>
        <v>0</v>
      </c>
      <c r="L223" s="49"/>
      <c r="M223" s="49">
        <f t="shared" si="127"/>
        <v>0</v>
      </c>
      <c r="N223" s="49"/>
      <c r="O223" s="49">
        <f t="shared" si="128"/>
        <v>7271.3585905378577</v>
      </c>
      <c r="P223" s="49">
        <f t="shared" si="129"/>
        <v>15041.771409462146</v>
      </c>
      <c r="Q223" s="49"/>
      <c r="R223" s="49">
        <f t="shared" si="130"/>
        <v>0</v>
      </c>
      <c r="S223" s="49">
        <f t="shared" si="131"/>
        <v>0</v>
      </c>
      <c r="T223" s="49"/>
      <c r="U223" s="49">
        <f t="shared" si="132"/>
        <v>0</v>
      </c>
      <c r="V223" s="49"/>
      <c r="W223" s="49">
        <f t="shared" si="133"/>
        <v>0</v>
      </c>
      <c r="X223" s="49"/>
      <c r="Y223" s="49">
        <f t="shared" si="134"/>
        <v>0</v>
      </c>
      <c r="Z223" s="49"/>
      <c r="AA223" s="49">
        <f t="shared" si="135"/>
        <v>0</v>
      </c>
      <c r="AB223" s="49">
        <f t="shared" si="136"/>
        <v>22313.130000000005</v>
      </c>
      <c r="AC223" s="29" t="str">
        <f t="shared" si="137"/>
        <v>ok</v>
      </c>
    </row>
    <row r="224" spans="1:29" x14ac:dyDescent="0.2">
      <c r="A224" s="14">
        <v>595</v>
      </c>
      <c r="B224" s="14" t="s">
        <v>128</v>
      </c>
      <c r="C224" s="14" t="s">
        <v>129</v>
      </c>
      <c r="D224" s="14" t="s">
        <v>37</v>
      </c>
      <c r="F224" s="255">
        <v>63665.969999999994</v>
      </c>
      <c r="G224" s="191"/>
      <c r="H224" s="49">
        <f t="shared" si="124"/>
        <v>0</v>
      </c>
      <c r="I224" s="49">
        <f t="shared" si="125"/>
        <v>0</v>
      </c>
      <c r="J224" s="49"/>
      <c r="K224" s="49">
        <f t="shared" si="126"/>
        <v>0</v>
      </c>
      <c r="L224" s="49"/>
      <c r="M224" s="49">
        <f t="shared" si="127"/>
        <v>0</v>
      </c>
      <c r="N224" s="49"/>
      <c r="O224" s="49">
        <f t="shared" si="128"/>
        <v>27106.605745823199</v>
      </c>
      <c r="P224" s="49">
        <f t="shared" si="129"/>
        <v>36559.364254176791</v>
      </c>
      <c r="Q224" s="49"/>
      <c r="R224" s="49">
        <f t="shared" si="130"/>
        <v>0</v>
      </c>
      <c r="S224" s="49">
        <f t="shared" si="131"/>
        <v>0</v>
      </c>
      <c r="T224" s="49"/>
      <c r="U224" s="49">
        <f t="shared" si="132"/>
        <v>0</v>
      </c>
      <c r="V224" s="49"/>
      <c r="W224" s="49">
        <f t="shared" si="133"/>
        <v>0</v>
      </c>
      <c r="X224" s="49"/>
      <c r="Y224" s="49">
        <f t="shared" si="134"/>
        <v>0</v>
      </c>
      <c r="Z224" s="49"/>
      <c r="AA224" s="49">
        <f t="shared" si="135"/>
        <v>0</v>
      </c>
      <c r="AB224" s="49">
        <f t="shared" si="136"/>
        <v>63665.969999999987</v>
      </c>
      <c r="AC224" s="29" t="str">
        <f t="shared" si="137"/>
        <v>ok</v>
      </c>
    </row>
    <row r="225" spans="1:29" x14ac:dyDescent="0.2">
      <c r="A225" s="14">
        <v>596</v>
      </c>
      <c r="B225" s="14" t="s">
        <v>380</v>
      </c>
      <c r="C225" s="14" t="s">
        <v>381</v>
      </c>
      <c r="D225" s="14" t="s">
        <v>48</v>
      </c>
      <c r="F225" s="255">
        <v>15982.699999999999</v>
      </c>
      <c r="G225" s="191"/>
      <c r="H225" s="49">
        <f t="shared" si="124"/>
        <v>0</v>
      </c>
      <c r="I225" s="49">
        <f t="shared" si="125"/>
        <v>0</v>
      </c>
      <c r="J225" s="49"/>
      <c r="K225" s="49">
        <f t="shared" si="126"/>
        <v>0</v>
      </c>
      <c r="L225" s="49"/>
      <c r="M225" s="49">
        <f t="shared" si="127"/>
        <v>0</v>
      </c>
      <c r="N225" s="49"/>
      <c r="O225" s="49">
        <f t="shared" si="128"/>
        <v>0</v>
      </c>
      <c r="P225" s="49">
        <f t="shared" si="129"/>
        <v>0</v>
      </c>
      <c r="Q225" s="49"/>
      <c r="R225" s="49">
        <f t="shared" si="130"/>
        <v>0</v>
      </c>
      <c r="S225" s="49">
        <f t="shared" si="131"/>
        <v>0</v>
      </c>
      <c r="T225" s="49"/>
      <c r="U225" s="49">
        <f t="shared" si="132"/>
        <v>0</v>
      </c>
      <c r="V225" s="49"/>
      <c r="W225" s="49">
        <f t="shared" si="133"/>
        <v>15982.699999999999</v>
      </c>
      <c r="X225" s="49"/>
      <c r="Y225" s="49">
        <f t="shared" si="134"/>
        <v>0</v>
      </c>
      <c r="Z225" s="49"/>
      <c r="AA225" s="49">
        <f t="shared" si="135"/>
        <v>0</v>
      </c>
      <c r="AB225" s="49">
        <f t="shared" si="136"/>
        <v>15982.699999999999</v>
      </c>
      <c r="AC225" s="29" t="str">
        <f t="shared" si="137"/>
        <v>ok</v>
      </c>
    </row>
    <row r="226" spans="1:29" x14ac:dyDescent="0.2">
      <c r="A226" s="14">
        <v>597</v>
      </c>
      <c r="B226" s="14" t="s">
        <v>130</v>
      </c>
      <c r="C226" s="14" t="s">
        <v>131</v>
      </c>
      <c r="D226" s="14" t="s">
        <v>43</v>
      </c>
      <c r="F226" s="255">
        <v>0</v>
      </c>
      <c r="G226" s="191"/>
      <c r="H226" s="49"/>
      <c r="I226" s="49">
        <f t="shared" si="125"/>
        <v>0</v>
      </c>
      <c r="J226" s="49"/>
      <c r="K226" s="49">
        <f t="shared" si="126"/>
        <v>0</v>
      </c>
      <c r="L226" s="49"/>
      <c r="M226" s="49">
        <f t="shared" si="127"/>
        <v>0</v>
      </c>
      <c r="N226" s="49"/>
      <c r="O226" s="49">
        <f t="shared" si="128"/>
        <v>0</v>
      </c>
      <c r="P226" s="49">
        <f t="shared" si="129"/>
        <v>0</v>
      </c>
      <c r="Q226" s="49"/>
      <c r="R226" s="49">
        <f t="shared" si="130"/>
        <v>0</v>
      </c>
      <c r="S226" s="49">
        <f t="shared" si="131"/>
        <v>0</v>
      </c>
      <c r="T226" s="49"/>
      <c r="U226" s="49">
        <f t="shared" si="132"/>
        <v>0</v>
      </c>
      <c r="V226" s="49"/>
      <c r="W226" s="49">
        <f t="shared" si="133"/>
        <v>0</v>
      </c>
      <c r="X226" s="49"/>
      <c r="Y226" s="49">
        <f t="shared" si="134"/>
        <v>0</v>
      </c>
      <c r="Z226" s="49"/>
      <c r="AA226" s="49">
        <f t="shared" si="135"/>
        <v>0</v>
      </c>
      <c r="AB226" s="49">
        <f t="shared" si="136"/>
        <v>0</v>
      </c>
      <c r="AC226" s="29" t="str">
        <f t="shared" si="137"/>
        <v>ok</v>
      </c>
    </row>
    <row r="227" spans="1:29" x14ac:dyDescent="0.2">
      <c r="A227" s="14">
        <v>598</v>
      </c>
      <c r="B227" s="14" t="s">
        <v>384</v>
      </c>
      <c r="C227" s="14" t="s">
        <v>132</v>
      </c>
      <c r="D227" s="14" t="s">
        <v>16</v>
      </c>
      <c r="F227" s="255">
        <v>114989.66999999998</v>
      </c>
      <c r="G227" s="191"/>
      <c r="H227" s="49">
        <f t="shared" si="124"/>
        <v>0</v>
      </c>
      <c r="I227" s="49">
        <f t="shared" si="125"/>
        <v>0</v>
      </c>
      <c r="J227" s="49"/>
      <c r="K227" s="49">
        <f t="shared" si="126"/>
        <v>0</v>
      </c>
      <c r="L227" s="49"/>
      <c r="M227" s="49">
        <f t="shared" si="127"/>
        <v>14808.618457929033</v>
      </c>
      <c r="N227" s="49"/>
      <c r="O227" s="49">
        <f t="shared" si="128"/>
        <v>32198.934555316166</v>
      </c>
      <c r="P227" s="49">
        <f t="shared" si="129"/>
        <v>54873.564231006472</v>
      </c>
      <c r="Q227" s="49"/>
      <c r="R227" s="49">
        <f t="shared" si="130"/>
        <v>0</v>
      </c>
      <c r="S227" s="49">
        <f t="shared" si="131"/>
        <v>4430.0362005157995</v>
      </c>
      <c r="T227" s="49"/>
      <c r="U227" s="49">
        <f t="shared" si="132"/>
        <v>4376.2851385412741</v>
      </c>
      <c r="V227" s="49"/>
      <c r="W227" s="49">
        <f t="shared" si="133"/>
        <v>4302.2314166912493</v>
      </c>
      <c r="X227" s="49"/>
      <c r="Y227" s="49">
        <f t="shared" si="134"/>
        <v>0</v>
      </c>
      <c r="Z227" s="49"/>
      <c r="AA227" s="49">
        <f t="shared" si="135"/>
        <v>0</v>
      </c>
      <c r="AB227" s="49">
        <f t="shared" si="136"/>
        <v>114989.67</v>
      </c>
      <c r="AC227" s="29" t="str">
        <f t="shared" si="137"/>
        <v>ok</v>
      </c>
    </row>
    <row r="228" spans="1:29" x14ac:dyDescent="0.2">
      <c r="F228" s="255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29"/>
    </row>
    <row r="229" spans="1:29" x14ac:dyDescent="0.2">
      <c r="A229" s="14" t="s">
        <v>133</v>
      </c>
      <c r="C229" s="14" t="s">
        <v>134</v>
      </c>
      <c r="F229" s="254">
        <f t="shared" ref="F229" si="138">SUM(F220:F228)</f>
        <v>4565314.9400000004</v>
      </c>
      <c r="G229" s="65"/>
      <c r="H229" s="65">
        <f t="shared" ref="H229:M229" si="139">SUM(H220:H228)</f>
        <v>0</v>
      </c>
      <c r="I229" s="65">
        <f t="shared" si="139"/>
        <v>0</v>
      </c>
      <c r="J229" s="65"/>
      <c r="K229" s="65">
        <f t="shared" si="139"/>
        <v>0</v>
      </c>
      <c r="L229" s="65"/>
      <c r="M229" s="65">
        <f t="shared" si="139"/>
        <v>233873.8952466312</v>
      </c>
      <c r="N229" s="65"/>
      <c r="O229" s="65">
        <f t="shared" ref="O229:AA229" si="140">SUM(O220:O228)</f>
        <v>1537433.9688677271</v>
      </c>
      <c r="P229" s="65">
        <f t="shared" si="140"/>
        <v>2719244.9436548078</v>
      </c>
      <c r="Q229" s="65"/>
      <c r="R229" s="65">
        <f t="shared" si="140"/>
        <v>0</v>
      </c>
      <c r="S229" s="65">
        <f t="shared" si="140"/>
        <v>19864.512694902496</v>
      </c>
      <c r="T229" s="65"/>
      <c r="U229" s="65">
        <f t="shared" si="140"/>
        <v>19623.490137833294</v>
      </c>
      <c r="V229" s="65"/>
      <c r="W229" s="65">
        <f t="shared" si="140"/>
        <v>35274.12939809863</v>
      </c>
      <c r="X229" s="65"/>
      <c r="Y229" s="65">
        <f t="shared" si="140"/>
        <v>0</v>
      </c>
      <c r="Z229" s="65"/>
      <c r="AA229" s="65">
        <f t="shared" si="140"/>
        <v>0</v>
      </c>
      <c r="AB229" s="49">
        <f>SUM(H229:AA229)</f>
        <v>4565314.9400000004</v>
      </c>
      <c r="AC229" s="29" t="str">
        <f>IF(ABS(AB229-F229)&lt;1,"ok","err")</f>
        <v>ok</v>
      </c>
    </row>
    <row r="230" spans="1:29" x14ac:dyDescent="0.2">
      <c r="D230" s="35"/>
      <c r="F230" s="255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C230" s="29"/>
    </row>
    <row r="231" spans="1:29" x14ac:dyDescent="0.2">
      <c r="A231" s="14" t="s">
        <v>382</v>
      </c>
      <c r="F231" s="255">
        <f>F215+F229</f>
        <v>8492028.6700000018</v>
      </c>
      <c r="G231" s="49"/>
      <c r="H231" s="49">
        <f>H215+H229</f>
        <v>0</v>
      </c>
      <c r="I231" s="49">
        <f>I215+I229</f>
        <v>0</v>
      </c>
      <c r="J231" s="49"/>
      <c r="K231" s="49">
        <f>K215+K229</f>
        <v>0</v>
      </c>
      <c r="L231" s="49"/>
      <c r="M231" s="49">
        <f>M215+M229</f>
        <v>606881.99130814336</v>
      </c>
      <c r="N231" s="49"/>
      <c r="O231" s="49">
        <f>O215+O229</f>
        <v>2592242.437626387</v>
      </c>
      <c r="P231" s="49">
        <f>P215+P229</f>
        <v>4553990.7493112804</v>
      </c>
      <c r="Q231" s="49"/>
      <c r="R231" s="49">
        <f>R215+R229</f>
        <v>0</v>
      </c>
      <c r="S231" s="49">
        <f>S215+S229</f>
        <v>180534.59170720747</v>
      </c>
      <c r="T231" s="49"/>
      <c r="U231" s="49">
        <f>U215+U229</f>
        <v>445691.09094183636</v>
      </c>
      <c r="V231" s="49"/>
      <c r="W231" s="49">
        <f>W215+W229</f>
        <v>112687.80910514604</v>
      </c>
      <c r="X231" s="49"/>
      <c r="Y231" s="49">
        <f>Y215+Y229</f>
        <v>0</v>
      </c>
      <c r="Z231" s="49"/>
      <c r="AA231" s="49">
        <f>AA215+AA229</f>
        <v>0</v>
      </c>
      <c r="AB231" s="49">
        <f>SUM(H231:AA231)</f>
        <v>8492028.6699999999</v>
      </c>
      <c r="AC231" s="29" t="str">
        <f>IF(ABS(AB231-F231)&lt;1,"ok","err")</f>
        <v>ok</v>
      </c>
    </row>
    <row r="232" spans="1:29" x14ac:dyDescent="0.2">
      <c r="F232" s="255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C232" s="29"/>
    </row>
    <row r="233" spans="1:29" x14ac:dyDescent="0.2">
      <c r="A233" s="14" t="s">
        <v>383</v>
      </c>
      <c r="F233" s="255">
        <f>F231+F199</f>
        <v>8492028.6700000018</v>
      </c>
      <c r="G233" s="49"/>
      <c r="H233" s="49">
        <f>H231+H199</f>
        <v>0</v>
      </c>
      <c r="I233" s="49">
        <f>I231+I199</f>
        <v>0</v>
      </c>
      <c r="J233" s="49"/>
      <c r="K233" s="49">
        <f>K231+K199</f>
        <v>0</v>
      </c>
      <c r="L233" s="49"/>
      <c r="M233" s="49">
        <f>M231+M199</f>
        <v>606881.99130814336</v>
      </c>
      <c r="N233" s="49"/>
      <c r="O233" s="49">
        <f>O231+O199</f>
        <v>2592242.437626387</v>
      </c>
      <c r="P233" s="49">
        <f>P231+P199</f>
        <v>4553990.7493112804</v>
      </c>
      <c r="Q233" s="49"/>
      <c r="R233" s="49">
        <f>R231+R199</f>
        <v>0</v>
      </c>
      <c r="S233" s="49">
        <f>S231+S199</f>
        <v>180534.59170720747</v>
      </c>
      <c r="T233" s="49"/>
      <c r="U233" s="49">
        <f>U231+U199</f>
        <v>445691.09094183636</v>
      </c>
      <c r="V233" s="49"/>
      <c r="W233" s="49">
        <f>W231+W199</f>
        <v>112687.80910514604</v>
      </c>
      <c r="X233" s="49"/>
      <c r="Y233" s="49">
        <f>Y231+Y199</f>
        <v>0</v>
      </c>
      <c r="Z233" s="49"/>
      <c r="AA233" s="49">
        <f>AA231+AA199</f>
        <v>0</v>
      </c>
      <c r="AB233" s="49">
        <f>SUM(H233:AA233)</f>
        <v>8492028.6699999999</v>
      </c>
      <c r="AC233" s="29" t="str">
        <f>IF(ABS(AB233-F233)&lt;1,"ok","err")</f>
        <v>ok</v>
      </c>
    </row>
    <row r="234" spans="1:29" x14ac:dyDescent="0.2">
      <c r="F234" s="255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C234" s="29"/>
    </row>
    <row r="235" spans="1:29" x14ac:dyDescent="0.2">
      <c r="A235" s="14" t="s">
        <v>827</v>
      </c>
      <c r="F235" s="255">
        <f>F170+F199+F231</f>
        <v>8492028.6700000018</v>
      </c>
      <c r="G235" s="49"/>
      <c r="H235" s="49">
        <f>H170+H199+H231</f>
        <v>0</v>
      </c>
      <c r="I235" s="49">
        <f>I170+I199+I231</f>
        <v>0</v>
      </c>
      <c r="J235" s="49"/>
      <c r="K235" s="49">
        <f>K170+K199+K231</f>
        <v>0</v>
      </c>
      <c r="L235" s="49"/>
      <c r="M235" s="49">
        <f>M170+M199+M231</f>
        <v>606881.99130814336</v>
      </c>
      <c r="N235" s="49"/>
      <c r="O235" s="49">
        <f>O170+O199+O231</f>
        <v>2592242.437626387</v>
      </c>
      <c r="P235" s="49">
        <f>P170+P199+P231</f>
        <v>4553990.7493112804</v>
      </c>
      <c r="Q235" s="49"/>
      <c r="R235" s="49">
        <f>R170+R199+R231</f>
        <v>0</v>
      </c>
      <c r="S235" s="49">
        <f>S170+S199+S231</f>
        <v>180534.59170720747</v>
      </c>
      <c r="T235" s="49"/>
      <c r="U235" s="49">
        <f>U170+U199+U231</f>
        <v>445691.09094183636</v>
      </c>
      <c r="V235" s="49"/>
      <c r="W235" s="49">
        <f>W170+W199+W231</f>
        <v>112687.80910514604</v>
      </c>
      <c r="X235" s="49"/>
      <c r="Y235" s="49">
        <f>Y170+Y199+Y231</f>
        <v>0</v>
      </c>
      <c r="Z235" s="49"/>
      <c r="AA235" s="49">
        <f>AA170+AA199+AA231</f>
        <v>0</v>
      </c>
      <c r="AB235" s="49">
        <f>SUM(H235:AA235)</f>
        <v>8492028.6699999999</v>
      </c>
      <c r="AC235" s="29" t="str">
        <f>IF(ABS(AB235-F235)&lt;1,"ok","err")</f>
        <v>ok</v>
      </c>
    </row>
    <row r="236" spans="1:29" x14ac:dyDescent="0.2">
      <c r="F236" s="255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C236" s="29"/>
    </row>
    <row r="237" spans="1:29" x14ac:dyDescent="0.2">
      <c r="A237" s="14" t="s">
        <v>826</v>
      </c>
      <c r="C237" s="14" t="s">
        <v>135</v>
      </c>
      <c r="F237" s="254">
        <f>F231+F199+F180+F170</f>
        <v>74922892.670000002</v>
      </c>
      <c r="G237" s="65"/>
      <c r="H237" s="65">
        <f>H231+H199+H180+H170</f>
        <v>19459969.028273102</v>
      </c>
      <c r="I237" s="65">
        <f>I231+I199+I180+I170</f>
        <v>46970894.971726887</v>
      </c>
      <c r="J237" s="65"/>
      <c r="K237" s="65">
        <f>K231+K199+K180+K170</f>
        <v>0</v>
      </c>
      <c r="L237" s="65"/>
      <c r="M237" s="65">
        <f>M231+M199+M180+M170</f>
        <v>606881.99130814336</v>
      </c>
      <c r="N237" s="65"/>
      <c r="O237" s="65">
        <f>O231+O199+O180+O170</f>
        <v>2592242.437626387</v>
      </c>
      <c r="P237" s="65">
        <f>P231+P199+P180+P170</f>
        <v>4553990.7493112804</v>
      </c>
      <c r="Q237" s="65"/>
      <c r="R237" s="65">
        <f>R231+R199+R180+R170</f>
        <v>0</v>
      </c>
      <c r="S237" s="65">
        <f>S231+S199+S180+S170</f>
        <v>180534.59170720747</v>
      </c>
      <c r="T237" s="65"/>
      <c r="U237" s="65">
        <f>U231+U199+U180+U170</f>
        <v>445691.09094183636</v>
      </c>
      <c r="V237" s="65"/>
      <c r="W237" s="65">
        <f>W231+W199+W180+W170</f>
        <v>112687.80910514604</v>
      </c>
      <c r="X237" s="65"/>
      <c r="Y237" s="65">
        <f>Y231+Y199+Y180+Y170</f>
        <v>0</v>
      </c>
      <c r="Z237" s="65"/>
      <c r="AA237" s="65">
        <f>AA231+AA199+AA180+AA170</f>
        <v>0</v>
      </c>
      <c r="AB237" s="49">
        <f>SUM(H237:AA237)</f>
        <v>74922892.669999987</v>
      </c>
      <c r="AC237" s="29" t="str">
        <f>IF(ABS(AB237-F237)&lt;1,"ok","err")</f>
        <v>ok</v>
      </c>
    </row>
    <row r="238" spans="1:29" x14ac:dyDescent="0.2">
      <c r="A238" s="13"/>
      <c r="F238" s="255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C238" s="29"/>
    </row>
    <row r="239" spans="1:29" x14ac:dyDescent="0.2">
      <c r="A239" s="13" t="s">
        <v>137</v>
      </c>
      <c r="F239" s="255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C239" s="29"/>
    </row>
    <row r="240" spans="1:29" x14ac:dyDescent="0.2">
      <c r="A240" s="14">
        <v>901</v>
      </c>
      <c r="B240" s="14" t="s">
        <v>138</v>
      </c>
      <c r="C240" s="14" t="s">
        <v>139</v>
      </c>
      <c r="D240" s="14" t="s">
        <v>140</v>
      </c>
      <c r="F240" s="254">
        <v>203397.00999999998</v>
      </c>
      <c r="G240" s="190"/>
      <c r="H240" s="49">
        <f>IF(VLOOKUP($D240,$C$5:$AA$496,6,)=0,0,((VLOOKUP($D240,$C$5:$AA$496,6,)/VLOOKUP($D240,$C$5:$AA$496,4,))*$F240))</f>
        <v>0</v>
      </c>
      <c r="I240" s="49">
        <f>IF(VLOOKUP($D240,$C$5:$AA$496,7,)=0,0,((VLOOKUP($D240,$C$5:$AA$496,7,)/VLOOKUP($D240,$C$5:$AA$496,4,))*$F240))</f>
        <v>0</v>
      </c>
      <c r="J240" s="49"/>
      <c r="K240" s="49">
        <f>IF(VLOOKUP($D240,$C$5:$AA$496,9,)=0,0,((VLOOKUP($D240,$C$5:$AA$496,9,)/VLOOKUP($D240,$C$5:$AA$496,4,))*$F240))</f>
        <v>0</v>
      </c>
      <c r="L240" s="49"/>
      <c r="M240" s="49">
        <f>IF(VLOOKUP($D240,$C$5:$AA$496,11,)=0,0,((VLOOKUP($D240,$C$5:$AA$496,11,)/VLOOKUP($D240,$C$5:$AA$496,4,))*$F240))</f>
        <v>0</v>
      </c>
      <c r="N240" s="49"/>
      <c r="O240" s="49">
        <f>IF(VLOOKUP($D240,$C$5:$AA$496,13,)=0,0,((VLOOKUP($D240,$C$5:$AA$496,13,)/VLOOKUP($D240,$C$5:$AA$496,4,))*$F240))</f>
        <v>0</v>
      </c>
      <c r="P240" s="49">
        <f>IF(VLOOKUP($D240,$C$5:$AA$496,14,)=0,0,((VLOOKUP($D240,$C$5:$AA$496,14,)/VLOOKUP($D240,$C$5:$AA$496,4,))*$F240))</f>
        <v>0</v>
      </c>
      <c r="Q240" s="49"/>
      <c r="R240" s="49">
        <f>IF(VLOOKUP($D240,$C$5:$AA$496,16,)=0,0,((VLOOKUP($D240,$C$5:$AA$496,16,)/VLOOKUP($D240,$C$5:$AA$496,4,))*$F240))</f>
        <v>0</v>
      </c>
      <c r="S240" s="49">
        <f>IF(VLOOKUP($D240,$C$5:$AA$496,17,)=0,0,((VLOOKUP($D240,$C$5:$AA$496,17,)/VLOOKUP($D240,$C$5:$AA$496,4,))*$F240))</f>
        <v>0</v>
      </c>
      <c r="T240" s="49"/>
      <c r="U240" s="49">
        <f>IF(VLOOKUP($D240,$C$5:$AA$496,19,)=0,0,((VLOOKUP($D240,$C$5:$AA$496,19,)/VLOOKUP($D240,$C$5:$AA$496,4,))*$F240))</f>
        <v>0</v>
      </c>
      <c r="V240" s="49"/>
      <c r="W240" s="49">
        <f>IF(VLOOKUP($D240,$C$5:$AA$496,21,)=0,0,((VLOOKUP($D240,$C$5:$AA$496,21,)/VLOOKUP($D240,$C$5:$AA$496,4,))*$F240))</f>
        <v>0</v>
      </c>
      <c r="X240" s="49"/>
      <c r="Y240" s="49">
        <f>IF(VLOOKUP($D240,$C$5:$AA$496,23,)=0,0,((VLOOKUP($D240,$C$5:$AA$496,23,)/VLOOKUP($D240,$C$5:$AA$496,4,))*$F240))</f>
        <v>203397.00999999998</v>
      </c>
      <c r="Z240" s="49"/>
      <c r="AA240" s="49">
        <f>IF(VLOOKUP($D240,$C$5:$AA$496,25,)=0,0,((VLOOKUP($D240,$C$5:$AA$496,25,)/VLOOKUP($D240,$C$5:$AA$496,4,))*$F240))</f>
        <v>0</v>
      </c>
      <c r="AB240" s="49">
        <f>SUM(H240:AA240)</f>
        <v>203397.00999999998</v>
      </c>
      <c r="AC240" s="29" t="str">
        <f>IF(ABS(AB240-F240)&lt;1,"ok","err")</f>
        <v>ok</v>
      </c>
    </row>
    <row r="241" spans="1:29" x14ac:dyDescent="0.2">
      <c r="A241" s="14">
        <v>902</v>
      </c>
      <c r="B241" s="14" t="s">
        <v>141</v>
      </c>
      <c r="C241" s="14" t="s">
        <v>142</v>
      </c>
      <c r="D241" s="14" t="s">
        <v>140</v>
      </c>
      <c r="F241" s="255">
        <v>50380.68</v>
      </c>
      <c r="G241" s="191"/>
      <c r="H241" s="49">
        <f>IF(VLOOKUP($D241,$C$5:$AA$496,6,)=0,0,((VLOOKUP($D241,$C$5:$AA$496,6,)/VLOOKUP($D241,$C$5:$AA$496,4,))*$F241))</f>
        <v>0</v>
      </c>
      <c r="I241" s="49">
        <f>IF(VLOOKUP($D241,$C$5:$AA$496,7,)=0,0,((VLOOKUP($D241,$C$5:$AA$496,7,)/VLOOKUP($D241,$C$5:$AA$496,4,))*$F241))</f>
        <v>0</v>
      </c>
      <c r="J241" s="49"/>
      <c r="K241" s="49">
        <f>IF(VLOOKUP($D241,$C$5:$AA$496,9,)=0,0,((VLOOKUP($D241,$C$5:$AA$496,9,)/VLOOKUP($D241,$C$5:$AA$496,4,))*$F241))</f>
        <v>0</v>
      </c>
      <c r="L241" s="49"/>
      <c r="M241" s="49">
        <f>IF(VLOOKUP($D241,$C$5:$AA$496,11,)=0,0,((VLOOKUP($D241,$C$5:$AA$496,11,)/VLOOKUP($D241,$C$5:$AA$496,4,))*$F241))</f>
        <v>0</v>
      </c>
      <c r="N241" s="49"/>
      <c r="O241" s="49">
        <f>IF(VLOOKUP($D241,$C$5:$AA$496,13,)=0,0,((VLOOKUP($D241,$C$5:$AA$496,13,)/VLOOKUP($D241,$C$5:$AA$496,4,))*$F241))</f>
        <v>0</v>
      </c>
      <c r="P241" s="49">
        <f>IF(VLOOKUP($D241,$C$5:$AA$496,14,)=0,0,((VLOOKUP($D241,$C$5:$AA$496,14,)/VLOOKUP($D241,$C$5:$AA$496,4,))*$F241))</f>
        <v>0</v>
      </c>
      <c r="Q241" s="49"/>
      <c r="R241" s="49">
        <f>IF(VLOOKUP($D241,$C$5:$AA$496,16,)=0,0,((VLOOKUP($D241,$C$5:$AA$496,16,)/VLOOKUP($D241,$C$5:$AA$496,4,))*$F241))</f>
        <v>0</v>
      </c>
      <c r="S241" s="49">
        <f>IF(VLOOKUP($D241,$C$5:$AA$496,17,)=0,0,((VLOOKUP($D241,$C$5:$AA$496,17,)/VLOOKUP($D241,$C$5:$AA$496,4,))*$F241))</f>
        <v>0</v>
      </c>
      <c r="T241" s="49"/>
      <c r="U241" s="49">
        <f>IF(VLOOKUP($D241,$C$5:$AA$496,19,)=0,0,((VLOOKUP($D241,$C$5:$AA$496,19,)/VLOOKUP($D241,$C$5:$AA$496,4,))*$F241))</f>
        <v>0</v>
      </c>
      <c r="V241" s="49"/>
      <c r="W241" s="49">
        <f>IF(VLOOKUP($D241,$C$5:$AA$496,21,)=0,0,((VLOOKUP($D241,$C$5:$AA$496,21,)/VLOOKUP($D241,$C$5:$AA$496,4,))*$F241))</f>
        <v>0</v>
      </c>
      <c r="X241" s="49"/>
      <c r="Y241" s="49">
        <f>IF(VLOOKUP($D241,$C$5:$AA$496,23,)=0,0,((VLOOKUP($D241,$C$5:$AA$496,23,)/VLOOKUP($D241,$C$5:$AA$496,4,))*$F241))</f>
        <v>50380.68</v>
      </c>
      <c r="Z241" s="49"/>
      <c r="AA241" s="49">
        <f>IF(VLOOKUP($D241,$C$5:$AA$496,25,)=0,0,((VLOOKUP($D241,$C$5:$AA$496,25,)/VLOOKUP($D241,$C$5:$AA$496,4,))*$F241))</f>
        <v>0</v>
      </c>
      <c r="AB241" s="49">
        <f>SUM(H241:AA241)</f>
        <v>50380.68</v>
      </c>
      <c r="AC241" s="29" t="str">
        <f>IF(ABS(AB241-F241)&lt;1,"ok","err")</f>
        <v>ok</v>
      </c>
    </row>
    <row r="242" spans="1:29" x14ac:dyDescent="0.2">
      <c r="A242" s="14">
        <v>903</v>
      </c>
      <c r="B242" s="14" t="s">
        <v>452</v>
      </c>
      <c r="C242" s="14" t="s">
        <v>143</v>
      </c>
      <c r="D242" s="14" t="s">
        <v>140</v>
      </c>
      <c r="F242" s="255">
        <v>1283465.7800000003</v>
      </c>
      <c r="G242" s="191"/>
      <c r="H242" s="49">
        <f>IF(VLOOKUP($D242,$C$5:$AA$496,6,)=0,0,((VLOOKUP($D242,$C$5:$AA$496,6,)/VLOOKUP($D242,$C$5:$AA$496,4,))*$F242))</f>
        <v>0</v>
      </c>
      <c r="I242" s="49">
        <f>IF(VLOOKUP($D242,$C$5:$AA$496,7,)=0,0,((VLOOKUP($D242,$C$5:$AA$496,7,)/VLOOKUP($D242,$C$5:$AA$496,4,))*$F242))</f>
        <v>0</v>
      </c>
      <c r="J242" s="49"/>
      <c r="K242" s="49">
        <f>IF(VLOOKUP($D242,$C$5:$AA$496,9,)=0,0,((VLOOKUP($D242,$C$5:$AA$496,9,)/VLOOKUP($D242,$C$5:$AA$496,4,))*$F242))</f>
        <v>0</v>
      </c>
      <c r="L242" s="49"/>
      <c r="M242" s="49">
        <f>IF(VLOOKUP($D242,$C$5:$AA$496,11,)=0,0,((VLOOKUP($D242,$C$5:$AA$496,11,)/VLOOKUP($D242,$C$5:$AA$496,4,))*$F242))</f>
        <v>0</v>
      </c>
      <c r="N242" s="49"/>
      <c r="O242" s="49">
        <f>IF(VLOOKUP($D242,$C$5:$AA$496,13,)=0,0,((VLOOKUP($D242,$C$5:$AA$496,13,)/VLOOKUP($D242,$C$5:$AA$496,4,))*$F242))</f>
        <v>0</v>
      </c>
      <c r="P242" s="49">
        <f>IF(VLOOKUP($D242,$C$5:$AA$496,14,)=0,0,((VLOOKUP($D242,$C$5:$AA$496,14,)/VLOOKUP($D242,$C$5:$AA$496,4,))*$F242))</f>
        <v>0</v>
      </c>
      <c r="Q242" s="49"/>
      <c r="R242" s="49">
        <f>IF(VLOOKUP($D242,$C$5:$AA$496,16,)=0,0,((VLOOKUP($D242,$C$5:$AA$496,16,)/VLOOKUP($D242,$C$5:$AA$496,4,))*$F242))</f>
        <v>0</v>
      </c>
      <c r="S242" s="49">
        <f>IF(VLOOKUP($D242,$C$5:$AA$496,17,)=0,0,((VLOOKUP($D242,$C$5:$AA$496,17,)/VLOOKUP($D242,$C$5:$AA$496,4,))*$F242))</f>
        <v>0</v>
      </c>
      <c r="T242" s="49"/>
      <c r="U242" s="49">
        <f>IF(VLOOKUP($D242,$C$5:$AA$496,19,)=0,0,((VLOOKUP($D242,$C$5:$AA$496,19,)/VLOOKUP($D242,$C$5:$AA$496,4,))*$F242))</f>
        <v>0</v>
      </c>
      <c r="V242" s="49"/>
      <c r="W242" s="49">
        <f>IF(VLOOKUP($D242,$C$5:$AA$496,21,)=0,0,((VLOOKUP($D242,$C$5:$AA$496,21,)/VLOOKUP($D242,$C$5:$AA$496,4,))*$F242))</f>
        <v>0</v>
      </c>
      <c r="X242" s="49"/>
      <c r="Y242" s="49">
        <f>IF(VLOOKUP($D242,$C$5:$AA$496,23,)=0,0,((VLOOKUP($D242,$C$5:$AA$496,23,)/VLOOKUP($D242,$C$5:$AA$496,4,))*$F242))</f>
        <v>1283465.7800000003</v>
      </c>
      <c r="Z242" s="49"/>
      <c r="AA242" s="49">
        <f>IF(VLOOKUP($D242,$C$5:$AA$496,25,)=0,0,((VLOOKUP($D242,$C$5:$AA$496,25,)/VLOOKUP($D242,$C$5:$AA$496,4,))*$F242))</f>
        <v>0</v>
      </c>
      <c r="AB242" s="49">
        <f>SUM(H242:AA242)</f>
        <v>1283465.7800000003</v>
      </c>
      <c r="AC242" s="29" t="str">
        <f>IF(ABS(AB242-F242)&lt;1,"ok","err")</f>
        <v>ok</v>
      </c>
    </row>
    <row r="243" spans="1:29" x14ac:dyDescent="0.2">
      <c r="A243" s="14">
        <v>904</v>
      </c>
      <c r="B243" s="14" t="s">
        <v>144</v>
      </c>
      <c r="C243" s="14" t="s">
        <v>145</v>
      </c>
      <c r="D243" s="14" t="s">
        <v>140</v>
      </c>
      <c r="F243" s="255">
        <v>3000</v>
      </c>
      <c r="G243" s="191"/>
      <c r="H243" s="49">
        <f>IF(VLOOKUP($D243,$C$5:$AA$496,6,)=0,0,((VLOOKUP($D243,$C$5:$AA$496,6,)/VLOOKUP($D243,$C$5:$AA$496,4,))*$F243))</f>
        <v>0</v>
      </c>
      <c r="I243" s="49">
        <f>IF(VLOOKUP($D243,$C$5:$AA$496,7,)=0,0,((VLOOKUP($D243,$C$5:$AA$496,7,)/VLOOKUP($D243,$C$5:$AA$496,4,))*$F243))</f>
        <v>0</v>
      </c>
      <c r="J243" s="49"/>
      <c r="K243" s="49">
        <f>IF(VLOOKUP($D243,$C$5:$AA$496,9,)=0,0,((VLOOKUP($D243,$C$5:$AA$496,9,)/VLOOKUP($D243,$C$5:$AA$496,4,))*$F243))</f>
        <v>0</v>
      </c>
      <c r="L243" s="49"/>
      <c r="M243" s="49">
        <f>IF(VLOOKUP($D243,$C$5:$AA$496,11,)=0,0,((VLOOKUP($D243,$C$5:$AA$496,11,)/VLOOKUP($D243,$C$5:$AA$496,4,))*$F243))</f>
        <v>0</v>
      </c>
      <c r="N243" s="49"/>
      <c r="O243" s="49">
        <f>IF(VLOOKUP($D243,$C$5:$AA$496,13,)=0,0,((VLOOKUP($D243,$C$5:$AA$496,13,)/VLOOKUP($D243,$C$5:$AA$496,4,))*$F243))</f>
        <v>0</v>
      </c>
      <c r="P243" s="49">
        <f>IF(VLOOKUP($D243,$C$5:$AA$496,14,)=0,0,((VLOOKUP($D243,$C$5:$AA$496,14,)/VLOOKUP($D243,$C$5:$AA$496,4,))*$F243))</f>
        <v>0</v>
      </c>
      <c r="Q243" s="49"/>
      <c r="R243" s="49">
        <f>IF(VLOOKUP($D243,$C$5:$AA$496,16,)=0,0,((VLOOKUP($D243,$C$5:$AA$496,16,)/VLOOKUP($D243,$C$5:$AA$496,4,))*$F243))</f>
        <v>0</v>
      </c>
      <c r="S243" s="49">
        <f>IF(VLOOKUP($D243,$C$5:$AA$496,17,)=0,0,((VLOOKUP($D243,$C$5:$AA$496,17,)/VLOOKUP($D243,$C$5:$AA$496,4,))*$F243))</f>
        <v>0</v>
      </c>
      <c r="T243" s="49"/>
      <c r="U243" s="49">
        <f>IF(VLOOKUP($D243,$C$5:$AA$496,19,)=0,0,((VLOOKUP($D243,$C$5:$AA$496,19,)/VLOOKUP($D243,$C$5:$AA$496,4,))*$F243))</f>
        <v>0</v>
      </c>
      <c r="V243" s="49"/>
      <c r="W243" s="49">
        <f>IF(VLOOKUP($D243,$C$5:$AA$496,21,)=0,0,((VLOOKUP($D243,$C$5:$AA$496,21,)/VLOOKUP($D243,$C$5:$AA$496,4,))*$F243))</f>
        <v>0</v>
      </c>
      <c r="X243" s="49"/>
      <c r="Y243" s="49">
        <f>IF(VLOOKUP($D243,$C$5:$AA$496,23,)=0,0,((VLOOKUP($D243,$C$5:$AA$496,23,)/VLOOKUP($D243,$C$5:$AA$496,4,))*$F243))</f>
        <v>3000</v>
      </c>
      <c r="Z243" s="49"/>
      <c r="AA243" s="49">
        <f>IF(VLOOKUP($D243,$C$5:$AA$496,25,)=0,0,((VLOOKUP($D243,$C$5:$AA$496,25,)/VLOOKUP($D243,$C$5:$AA$496,4,))*$F243))</f>
        <v>0</v>
      </c>
      <c r="AB243" s="49">
        <f>SUM(H243:AA243)</f>
        <v>3000</v>
      </c>
      <c r="AC243" s="29" t="str">
        <f>IF(ABS(AB243-F243)&lt;1,"ok","err")</f>
        <v>ok</v>
      </c>
    </row>
    <row r="244" spans="1:29" x14ac:dyDescent="0.2">
      <c r="A244" s="14">
        <v>905</v>
      </c>
      <c r="B244" s="14" t="s">
        <v>453</v>
      </c>
      <c r="C244" s="14" t="s">
        <v>143</v>
      </c>
      <c r="D244" s="14" t="s">
        <v>140</v>
      </c>
      <c r="F244" s="255">
        <v>0</v>
      </c>
      <c r="G244" s="191"/>
      <c r="H244" s="49">
        <f>IF(VLOOKUP($D244,$C$5:$AA$496,6,)=0,0,((VLOOKUP($D244,$C$5:$AA$496,6,)/VLOOKUP($D244,$C$5:$AA$496,4,))*$F244))</f>
        <v>0</v>
      </c>
      <c r="I244" s="49">
        <f>IF(VLOOKUP($D244,$C$5:$AA$496,7,)=0,0,((VLOOKUP($D244,$C$5:$AA$496,7,)/VLOOKUP($D244,$C$5:$AA$496,4,))*$F244))</f>
        <v>0</v>
      </c>
      <c r="J244" s="49"/>
      <c r="K244" s="49">
        <f>IF(VLOOKUP($D244,$C$5:$AA$496,9,)=0,0,((VLOOKUP($D244,$C$5:$AA$496,9,)/VLOOKUP($D244,$C$5:$AA$496,4,))*$F244))</f>
        <v>0</v>
      </c>
      <c r="L244" s="49"/>
      <c r="M244" s="49">
        <f>IF(VLOOKUP($D244,$C$5:$AA$496,11,)=0,0,((VLOOKUP($D244,$C$5:$AA$496,11,)/VLOOKUP($D244,$C$5:$AA$496,4,))*$F244))</f>
        <v>0</v>
      </c>
      <c r="N244" s="49"/>
      <c r="O244" s="49">
        <f>IF(VLOOKUP($D244,$C$5:$AA$496,13,)=0,0,((VLOOKUP($D244,$C$5:$AA$496,13,)/VLOOKUP($D244,$C$5:$AA$496,4,))*$F244))</f>
        <v>0</v>
      </c>
      <c r="P244" s="49">
        <f>IF(VLOOKUP($D244,$C$5:$AA$496,14,)=0,0,((VLOOKUP($D244,$C$5:$AA$496,14,)/VLOOKUP($D244,$C$5:$AA$496,4,))*$F244))</f>
        <v>0</v>
      </c>
      <c r="Q244" s="49"/>
      <c r="R244" s="49">
        <f>IF(VLOOKUP($D244,$C$5:$AA$496,16,)=0,0,((VLOOKUP($D244,$C$5:$AA$496,16,)/VLOOKUP($D244,$C$5:$AA$496,4,))*$F244))</f>
        <v>0</v>
      </c>
      <c r="S244" s="49">
        <f>IF(VLOOKUP($D244,$C$5:$AA$496,17,)=0,0,((VLOOKUP($D244,$C$5:$AA$496,17,)/VLOOKUP($D244,$C$5:$AA$496,4,))*$F244))</f>
        <v>0</v>
      </c>
      <c r="T244" s="49"/>
      <c r="U244" s="49">
        <f>IF(VLOOKUP($D244,$C$5:$AA$496,19,)=0,0,((VLOOKUP($D244,$C$5:$AA$496,19,)/VLOOKUP($D244,$C$5:$AA$496,4,))*$F244))</f>
        <v>0</v>
      </c>
      <c r="V244" s="49"/>
      <c r="W244" s="49">
        <f>IF(VLOOKUP($D244,$C$5:$AA$496,21,)=0,0,((VLOOKUP($D244,$C$5:$AA$496,21,)/VLOOKUP($D244,$C$5:$AA$496,4,))*$F244))</f>
        <v>0</v>
      </c>
      <c r="X244" s="49"/>
      <c r="Y244" s="49">
        <f>IF(VLOOKUP($D244,$C$5:$AA$496,23,)=0,0,((VLOOKUP($D244,$C$5:$AA$496,23,)/VLOOKUP($D244,$C$5:$AA$496,4,))*$F244))</f>
        <v>0</v>
      </c>
      <c r="Z244" s="49"/>
      <c r="AA244" s="49">
        <f>IF(VLOOKUP($D244,$C$5:$AA$496,25,)=0,0,((VLOOKUP($D244,$C$5:$AA$496,25,)/VLOOKUP($D244,$C$5:$AA$496,4,))*$F244))</f>
        <v>0</v>
      </c>
      <c r="AB244" s="49">
        <f>SUM(H244:AA244)</f>
        <v>0</v>
      </c>
      <c r="AC244" s="29" t="str">
        <f>IF(ABS(AB244-F244)&lt;1,"ok","err")</f>
        <v>ok</v>
      </c>
    </row>
    <row r="245" spans="1:29" x14ac:dyDescent="0.2">
      <c r="A245" s="13"/>
      <c r="F245" s="255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29"/>
    </row>
    <row r="246" spans="1:29" x14ac:dyDescent="0.2">
      <c r="A246" s="14" t="s">
        <v>146</v>
      </c>
      <c r="C246" s="14" t="s">
        <v>147</v>
      </c>
      <c r="F246" s="254">
        <f>SUM(F240:F245)</f>
        <v>1540243.4700000002</v>
      </c>
      <c r="G246" s="65"/>
      <c r="H246" s="65">
        <f t="shared" ref="H246:W246" si="141">SUM(H240:H245)</f>
        <v>0</v>
      </c>
      <c r="I246" s="65">
        <f t="shared" si="141"/>
        <v>0</v>
      </c>
      <c r="J246" s="65"/>
      <c r="K246" s="65">
        <f t="shared" si="141"/>
        <v>0</v>
      </c>
      <c r="L246" s="65"/>
      <c r="M246" s="65">
        <f t="shared" si="141"/>
        <v>0</v>
      </c>
      <c r="N246" s="65"/>
      <c r="O246" s="65">
        <f t="shared" si="141"/>
        <v>0</v>
      </c>
      <c r="P246" s="65">
        <f t="shared" si="141"/>
        <v>0</v>
      </c>
      <c r="Q246" s="65"/>
      <c r="R246" s="65">
        <f t="shared" si="141"/>
        <v>0</v>
      </c>
      <c r="S246" s="65">
        <f t="shared" si="141"/>
        <v>0</v>
      </c>
      <c r="T246" s="65"/>
      <c r="U246" s="65">
        <f t="shared" si="141"/>
        <v>0</v>
      </c>
      <c r="V246" s="65"/>
      <c r="W246" s="65">
        <f t="shared" si="141"/>
        <v>0</v>
      </c>
      <c r="X246" s="65"/>
      <c r="Y246" s="65">
        <f>SUM(Y240:Y245)</f>
        <v>1540243.4700000002</v>
      </c>
      <c r="Z246" s="65"/>
      <c r="AA246" s="65">
        <f>SUM(AA240:AA245)</f>
        <v>0</v>
      </c>
      <c r="AB246" s="49">
        <f>SUM(H246:AA246)</f>
        <v>1540243.4700000002</v>
      </c>
      <c r="AC246" s="29" t="str">
        <f>IF(ABS(AB246-F246)&lt;1,"ok","err")</f>
        <v>ok</v>
      </c>
    </row>
    <row r="247" spans="1:29" x14ac:dyDescent="0.2">
      <c r="F247" s="255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C247" s="29"/>
    </row>
    <row r="248" spans="1:29" x14ac:dyDescent="0.2">
      <c r="A248" s="13" t="s">
        <v>148</v>
      </c>
      <c r="F248" s="255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C248" s="29"/>
    </row>
    <row r="249" spans="1:29" x14ac:dyDescent="0.2">
      <c r="A249" s="14">
        <v>907</v>
      </c>
      <c r="B249" s="14" t="s">
        <v>385</v>
      </c>
      <c r="C249" s="14" t="s">
        <v>149</v>
      </c>
      <c r="D249" s="14" t="s">
        <v>150</v>
      </c>
      <c r="F249" s="254">
        <v>0</v>
      </c>
      <c r="G249" s="190"/>
      <c r="H249" s="49">
        <f t="shared" ref="H249:H260" si="142">IF(VLOOKUP($D249,$C$5:$AA$496,6,)=0,0,((VLOOKUP($D249,$C$5:$AA$496,6,)/VLOOKUP($D249,$C$5:$AA$496,4,))*$F249))</f>
        <v>0</v>
      </c>
      <c r="I249" s="49">
        <f t="shared" ref="I249:I260" si="143">IF(VLOOKUP($D249,$C$5:$AA$496,7,)=0,0,((VLOOKUP($D249,$C$5:$AA$496,7,)/VLOOKUP($D249,$C$5:$AA$496,4,))*$F249))</f>
        <v>0</v>
      </c>
      <c r="J249" s="49"/>
      <c r="K249" s="49">
        <f t="shared" ref="K249:K260" si="144">IF(VLOOKUP($D249,$C$5:$AA$496,9,)=0,0,((VLOOKUP($D249,$C$5:$AA$496,9,)/VLOOKUP($D249,$C$5:$AA$496,4,))*$F249))</f>
        <v>0</v>
      </c>
      <c r="L249" s="49"/>
      <c r="M249" s="49">
        <f t="shared" ref="M249:M260" si="145">IF(VLOOKUP($D249,$C$5:$AA$496,11,)=0,0,((VLOOKUP($D249,$C$5:$AA$496,11,)/VLOOKUP($D249,$C$5:$AA$496,4,))*$F249))</f>
        <v>0</v>
      </c>
      <c r="N249" s="49"/>
      <c r="O249" s="49">
        <f t="shared" ref="O249:O260" si="146">IF(VLOOKUP($D249,$C$5:$AA$496,13,)=0,0,((VLOOKUP($D249,$C$5:$AA$496,13,)/VLOOKUP($D249,$C$5:$AA$496,4,))*$F249))</f>
        <v>0</v>
      </c>
      <c r="P249" s="49">
        <f t="shared" ref="P249:P260" si="147">IF(VLOOKUP($D249,$C$5:$AA$496,14,)=0,0,((VLOOKUP($D249,$C$5:$AA$496,14,)/VLOOKUP($D249,$C$5:$AA$496,4,))*$F249))</f>
        <v>0</v>
      </c>
      <c r="Q249" s="49"/>
      <c r="R249" s="49">
        <f t="shared" ref="R249:R260" si="148">IF(VLOOKUP($D249,$C$5:$AA$496,16,)=0,0,((VLOOKUP($D249,$C$5:$AA$496,16,)/VLOOKUP($D249,$C$5:$AA$496,4,))*$F249))</f>
        <v>0</v>
      </c>
      <c r="S249" s="49">
        <f t="shared" ref="S249:S260" si="149">IF(VLOOKUP($D249,$C$5:$AA$496,17,)=0,0,((VLOOKUP($D249,$C$5:$AA$496,17,)/VLOOKUP($D249,$C$5:$AA$496,4,))*$F249))</f>
        <v>0</v>
      </c>
      <c r="T249" s="49"/>
      <c r="U249" s="49">
        <f t="shared" ref="U249:U260" si="150">IF(VLOOKUP($D249,$C$5:$AA$496,19,)=0,0,((VLOOKUP($D249,$C$5:$AA$496,19,)/VLOOKUP($D249,$C$5:$AA$496,4,))*$F249))</f>
        <v>0</v>
      </c>
      <c r="V249" s="49"/>
      <c r="W249" s="49">
        <f t="shared" ref="W249:W260" si="151">IF(VLOOKUP($D249,$C$5:$AA$496,21,)=0,0,((VLOOKUP($D249,$C$5:$AA$496,21,)/VLOOKUP($D249,$C$5:$AA$496,4,))*$F249))</f>
        <v>0</v>
      </c>
      <c r="X249" s="49"/>
      <c r="Y249" s="49">
        <f t="shared" ref="Y249:Y260" si="152">IF(VLOOKUP($D249,$C$5:$AA$496,23,)=0,0,((VLOOKUP($D249,$C$5:$AA$496,23,)/VLOOKUP($D249,$C$5:$AA$496,4,))*$F249))</f>
        <v>0</v>
      </c>
      <c r="Z249" s="49"/>
      <c r="AA249" s="49">
        <f t="shared" ref="AA249:AA260" si="153">IF(VLOOKUP($D249,$C$5:$AA$496,25,)=0,0,((VLOOKUP($D249,$C$5:$AA$496,25,)/VLOOKUP($D249,$C$5:$AA$496,4,))*$F249))</f>
        <v>0</v>
      </c>
      <c r="AB249" s="49">
        <f t="shared" ref="AB249:AB260" si="154">SUM(H249:AA249)</f>
        <v>0</v>
      </c>
      <c r="AC249" s="29" t="str">
        <f t="shared" ref="AC249:AC260" si="155">IF(ABS(AB249-F249)&lt;1,"ok","err")</f>
        <v>ok</v>
      </c>
    </row>
    <row r="250" spans="1:29" x14ac:dyDescent="0.2">
      <c r="A250" s="14">
        <v>908</v>
      </c>
      <c r="B250" s="14" t="s">
        <v>151</v>
      </c>
      <c r="C250" s="14" t="s">
        <v>152</v>
      </c>
      <c r="D250" s="14" t="s">
        <v>150</v>
      </c>
      <c r="F250" s="255">
        <v>78508.589999999982</v>
      </c>
      <c r="G250" s="191"/>
      <c r="H250" s="49"/>
      <c r="I250" s="49">
        <f t="shared" si="143"/>
        <v>0</v>
      </c>
      <c r="J250" s="49"/>
      <c r="K250" s="49">
        <f t="shared" si="144"/>
        <v>0</v>
      </c>
      <c r="L250" s="49"/>
      <c r="M250" s="49">
        <f t="shared" si="145"/>
        <v>0</v>
      </c>
      <c r="N250" s="49"/>
      <c r="O250" s="49">
        <f t="shared" si="146"/>
        <v>0</v>
      </c>
      <c r="P250" s="49">
        <f t="shared" si="147"/>
        <v>0</v>
      </c>
      <c r="Q250" s="49"/>
      <c r="R250" s="49">
        <f t="shared" si="148"/>
        <v>0</v>
      </c>
      <c r="S250" s="49">
        <f t="shared" si="149"/>
        <v>0</v>
      </c>
      <c r="T250" s="49"/>
      <c r="U250" s="49">
        <f t="shared" si="150"/>
        <v>0</v>
      </c>
      <c r="V250" s="49"/>
      <c r="W250" s="49">
        <f t="shared" si="151"/>
        <v>0</v>
      </c>
      <c r="X250" s="49"/>
      <c r="Y250" s="49">
        <f t="shared" si="152"/>
        <v>78508.589999999982</v>
      </c>
      <c r="Z250" s="49"/>
      <c r="AA250" s="49">
        <f t="shared" si="153"/>
        <v>0</v>
      </c>
      <c r="AB250" s="49">
        <f t="shared" si="154"/>
        <v>78508.589999999982</v>
      </c>
      <c r="AC250" s="29" t="str">
        <f t="shared" si="155"/>
        <v>ok</v>
      </c>
    </row>
    <row r="251" spans="1:29" x14ac:dyDescent="0.2">
      <c r="A251" s="14">
        <v>908</v>
      </c>
      <c r="B251" s="14" t="s">
        <v>454</v>
      </c>
      <c r="C251" s="14" t="s">
        <v>455</v>
      </c>
      <c r="D251" s="14" t="s">
        <v>471</v>
      </c>
      <c r="F251" s="255">
        <v>0</v>
      </c>
      <c r="G251" s="191"/>
      <c r="H251" s="49">
        <f t="shared" si="142"/>
        <v>0</v>
      </c>
      <c r="I251" s="49">
        <f t="shared" si="143"/>
        <v>0</v>
      </c>
      <c r="J251" s="49"/>
      <c r="K251" s="49">
        <f t="shared" si="144"/>
        <v>0</v>
      </c>
      <c r="L251" s="49"/>
      <c r="M251" s="49">
        <f t="shared" si="145"/>
        <v>0</v>
      </c>
      <c r="N251" s="49"/>
      <c r="O251" s="49">
        <f t="shared" si="146"/>
        <v>0</v>
      </c>
      <c r="P251" s="49">
        <f t="shared" si="147"/>
        <v>0</v>
      </c>
      <c r="Q251" s="49"/>
      <c r="R251" s="49">
        <f t="shared" si="148"/>
        <v>0</v>
      </c>
      <c r="S251" s="49">
        <f t="shared" si="149"/>
        <v>0</v>
      </c>
      <c r="T251" s="49"/>
      <c r="U251" s="49">
        <f t="shared" si="150"/>
        <v>0</v>
      </c>
      <c r="V251" s="49"/>
      <c r="W251" s="49">
        <f t="shared" si="151"/>
        <v>0</v>
      </c>
      <c r="X251" s="49"/>
      <c r="Y251" s="49">
        <f t="shared" si="152"/>
        <v>0</v>
      </c>
      <c r="Z251" s="49"/>
      <c r="AA251" s="49">
        <f t="shared" si="153"/>
        <v>0</v>
      </c>
      <c r="AB251" s="49">
        <f t="shared" si="154"/>
        <v>0</v>
      </c>
      <c r="AC251" s="29" t="str">
        <f t="shared" si="155"/>
        <v>ok</v>
      </c>
    </row>
    <row r="252" spans="1:29" x14ac:dyDescent="0.2">
      <c r="A252" s="14">
        <v>909</v>
      </c>
      <c r="B252" s="14" t="s">
        <v>153</v>
      </c>
      <c r="C252" s="14" t="s">
        <v>154</v>
      </c>
      <c r="D252" s="14" t="s">
        <v>150</v>
      </c>
      <c r="F252" s="255">
        <v>67850.710000000006</v>
      </c>
      <c r="G252" s="191"/>
      <c r="H252" s="49">
        <f t="shared" si="142"/>
        <v>0</v>
      </c>
      <c r="I252" s="49">
        <f t="shared" si="143"/>
        <v>0</v>
      </c>
      <c r="J252" s="49"/>
      <c r="K252" s="49">
        <f t="shared" si="144"/>
        <v>0</v>
      </c>
      <c r="L252" s="49"/>
      <c r="M252" s="49">
        <f t="shared" si="145"/>
        <v>0</v>
      </c>
      <c r="N252" s="49"/>
      <c r="O252" s="49">
        <f t="shared" si="146"/>
        <v>0</v>
      </c>
      <c r="P252" s="49">
        <f t="shared" si="147"/>
        <v>0</v>
      </c>
      <c r="Q252" s="49"/>
      <c r="R252" s="49">
        <f t="shared" si="148"/>
        <v>0</v>
      </c>
      <c r="S252" s="49">
        <f t="shared" si="149"/>
        <v>0</v>
      </c>
      <c r="T252" s="49"/>
      <c r="U252" s="49">
        <f t="shared" si="150"/>
        <v>0</v>
      </c>
      <c r="V252" s="49"/>
      <c r="W252" s="49">
        <f t="shared" si="151"/>
        <v>0</v>
      </c>
      <c r="X252" s="49"/>
      <c r="Y252" s="49">
        <f t="shared" si="152"/>
        <v>67850.710000000006</v>
      </c>
      <c r="Z252" s="49"/>
      <c r="AA252" s="49">
        <f t="shared" si="153"/>
        <v>0</v>
      </c>
      <c r="AB252" s="49">
        <f t="shared" si="154"/>
        <v>67850.710000000006</v>
      </c>
      <c r="AC252" s="29" t="str">
        <f t="shared" si="155"/>
        <v>ok</v>
      </c>
    </row>
    <row r="253" spans="1:29" x14ac:dyDescent="0.2">
      <c r="A253" s="14">
        <v>909</v>
      </c>
      <c r="B253" s="14" t="s">
        <v>456</v>
      </c>
      <c r="C253" s="14" t="s">
        <v>457</v>
      </c>
      <c r="D253" s="14" t="s">
        <v>471</v>
      </c>
      <c r="F253" s="255">
        <v>0</v>
      </c>
      <c r="G253" s="191"/>
      <c r="H253" s="49">
        <f t="shared" si="142"/>
        <v>0</v>
      </c>
      <c r="I253" s="49">
        <f t="shared" si="143"/>
        <v>0</v>
      </c>
      <c r="J253" s="49"/>
      <c r="K253" s="49">
        <f t="shared" si="144"/>
        <v>0</v>
      </c>
      <c r="L253" s="49"/>
      <c r="M253" s="49">
        <f t="shared" si="145"/>
        <v>0</v>
      </c>
      <c r="N253" s="49"/>
      <c r="O253" s="49">
        <f t="shared" si="146"/>
        <v>0</v>
      </c>
      <c r="P253" s="49">
        <f t="shared" si="147"/>
        <v>0</v>
      </c>
      <c r="Q253" s="49"/>
      <c r="R253" s="49">
        <f t="shared" si="148"/>
        <v>0</v>
      </c>
      <c r="S253" s="49">
        <f t="shared" si="149"/>
        <v>0</v>
      </c>
      <c r="T253" s="49"/>
      <c r="U253" s="49">
        <f t="shared" si="150"/>
        <v>0</v>
      </c>
      <c r="V253" s="49"/>
      <c r="W253" s="49">
        <f t="shared" si="151"/>
        <v>0</v>
      </c>
      <c r="X253" s="49"/>
      <c r="Y253" s="49">
        <f t="shared" si="152"/>
        <v>0</v>
      </c>
      <c r="Z253" s="49"/>
      <c r="AA253" s="49">
        <f t="shared" si="153"/>
        <v>0</v>
      </c>
      <c r="AB253" s="49">
        <f t="shared" si="154"/>
        <v>0</v>
      </c>
      <c r="AC253" s="29" t="str">
        <f t="shared" si="155"/>
        <v>ok</v>
      </c>
    </row>
    <row r="254" spans="1:29" x14ac:dyDescent="0.2">
      <c r="A254" s="14">
        <v>910</v>
      </c>
      <c r="B254" s="14" t="s">
        <v>155</v>
      </c>
      <c r="C254" s="14" t="s">
        <v>156</v>
      </c>
      <c r="D254" s="14" t="s">
        <v>150</v>
      </c>
      <c r="F254" s="255">
        <v>5698.24</v>
      </c>
      <c r="G254" s="191"/>
      <c r="H254" s="49">
        <f t="shared" si="142"/>
        <v>0</v>
      </c>
      <c r="I254" s="49">
        <f t="shared" si="143"/>
        <v>0</v>
      </c>
      <c r="J254" s="49"/>
      <c r="K254" s="49">
        <f t="shared" si="144"/>
        <v>0</v>
      </c>
      <c r="L254" s="49"/>
      <c r="M254" s="49">
        <f t="shared" si="145"/>
        <v>0</v>
      </c>
      <c r="N254" s="49"/>
      <c r="O254" s="49">
        <f t="shared" si="146"/>
        <v>0</v>
      </c>
      <c r="P254" s="49">
        <f t="shared" si="147"/>
        <v>0</v>
      </c>
      <c r="Q254" s="49"/>
      <c r="R254" s="49">
        <f t="shared" si="148"/>
        <v>0</v>
      </c>
      <c r="S254" s="49">
        <f t="shared" si="149"/>
        <v>0</v>
      </c>
      <c r="T254" s="49"/>
      <c r="U254" s="49">
        <f t="shared" si="150"/>
        <v>0</v>
      </c>
      <c r="V254" s="49"/>
      <c r="W254" s="49">
        <f t="shared" si="151"/>
        <v>0</v>
      </c>
      <c r="X254" s="49"/>
      <c r="Y254" s="49">
        <f t="shared" si="152"/>
        <v>5698.24</v>
      </c>
      <c r="Z254" s="49"/>
      <c r="AA254" s="49">
        <f t="shared" si="153"/>
        <v>0</v>
      </c>
      <c r="AB254" s="49">
        <f t="shared" si="154"/>
        <v>5698.24</v>
      </c>
      <c r="AC254" s="29" t="str">
        <f t="shared" si="155"/>
        <v>ok</v>
      </c>
    </row>
    <row r="255" spans="1:29" x14ac:dyDescent="0.2">
      <c r="A255" s="14">
        <v>911</v>
      </c>
      <c r="B255" s="14" t="s">
        <v>385</v>
      </c>
      <c r="C255" s="14" t="s">
        <v>710</v>
      </c>
      <c r="D255" s="14" t="s">
        <v>150</v>
      </c>
      <c r="F255" s="255">
        <v>0</v>
      </c>
      <c r="G255" s="191"/>
      <c r="H255" s="49">
        <f t="shared" si="142"/>
        <v>0</v>
      </c>
      <c r="I255" s="49">
        <f t="shared" si="143"/>
        <v>0</v>
      </c>
      <c r="J255" s="49"/>
      <c r="K255" s="49">
        <f t="shared" si="144"/>
        <v>0</v>
      </c>
      <c r="L255" s="49"/>
      <c r="M255" s="49">
        <f t="shared" si="145"/>
        <v>0</v>
      </c>
      <c r="N255" s="49"/>
      <c r="O255" s="49">
        <f t="shared" si="146"/>
        <v>0</v>
      </c>
      <c r="P255" s="49">
        <f t="shared" si="147"/>
        <v>0</v>
      </c>
      <c r="Q255" s="49"/>
      <c r="R255" s="49">
        <f t="shared" si="148"/>
        <v>0</v>
      </c>
      <c r="S255" s="49">
        <f t="shared" si="149"/>
        <v>0</v>
      </c>
      <c r="T255" s="49"/>
      <c r="U255" s="49">
        <f t="shared" si="150"/>
        <v>0</v>
      </c>
      <c r="V255" s="49"/>
      <c r="W255" s="49">
        <f t="shared" si="151"/>
        <v>0</v>
      </c>
      <c r="X255" s="49"/>
      <c r="Y255" s="49">
        <f t="shared" si="152"/>
        <v>0</v>
      </c>
      <c r="Z255" s="49"/>
      <c r="AA255" s="49">
        <f t="shared" si="153"/>
        <v>0</v>
      </c>
      <c r="AB255" s="49">
        <f>SUM(H255:AA255)</f>
        <v>0</v>
      </c>
      <c r="AC255" s="29" t="str">
        <f>IF(ABS(AB255-F255)&lt;1,"ok","err")</f>
        <v>ok</v>
      </c>
    </row>
    <row r="256" spans="1:29" x14ac:dyDescent="0.2">
      <c r="A256" s="14">
        <v>912</v>
      </c>
      <c r="B256" s="14" t="s">
        <v>587</v>
      </c>
      <c r="C256" s="14" t="s">
        <v>588</v>
      </c>
      <c r="D256" s="14" t="s">
        <v>471</v>
      </c>
      <c r="F256" s="255">
        <v>0</v>
      </c>
      <c r="G256" s="191"/>
      <c r="H256" s="49">
        <f t="shared" si="142"/>
        <v>0</v>
      </c>
      <c r="I256" s="49">
        <f t="shared" si="143"/>
        <v>0</v>
      </c>
      <c r="J256" s="49"/>
      <c r="K256" s="49">
        <f t="shared" si="144"/>
        <v>0</v>
      </c>
      <c r="L256" s="49"/>
      <c r="M256" s="49">
        <f t="shared" si="145"/>
        <v>0</v>
      </c>
      <c r="N256" s="49"/>
      <c r="O256" s="49">
        <f t="shared" si="146"/>
        <v>0</v>
      </c>
      <c r="P256" s="49">
        <f t="shared" si="147"/>
        <v>0</v>
      </c>
      <c r="Q256" s="49"/>
      <c r="R256" s="49">
        <f t="shared" si="148"/>
        <v>0</v>
      </c>
      <c r="S256" s="49">
        <f t="shared" si="149"/>
        <v>0</v>
      </c>
      <c r="T256" s="49"/>
      <c r="U256" s="49">
        <f t="shared" si="150"/>
        <v>0</v>
      </c>
      <c r="V256" s="49"/>
      <c r="W256" s="49">
        <f t="shared" si="151"/>
        <v>0</v>
      </c>
      <c r="X256" s="49"/>
      <c r="Y256" s="49">
        <f t="shared" si="152"/>
        <v>0</v>
      </c>
      <c r="Z256" s="49"/>
      <c r="AA256" s="49">
        <f t="shared" si="153"/>
        <v>0</v>
      </c>
      <c r="AB256" s="49">
        <f t="shared" si="154"/>
        <v>0</v>
      </c>
      <c r="AC256" s="29" t="str">
        <f t="shared" si="155"/>
        <v>ok</v>
      </c>
    </row>
    <row r="257" spans="1:29" x14ac:dyDescent="0.2">
      <c r="A257" s="14">
        <v>913</v>
      </c>
      <c r="B257" s="14" t="s">
        <v>638</v>
      </c>
      <c r="C257" s="14" t="s">
        <v>577</v>
      </c>
      <c r="D257" s="14" t="s">
        <v>471</v>
      </c>
      <c r="F257" s="255">
        <v>0</v>
      </c>
      <c r="G257" s="191"/>
      <c r="H257" s="49">
        <f t="shared" si="142"/>
        <v>0</v>
      </c>
      <c r="I257" s="49">
        <f t="shared" si="143"/>
        <v>0</v>
      </c>
      <c r="J257" s="49"/>
      <c r="K257" s="49">
        <f t="shared" si="144"/>
        <v>0</v>
      </c>
      <c r="L257" s="49"/>
      <c r="M257" s="49">
        <f t="shared" si="145"/>
        <v>0</v>
      </c>
      <c r="N257" s="49"/>
      <c r="O257" s="49">
        <f t="shared" si="146"/>
        <v>0</v>
      </c>
      <c r="P257" s="49">
        <f t="shared" si="147"/>
        <v>0</v>
      </c>
      <c r="Q257" s="49"/>
      <c r="R257" s="49">
        <f t="shared" si="148"/>
        <v>0</v>
      </c>
      <c r="S257" s="49">
        <f t="shared" si="149"/>
        <v>0</v>
      </c>
      <c r="T257" s="49"/>
      <c r="U257" s="49">
        <f t="shared" si="150"/>
        <v>0</v>
      </c>
      <c r="V257" s="49"/>
      <c r="W257" s="49">
        <f t="shared" si="151"/>
        <v>0</v>
      </c>
      <c r="X257" s="49"/>
      <c r="Y257" s="49">
        <f t="shared" si="152"/>
        <v>0</v>
      </c>
      <c r="Z257" s="49"/>
      <c r="AA257" s="49">
        <f t="shared" si="153"/>
        <v>0</v>
      </c>
      <c r="AB257" s="49">
        <f t="shared" si="154"/>
        <v>0</v>
      </c>
      <c r="AC257" s="29" t="str">
        <f t="shared" si="155"/>
        <v>ok</v>
      </c>
    </row>
    <row r="258" spans="1:29" x14ac:dyDescent="0.2">
      <c r="A258" s="14">
        <v>914</v>
      </c>
      <c r="B258" s="14" t="s">
        <v>931</v>
      </c>
      <c r="C258" s="14" t="s">
        <v>932</v>
      </c>
      <c r="D258" s="14" t="s">
        <v>471</v>
      </c>
      <c r="E258" s="247"/>
      <c r="F258" s="255">
        <v>-6563.4199999999992</v>
      </c>
      <c r="G258" s="191"/>
      <c r="H258" s="49">
        <f t="shared" si="142"/>
        <v>0</v>
      </c>
      <c r="I258" s="49">
        <f t="shared" si="143"/>
        <v>0</v>
      </c>
      <c r="J258" s="49"/>
      <c r="K258" s="49">
        <f t="shared" si="144"/>
        <v>0</v>
      </c>
      <c r="L258" s="49"/>
      <c r="M258" s="49">
        <f t="shared" si="145"/>
        <v>0</v>
      </c>
      <c r="N258" s="49"/>
      <c r="O258" s="49">
        <f t="shared" si="146"/>
        <v>0</v>
      </c>
      <c r="P258" s="49">
        <f t="shared" si="147"/>
        <v>0</v>
      </c>
      <c r="Q258" s="49"/>
      <c r="R258" s="49">
        <f t="shared" si="148"/>
        <v>0</v>
      </c>
      <c r="S258" s="49">
        <f t="shared" si="149"/>
        <v>0</v>
      </c>
      <c r="T258" s="49"/>
      <c r="U258" s="49">
        <f t="shared" si="150"/>
        <v>0</v>
      </c>
      <c r="V258" s="49"/>
      <c r="W258" s="49">
        <f t="shared" si="151"/>
        <v>0</v>
      </c>
      <c r="X258" s="49"/>
      <c r="Y258" s="49">
        <f t="shared" si="152"/>
        <v>0</v>
      </c>
      <c r="Z258" s="49"/>
      <c r="AA258" s="49">
        <f t="shared" si="153"/>
        <v>-6563.4199999999992</v>
      </c>
      <c r="AB258" s="49">
        <f>SUM(H258:AA258)</f>
        <v>-6563.4199999999992</v>
      </c>
      <c r="AC258" s="29" t="str">
        <f>IF(ABS(AB258-F258)&lt;1,"ok","err")</f>
        <v>ok</v>
      </c>
    </row>
    <row r="259" spans="1:29" x14ac:dyDescent="0.2">
      <c r="A259" s="14">
        <v>916</v>
      </c>
      <c r="B259" s="14" t="s">
        <v>640</v>
      </c>
      <c r="C259" s="14" t="s">
        <v>641</v>
      </c>
      <c r="D259" s="14" t="s">
        <v>471</v>
      </c>
      <c r="F259" s="255">
        <v>0</v>
      </c>
      <c r="G259" s="191"/>
      <c r="H259" s="49">
        <f t="shared" si="142"/>
        <v>0</v>
      </c>
      <c r="I259" s="49">
        <f t="shared" si="143"/>
        <v>0</v>
      </c>
      <c r="J259" s="49"/>
      <c r="K259" s="49">
        <f t="shared" si="144"/>
        <v>0</v>
      </c>
      <c r="L259" s="49"/>
      <c r="M259" s="49">
        <f t="shared" si="145"/>
        <v>0</v>
      </c>
      <c r="N259" s="49"/>
      <c r="O259" s="49">
        <f t="shared" si="146"/>
        <v>0</v>
      </c>
      <c r="P259" s="49">
        <f t="shared" si="147"/>
        <v>0</v>
      </c>
      <c r="Q259" s="49"/>
      <c r="R259" s="49">
        <f t="shared" si="148"/>
        <v>0</v>
      </c>
      <c r="S259" s="49">
        <f t="shared" si="149"/>
        <v>0</v>
      </c>
      <c r="T259" s="49"/>
      <c r="U259" s="49">
        <f t="shared" si="150"/>
        <v>0</v>
      </c>
      <c r="V259" s="49"/>
      <c r="W259" s="49">
        <f t="shared" si="151"/>
        <v>0</v>
      </c>
      <c r="X259" s="49"/>
      <c r="Y259" s="49">
        <f t="shared" si="152"/>
        <v>0</v>
      </c>
      <c r="Z259" s="49"/>
      <c r="AA259" s="49">
        <f t="shared" si="153"/>
        <v>0</v>
      </c>
      <c r="AB259" s="49">
        <f t="shared" si="154"/>
        <v>0</v>
      </c>
      <c r="AC259" s="29" t="str">
        <f t="shared" si="155"/>
        <v>ok</v>
      </c>
    </row>
    <row r="260" spans="1:29" x14ac:dyDescent="0.2">
      <c r="A260" s="14">
        <v>917</v>
      </c>
      <c r="B260" s="14" t="s">
        <v>640</v>
      </c>
      <c r="C260" s="14" t="s">
        <v>925</v>
      </c>
      <c r="D260" s="14" t="s">
        <v>471</v>
      </c>
      <c r="F260" s="255">
        <v>0</v>
      </c>
      <c r="G260" s="191"/>
      <c r="H260" s="49">
        <f t="shared" si="142"/>
        <v>0</v>
      </c>
      <c r="I260" s="49">
        <f t="shared" si="143"/>
        <v>0</v>
      </c>
      <c r="J260" s="49"/>
      <c r="K260" s="49">
        <f t="shared" si="144"/>
        <v>0</v>
      </c>
      <c r="L260" s="49"/>
      <c r="M260" s="49">
        <f t="shared" si="145"/>
        <v>0</v>
      </c>
      <c r="N260" s="49"/>
      <c r="O260" s="49">
        <f t="shared" si="146"/>
        <v>0</v>
      </c>
      <c r="P260" s="49">
        <f t="shared" si="147"/>
        <v>0</v>
      </c>
      <c r="Q260" s="49"/>
      <c r="R260" s="49">
        <f t="shared" si="148"/>
        <v>0</v>
      </c>
      <c r="S260" s="49">
        <f t="shared" si="149"/>
        <v>0</v>
      </c>
      <c r="T260" s="49"/>
      <c r="U260" s="49">
        <f t="shared" si="150"/>
        <v>0</v>
      </c>
      <c r="V260" s="49"/>
      <c r="W260" s="49">
        <f t="shared" si="151"/>
        <v>0</v>
      </c>
      <c r="X260" s="49"/>
      <c r="Y260" s="49">
        <f t="shared" si="152"/>
        <v>0</v>
      </c>
      <c r="Z260" s="49"/>
      <c r="AA260" s="49">
        <f t="shared" si="153"/>
        <v>0</v>
      </c>
      <c r="AB260" s="49">
        <f t="shared" si="154"/>
        <v>0</v>
      </c>
      <c r="AC260" s="29" t="str">
        <f t="shared" si="155"/>
        <v>ok</v>
      </c>
    </row>
    <row r="261" spans="1:29" x14ac:dyDescent="0.2">
      <c r="F261" s="255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29"/>
    </row>
    <row r="262" spans="1:29" x14ac:dyDescent="0.2">
      <c r="A262" s="14" t="s">
        <v>157</v>
      </c>
      <c r="C262" s="14" t="s">
        <v>158</v>
      </c>
      <c r="D262" s="90"/>
      <c r="F262" s="254">
        <f>SUM(F249:F260)</f>
        <v>145494.11999999997</v>
      </c>
      <c r="G262" s="65"/>
      <c r="H262" s="65">
        <f t="shared" ref="H262:W262" si="156">SUM(H249:H261)</f>
        <v>0</v>
      </c>
      <c r="I262" s="65">
        <f t="shared" si="156"/>
        <v>0</v>
      </c>
      <c r="J262" s="65"/>
      <c r="K262" s="65">
        <f t="shared" si="156"/>
        <v>0</v>
      </c>
      <c r="L262" s="65"/>
      <c r="M262" s="65">
        <f t="shared" si="156"/>
        <v>0</v>
      </c>
      <c r="N262" s="65"/>
      <c r="O262" s="65">
        <f t="shared" si="156"/>
        <v>0</v>
      </c>
      <c r="P262" s="65">
        <f t="shared" si="156"/>
        <v>0</v>
      </c>
      <c r="Q262" s="65"/>
      <c r="R262" s="65">
        <f t="shared" si="156"/>
        <v>0</v>
      </c>
      <c r="S262" s="65">
        <f t="shared" si="156"/>
        <v>0</v>
      </c>
      <c r="T262" s="65"/>
      <c r="U262" s="65">
        <f t="shared" si="156"/>
        <v>0</v>
      </c>
      <c r="V262" s="65"/>
      <c r="W262" s="65">
        <f t="shared" si="156"/>
        <v>0</v>
      </c>
      <c r="X262" s="65"/>
      <c r="Y262" s="65">
        <f>SUM(Y249:Y261)</f>
        <v>152057.53999999998</v>
      </c>
      <c r="Z262" s="65"/>
      <c r="AA262" s="65">
        <f>SUM(AA249:AA261)</f>
        <v>-6563.4199999999992</v>
      </c>
      <c r="AB262" s="49">
        <f>SUM(H262:AA262)</f>
        <v>145494.11999999997</v>
      </c>
      <c r="AC262" s="29" t="str">
        <f>IF(ABS(AB262-F262)&lt;1,"ok","err")</f>
        <v>ok</v>
      </c>
    </row>
    <row r="263" spans="1:29" x14ac:dyDescent="0.2">
      <c r="D263" s="90"/>
      <c r="F263" s="255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C263" s="29"/>
    </row>
    <row r="264" spans="1:29" x14ac:dyDescent="0.2">
      <c r="A264" s="14" t="s">
        <v>410</v>
      </c>
      <c r="C264" s="14" t="s">
        <v>411</v>
      </c>
      <c r="F264" s="255">
        <f t="shared" ref="F264" si="157">F233+F246+F262</f>
        <v>10177766.260000002</v>
      </c>
      <c r="G264" s="49"/>
      <c r="H264" s="49">
        <f t="shared" ref="H264:M264" si="158">H233+H246+H262</f>
        <v>0</v>
      </c>
      <c r="I264" s="49">
        <f t="shared" si="158"/>
        <v>0</v>
      </c>
      <c r="J264" s="49"/>
      <c r="K264" s="49">
        <f t="shared" si="158"/>
        <v>0</v>
      </c>
      <c r="L264" s="49"/>
      <c r="M264" s="49">
        <f t="shared" si="158"/>
        <v>606881.99130814336</v>
      </c>
      <c r="N264" s="49"/>
      <c r="O264" s="49">
        <f t="shared" ref="O264:AA264" si="159">O233+O246+O262</f>
        <v>2592242.437626387</v>
      </c>
      <c r="P264" s="49">
        <f t="shared" si="159"/>
        <v>4553990.7493112804</v>
      </c>
      <c r="Q264" s="49"/>
      <c r="R264" s="49">
        <f t="shared" si="159"/>
        <v>0</v>
      </c>
      <c r="S264" s="49">
        <f t="shared" si="159"/>
        <v>180534.59170720747</v>
      </c>
      <c r="T264" s="49"/>
      <c r="U264" s="49">
        <f t="shared" si="159"/>
        <v>445691.09094183636</v>
      </c>
      <c r="V264" s="49"/>
      <c r="W264" s="49">
        <f t="shared" si="159"/>
        <v>112687.80910514604</v>
      </c>
      <c r="X264" s="49"/>
      <c r="Y264" s="49">
        <f t="shared" si="159"/>
        <v>1692301.0100000002</v>
      </c>
      <c r="Z264" s="49"/>
      <c r="AA264" s="49">
        <f t="shared" si="159"/>
        <v>-6563.4199999999992</v>
      </c>
      <c r="AB264" s="49">
        <f>SUM(H264:AA264)</f>
        <v>10177766.26</v>
      </c>
      <c r="AC264" s="29" t="str">
        <f>IF(ABS(AB264-F264)&lt;1,"ok","err")</f>
        <v>ok</v>
      </c>
    </row>
    <row r="265" spans="1:29" x14ac:dyDescent="0.2">
      <c r="F265" s="255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C265" s="29"/>
    </row>
    <row r="266" spans="1:29" x14ac:dyDescent="0.2">
      <c r="A266" s="27" t="s">
        <v>136</v>
      </c>
      <c r="F266" s="255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C266" s="29"/>
    </row>
    <row r="267" spans="1:29" x14ac:dyDescent="0.2">
      <c r="F267" s="255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C267" s="29"/>
    </row>
    <row r="268" spans="1:29" x14ac:dyDescent="0.2">
      <c r="A268" s="13" t="s">
        <v>159</v>
      </c>
      <c r="F268" s="255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C268" s="29"/>
    </row>
    <row r="269" spans="1:29" x14ac:dyDescent="0.2">
      <c r="A269" s="14">
        <v>920</v>
      </c>
      <c r="B269" s="14" t="s">
        <v>160</v>
      </c>
      <c r="C269" s="14" t="s">
        <v>161</v>
      </c>
      <c r="D269" s="14" t="s">
        <v>411</v>
      </c>
      <c r="F269" s="254">
        <v>1179385.2599999998</v>
      </c>
      <c r="G269" s="190"/>
      <c r="H269" s="49">
        <f>IF((VLOOKUP($D269,$C$5:$AA$496,6,)=0),0,((VLOOKUP($D269,$C$5:$AA$496,6,)/VLOOKUP($D269,$C$5:$AA$496,4,))*$F269))</f>
        <v>0</v>
      </c>
      <c r="I269" s="49">
        <f>(VLOOKUP($D269,$C$5:$AA$496,7,)/VLOOKUP($D269,$C$5:$AA$496,4,))*$F269</f>
        <v>0</v>
      </c>
      <c r="J269" s="49"/>
      <c r="K269" s="49">
        <f>(VLOOKUP($D269,$C$5:$AA$496,9,)/VLOOKUP($D269,$C$5:$AA$496,4,))*$F269</f>
        <v>0</v>
      </c>
      <c r="L269" s="49"/>
      <c r="M269" s="49">
        <f>(VLOOKUP($D269,$C$5:$AA$496,11,)/VLOOKUP($D269,$C$5:$AA$496,4,))*$F269</f>
        <v>70324.63281469309</v>
      </c>
      <c r="N269" s="49"/>
      <c r="O269" s="49">
        <f>(VLOOKUP($D269,$C$5:$AA$496,13,)/VLOOKUP($D269,$C$5:$AA$496,4,))*$F269</f>
        <v>300385.41298579884</v>
      </c>
      <c r="P269" s="49">
        <f>(VLOOKUP($D269,$C$5:$AA$496,14,)/VLOOKUP($D269,$C$5:$AA$496,4,))*$F269</f>
        <v>527710.05215775874</v>
      </c>
      <c r="Q269" s="49"/>
      <c r="R269" s="49">
        <f>(VLOOKUP($D269,$C$5:$AA$496,16,)/VLOOKUP($D269,$C$5:$AA$496,4,))*$F269</f>
        <v>0</v>
      </c>
      <c r="S269" s="49">
        <f>(VLOOKUP($D269,$C$5:$AA$496,17,)/VLOOKUP($D269,$C$5:$AA$496,4,))*$F269</f>
        <v>20920.094934426077</v>
      </c>
      <c r="T269" s="49"/>
      <c r="U269" s="49">
        <f>(VLOOKUP($D269,$C$5:$AA$496,19,)/VLOOKUP($D269,$C$5:$AA$496,4,))*$F269</f>
        <v>51646.057665517772</v>
      </c>
      <c r="V269" s="49"/>
      <c r="W269" s="49">
        <f>(VLOOKUP($D269,$C$5:$AA$496,21,)/VLOOKUP($D269,$C$5:$AA$496,4,))*$F269</f>
        <v>13058.105054212847</v>
      </c>
      <c r="X269" s="49"/>
      <c r="Y269" s="49">
        <f>(VLOOKUP($D269,$C$5:$AA$496,23,)/VLOOKUP($D269,$C$5:$AA$496,4,))*$F269</f>
        <v>196101.46427916808</v>
      </c>
      <c r="Z269" s="49"/>
      <c r="AA269" s="49">
        <f>(VLOOKUP($D269,$C$5:$AA$496,25,)/VLOOKUP($D269,$C$5:$AA$496,4,))*$F269</f>
        <v>-760.55989157577653</v>
      </c>
      <c r="AB269" s="49">
        <f t="shared" ref="AB269:AB281" si="160">SUM(H269:AA269)</f>
        <v>1179385.2599999998</v>
      </c>
      <c r="AC269" s="29" t="str">
        <f t="shared" ref="AC269:AC281" si="161">IF(ABS(AB269-F269)&lt;1,"ok","err")</f>
        <v>ok</v>
      </c>
    </row>
    <row r="270" spans="1:29" x14ac:dyDescent="0.2">
      <c r="A270" s="14">
        <v>921</v>
      </c>
      <c r="B270" s="14" t="s">
        <v>162</v>
      </c>
      <c r="C270" s="14" t="s">
        <v>163</v>
      </c>
      <c r="D270" s="14" t="s">
        <v>516</v>
      </c>
      <c r="F270" s="255">
        <v>236921.16</v>
      </c>
      <c r="G270" s="191"/>
      <c r="H270" s="49">
        <f>IF(VLOOKUP($D270,$C$5:$AA$496,6,)=0,0,((VLOOKUP($D270,$C$5:$AA$496,6,)/VLOOKUP($D270,$C$5:$AA$496,4,))*$F270))</f>
        <v>0</v>
      </c>
      <c r="I270" s="49">
        <f>IF(VLOOKUP($D270,$C$5:$AA$496,7,)=0,0,((VLOOKUP($D270,$C$5:$AA$496,7,)/VLOOKUP($D270,$C$5:$AA$496,4,))*$F270))</f>
        <v>0</v>
      </c>
      <c r="J270" s="49"/>
      <c r="K270" s="49">
        <f>IF(VLOOKUP($D270,$C$5:$AA$496,9,)=0,0,((VLOOKUP($D270,$C$5:$AA$496,9,)/VLOOKUP($D270,$C$5:$AA$496,4,))*$F270))</f>
        <v>0</v>
      </c>
      <c r="L270" s="49"/>
      <c r="M270" s="49">
        <f>IF(VLOOKUP($D270,$C$5:$AA$496,11,)=0,0,((VLOOKUP($D270,$C$5:$AA$496,11,)/VLOOKUP($D270,$C$5:$AA$496,4,))*$F270))</f>
        <v>12153.550753244393</v>
      </c>
      <c r="N270" s="49"/>
      <c r="O270" s="49">
        <f>IF(VLOOKUP($D270,$C$5:$AA$496,13,)=0,0,((VLOOKUP($D270,$C$5:$AA$496,13,)/VLOOKUP($D270,$C$5:$AA$496,4,))*$F270))</f>
        <v>56365.832211164554</v>
      </c>
      <c r="P270" s="49">
        <f>IF(VLOOKUP($D270,$C$5:$AA$496,14,)=0,0,((VLOOKUP($D270,$C$5:$AA$496,14,)/VLOOKUP($D270,$C$5:$AA$496,4,))*$F270))</f>
        <v>85682.852568718823</v>
      </c>
      <c r="Q270" s="49"/>
      <c r="R270" s="49">
        <f>IF(VLOOKUP($D270,$C$5:$AA$496,16,)=0,0,((VLOOKUP($D270,$C$5:$AA$496,16,)/VLOOKUP($D270,$C$5:$AA$496,4,))*$F270))</f>
        <v>0</v>
      </c>
      <c r="S270" s="49">
        <f>IF(VLOOKUP($D270,$C$5:$AA$496,17,)=0,0,((VLOOKUP($D270,$C$5:$AA$496,17,)/VLOOKUP($D270,$C$5:$AA$496,4,))*$F270))</f>
        <v>4592.4685767274414</v>
      </c>
      <c r="T270" s="49"/>
      <c r="U270" s="49">
        <f>IF(VLOOKUP($D270,$C$5:$AA$496,19,)=0,0,((VLOOKUP($D270,$C$5:$AA$496,19,)/VLOOKUP($D270,$C$5:$AA$496,4,))*$F270))</f>
        <v>12255.440608879506</v>
      </c>
      <c r="V270" s="49"/>
      <c r="W270" s="49">
        <f>IF(VLOOKUP($D270,$C$5:$AA$496,21,)=0,0,((VLOOKUP($D270,$C$5:$AA$496,21,)/VLOOKUP($D270,$C$5:$AA$496,4,))*$F270))</f>
        <v>2653.6051751025529</v>
      </c>
      <c r="X270" s="49"/>
      <c r="Y270" s="49">
        <f>IF(VLOOKUP($D270,$C$5:$AA$496,23,)=0,0,((VLOOKUP($D270,$C$5:$AA$496,23,)/VLOOKUP($D270,$C$5:$AA$496,4,))*$F270))</f>
        <v>63217.41010616273</v>
      </c>
      <c r="Z270" s="49"/>
      <c r="AA270" s="49">
        <f>IF(VLOOKUP($D270,$C$5:$AA$496,25,)=0,0,((VLOOKUP($D270,$C$5:$AA$496,25,)/VLOOKUP($D270,$C$5:$AA$496,4,))*$F270))</f>
        <v>0</v>
      </c>
      <c r="AB270" s="49">
        <f>SUM(H270:AA270)</f>
        <v>236921.15999999997</v>
      </c>
      <c r="AC270" s="29" t="str">
        <f>IF(ABS(AB270-F270)&lt;1,"ok","err")</f>
        <v>ok</v>
      </c>
    </row>
    <row r="271" spans="1:29" x14ac:dyDescent="0.2">
      <c r="A271" s="14">
        <v>923</v>
      </c>
      <c r="B271" s="14" t="s">
        <v>164</v>
      </c>
      <c r="C271" s="14" t="s">
        <v>165</v>
      </c>
      <c r="D271" s="14" t="s">
        <v>411</v>
      </c>
      <c r="F271" s="255">
        <v>57278.06</v>
      </c>
      <c r="G271" s="191"/>
      <c r="H271" s="49">
        <f t="shared" ref="H271:H281" si="162">IF((VLOOKUP($D271,$C$5:$AA$496,6,)=0),0,((VLOOKUP($D271,$C$5:$AA$496,6,)/VLOOKUP($D271,$C$5:$AA$496,4,))*$F271))</f>
        <v>0</v>
      </c>
      <c r="I271" s="49">
        <f t="shared" ref="I271:I281" si="163">(VLOOKUP($D271,$C$5:$AA$496,7,)/VLOOKUP($D271,$C$5:$AA$496,4,))*$F271</f>
        <v>0</v>
      </c>
      <c r="J271" s="49"/>
      <c r="K271" s="49">
        <f t="shared" ref="K271:K281" si="164">(VLOOKUP($D271,$C$5:$AA$496,9,)/VLOOKUP($D271,$C$5:$AA$496,4,))*$F271</f>
        <v>0</v>
      </c>
      <c r="L271" s="49"/>
      <c r="M271" s="49">
        <f t="shared" ref="M271:M281" si="165">(VLOOKUP($D271,$C$5:$AA$496,11,)/VLOOKUP($D271,$C$5:$AA$496,4,))*$F271</f>
        <v>3415.3882318640817</v>
      </c>
      <c r="N271" s="49"/>
      <c r="O271" s="49">
        <f t="shared" ref="O271:O281" si="166">(VLOOKUP($D271,$C$5:$AA$496,13,)/VLOOKUP($D271,$C$5:$AA$496,4,))*$F271</f>
        <v>14588.526999332998</v>
      </c>
      <c r="P271" s="49">
        <f t="shared" ref="P271:P281" si="167">(VLOOKUP($D271,$C$5:$AA$496,14,)/VLOOKUP($D271,$C$5:$AA$496,4,))*$F271</f>
        <v>25628.782260764598</v>
      </c>
      <c r="Q271" s="49"/>
      <c r="R271" s="49">
        <f t="shared" ref="R271:R281" si="168">(VLOOKUP($D271,$C$5:$AA$496,16,)/VLOOKUP($D271,$C$5:$AA$496,4,))*$F271</f>
        <v>0</v>
      </c>
      <c r="S271" s="49">
        <f t="shared" ref="S271:S281" si="169">(VLOOKUP($D271,$C$5:$AA$496,17,)/VLOOKUP($D271,$C$5:$AA$496,4,))*$F271</f>
        <v>1016.0059596299797</v>
      </c>
      <c r="T271" s="49"/>
      <c r="U271" s="49">
        <f t="shared" ref="U271:U281" si="170">(VLOOKUP($D271,$C$5:$AA$496,19,)/VLOOKUP($D271,$C$5:$AA$496,4,))*$F271</f>
        <v>2508.2439895246675</v>
      </c>
      <c r="V271" s="49"/>
      <c r="W271" s="49">
        <f t="shared" ref="W271:W281" si="171">(VLOOKUP($D271,$C$5:$AA$496,21,)/VLOOKUP($D271,$C$5:$AA$496,4,))*$F271</f>
        <v>634.180322706006</v>
      </c>
      <c r="X271" s="49"/>
      <c r="Y271" s="49">
        <f t="shared" ref="Y271:Y281" si="172">(VLOOKUP($D271,$C$5:$AA$496,23,)/VLOOKUP($D271,$C$5:$AA$496,4,))*$F271</f>
        <v>9523.8696107411488</v>
      </c>
      <c r="Z271" s="49"/>
      <c r="AA271" s="49">
        <f t="shared" ref="AA271:AA281" si="173">(VLOOKUP($D271,$C$5:$AA$496,25,)/VLOOKUP($D271,$C$5:$AA$496,4,))*$F271</f>
        <v>-36.93737456348304</v>
      </c>
      <c r="AB271" s="49">
        <f t="shared" si="160"/>
        <v>57278.06</v>
      </c>
      <c r="AC271" s="29" t="str">
        <f t="shared" si="161"/>
        <v>ok</v>
      </c>
    </row>
    <row r="272" spans="1:29" x14ac:dyDescent="0.2">
      <c r="A272" s="14">
        <v>924</v>
      </c>
      <c r="B272" s="14" t="s">
        <v>166</v>
      </c>
      <c r="C272" s="14" t="s">
        <v>167</v>
      </c>
      <c r="D272" s="14" t="s">
        <v>84</v>
      </c>
      <c r="F272" s="255">
        <v>0</v>
      </c>
      <c r="G272" s="191"/>
      <c r="H272" s="49">
        <f t="shared" si="162"/>
        <v>0</v>
      </c>
      <c r="I272" s="49">
        <f t="shared" si="163"/>
        <v>0</v>
      </c>
      <c r="J272" s="49"/>
      <c r="K272" s="49">
        <f t="shared" si="164"/>
        <v>0</v>
      </c>
      <c r="L272" s="49"/>
      <c r="M272" s="49">
        <f t="shared" si="165"/>
        <v>0</v>
      </c>
      <c r="N272" s="49"/>
      <c r="O272" s="49">
        <f t="shared" si="166"/>
        <v>0</v>
      </c>
      <c r="P272" s="49">
        <f t="shared" si="167"/>
        <v>0</v>
      </c>
      <c r="Q272" s="49"/>
      <c r="R272" s="49">
        <f t="shared" si="168"/>
        <v>0</v>
      </c>
      <c r="S272" s="49">
        <f t="shared" si="169"/>
        <v>0</v>
      </c>
      <c r="T272" s="49"/>
      <c r="U272" s="49">
        <f t="shared" si="170"/>
        <v>0</v>
      </c>
      <c r="V272" s="49"/>
      <c r="W272" s="49">
        <f t="shared" si="171"/>
        <v>0</v>
      </c>
      <c r="X272" s="49"/>
      <c r="Y272" s="49">
        <f t="shared" si="172"/>
        <v>0</v>
      </c>
      <c r="Z272" s="49"/>
      <c r="AA272" s="49">
        <f t="shared" si="173"/>
        <v>0</v>
      </c>
      <c r="AB272" s="49">
        <f t="shared" si="160"/>
        <v>0</v>
      </c>
      <c r="AC272" s="29" t="str">
        <f t="shared" si="161"/>
        <v>ok</v>
      </c>
    </row>
    <row r="273" spans="1:29" x14ac:dyDescent="0.2">
      <c r="A273" s="14">
        <v>925</v>
      </c>
      <c r="B273" s="14" t="s">
        <v>168</v>
      </c>
      <c r="C273" s="14" t="s">
        <v>169</v>
      </c>
      <c r="D273" s="14" t="s">
        <v>516</v>
      </c>
      <c r="F273" s="255">
        <v>-13064.31</v>
      </c>
      <c r="G273" s="191"/>
      <c r="H273" s="49">
        <f t="shared" si="162"/>
        <v>0</v>
      </c>
      <c r="I273" s="49">
        <f t="shared" si="163"/>
        <v>0</v>
      </c>
      <c r="J273" s="49"/>
      <c r="K273" s="49">
        <f t="shared" si="164"/>
        <v>0</v>
      </c>
      <c r="L273" s="49"/>
      <c r="M273" s="49">
        <f t="shared" si="165"/>
        <v>-670.17126980603268</v>
      </c>
      <c r="N273" s="49"/>
      <c r="O273" s="49">
        <f t="shared" si="166"/>
        <v>-3108.1255275579401</v>
      </c>
      <c r="P273" s="49">
        <f t="shared" si="167"/>
        <v>-4724.7250842518197</v>
      </c>
      <c r="Q273" s="49"/>
      <c r="R273" s="49">
        <f t="shared" si="168"/>
        <v>0</v>
      </c>
      <c r="S273" s="49">
        <f t="shared" si="169"/>
        <v>-253.23796807185172</v>
      </c>
      <c r="T273" s="49"/>
      <c r="U273" s="49">
        <f t="shared" si="170"/>
        <v>-675.78968168563165</v>
      </c>
      <c r="V273" s="49"/>
      <c r="W273" s="49">
        <f t="shared" si="171"/>
        <v>-146.32513459390472</v>
      </c>
      <c r="X273" s="49"/>
      <c r="Y273" s="49">
        <f t="shared" si="172"/>
        <v>-3485.9353340328184</v>
      </c>
      <c r="Z273" s="49"/>
      <c r="AA273" s="49">
        <f t="shared" si="173"/>
        <v>0</v>
      </c>
      <c r="AB273" s="49">
        <f t="shared" si="160"/>
        <v>-13064.309999999998</v>
      </c>
      <c r="AC273" s="29" t="str">
        <f t="shared" si="161"/>
        <v>ok</v>
      </c>
    </row>
    <row r="274" spans="1:29" x14ac:dyDescent="0.2">
      <c r="A274" s="14">
        <v>926</v>
      </c>
      <c r="B274" s="14" t="s">
        <v>170</v>
      </c>
      <c r="C274" s="14" t="s">
        <v>171</v>
      </c>
      <c r="D274" s="14" t="s">
        <v>516</v>
      </c>
      <c r="F274" s="255">
        <v>0</v>
      </c>
      <c r="G274" s="191"/>
      <c r="H274" s="49">
        <f t="shared" si="162"/>
        <v>0</v>
      </c>
      <c r="I274" s="49">
        <f t="shared" si="163"/>
        <v>0</v>
      </c>
      <c r="J274" s="49"/>
      <c r="K274" s="49">
        <f t="shared" si="164"/>
        <v>0</v>
      </c>
      <c r="L274" s="49"/>
      <c r="M274" s="49">
        <f t="shared" si="165"/>
        <v>0</v>
      </c>
      <c r="N274" s="49"/>
      <c r="O274" s="49">
        <f t="shared" si="166"/>
        <v>0</v>
      </c>
      <c r="P274" s="49">
        <f t="shared" si="167"/>
        <v>0</v>
      </c>
      <c r="Q274" s="49"/>
      <c r="R274" s="49">
        <f t="shared" si="168"/>
        <v>0</v>
      </c>
      <c r="S274" s="49">
        <f t="shared" si="169"/>
        <v>0</v>
      </c>
      <c r="T274" s="49"/>
      <c r="U274" s="49">
        <f t="shared" si="170"/>
        <v>0</v>
      </c>
      <c r="V274" s="49"/>
      <c r="W274" s="49">
        <f t="shared" si="171"/>
        <v>0</v>
      </c>
      <c r="X274" s="49"/>
      <c r="Y274" s="49">
        <f t="shared" si="172"/>
        <v>0</v>
      </c>
      <c r="Z274" s="49"/>
      <c r="AA274" s="49">
        <f t="shared" si="173"/>
        <v>0</v>
      </c>
      <c r="AB274" s="49">
        <f t="shared" si="160"/>
        <v>0</v>
      </c>
      <c r="AC274" s="29" t="str">
        <f t="shared" si="161"/>
        <v>ok</v>
      </c>
    </row>
    <row r="275" spans="1:29" x14ac:dyDescent="0.2">
      <c r="A275" s="14">
        <v>928</v>
      </c>
      <c r="B275" s="14" t="s">
        <v>578</v>
      </c>
      <c r="C275" s="14" t="s">
        <v>173</v>
      </c>
      <c r="D275" s="14" t="s">
        <v>411</v>
      </c>
      <c r="F275" s="255">
        <v>0</v>
      </c>
      <c r="G275" s="191"/>
      <c r="H275" s="49">
        <f t="shared" si="162"/>
        <v>0</v>
      </c>
      <c r="I275" s="49">
        <f t="shared" si="163"/>
        <v>0</v>
      </c>
      <c r="J275" s="49"/>
      <c r="K275" s="49">
        <f t="shared" si="164"/>
        <v>0</v>
      </c>
      <c r="L275" s="49"/>
      <c r="M275" s="49">
        <f t="shared" si="165"/>
        <v>0</v>
      </c>
      <c r="N275" s="49"/>
      <c r="O275" s="49">
        <f t="shared" si="166"/>
        <v>0</v>
      </c>
      <c r="P275" s="49">
        <f t="shared" si="167"/>
        <v>0</v>
      </c>
      <c r="Q275" s="49"/>
      <c r="R275" s="49">
        <f t="shared" si="168"/>
        <v>0</v>
      </c>
      <c r="S275" s="49">
        <f t="shared" si="169"/>
        <v>0</v>
      </c>
      <c r="T275" s="49"/>
      <c r="U275" s="49">
        <f t="shared" si="170"/>
        <v>0</v>
      </c>
      <c r="V275" s="49"/>
      <c r="W275" s="49">
        <f t="shared" si="171"/>
        <v>0</v>
      </c>
      <c r="X275" s="49"/>
      <c r="Y275" s="49">
        <f t="shared" si="172"/>
        <v>0</v>
      </c>
      <c r="Z275" s="49"/>
      <c r="AA275" s="49">
        <f t="shared" si="173"/>
        <v>0</v>
      </c>
      <c r="AB275" s="49">
        <f t="shared" si="160"/>
        <v>0</v>
      </c>
      <c r="AC275" s="29" t="str">
        <f t="shared" si="161"/>
        <v>ok</v>
      </c>
    </row>
    <row r="276" spans="1:29" x14ac:dyDescent="0.2">
      <c r="A276" s="14">
        <v>929</v>
      </c>
      <c r="B276" s="14" t="s">
        <v>933</v>
      </c>
      <c r="C276" s="14" t="s">
        <v>387</v>
      </c>
      <c r="D276" s="14" t="s">
        <v>411</v>
      </c>
      <c r="F276" s="255">
        <v>-51537.81</v>
      </c>
      <c r="G276" s="191"/>
      <c r="H276" s="49">
        <f t="shared" si="162"/>
        <v>0</v>
      </c>
      <c r="I276" s="49">
        <f t="shared" si="163"/>
        <v>0</v>
      </c>
      <c r="J276" s="49"/>
      <c r="K276" s="49">
        <f t="shared" si="164"/>
        <v>0</v>
      </c>
      <c r="L276" s="49"/>
      <c r="M276" s="49">
        <f t="shared" si="165"/>
        <v>-3073.1073952233542</v>
      </c>
      <c r="N276" s="49"/>
      <c r="O276" s="49">
        <f t="shared" si="166"/>
        <v>-13126.504854939119</v>
      </c>
      <c r="P276" s="49">
        <f t="shared" si="167"/>
        <v>-23060.336028955175</v>
      </c>
      <c r="Q276" s="49"/>
      <c r="R276" s="49">
        <f t="shared" si="168"/>
        <v>0</v>
      </c>
      <c r="S276" s="49">
        <f t="shared" si="169"/>
        <v>-914.18463031529984</v>
      </c>
      <c r="T276" s="49"/>
      <c r="U276" s="49">
        <f t="shared" si="170"/>
        <v>-2256.8746596124993</v>
      </c>
      <c r="V276" s="49"/>
      <c r="W276" s="49">
        <f t="shared" si="171"/>
        <v>-570.62451097961105</v>
      </c>
      <c r="X276" s="49"/>
      <c r="Y276" s="49">
        <f t="shared" si="172"/>
        <v>-8569.4135322172442</v>
      </c>
      <c r="Z276" s="49"/>
      <c r="AA276" s="49">
        <f t="shared" si="173"/>
        <v>33.235612242307468</v>
      </c>
      <c r="AB276" s="49">
        <f t="shared" si="160"/>
        <v>-51537.81</v>
      </c>
      <c r="AC276" s="29" t="str">
        <f t="shared" si="161"/>
        <v>ok</v>
      </c>
    </row>
    <row r="277" spans="1:29" x14ac:dyDescent="0.2">
      <c r="A277" s="14">
        <v>930</v>
      </c>
      <c r="B277" s="14" t="s">
        <v>174</v>
      </c>
      <c r="C277" s="14" t="s">
        <v>175</v>
      </c>
      <c r="D277" s="14" t="s">
        <v>411</v>
      </c>
      <c r="F277" s="255">
        <v>361333.58</v>
      </c>
      <c r="G277" s="191"/>
      <c r="H277" s="49">
        <f t="shared" si="162"/>
        <v>0</v>
      </c>
      <c r="I277" s="49">
        <f t="shared" si="163"/>
        <v>0</v>
      </c>
      <c r="J277" s="49"/>
      <c r="K277" s="49">
        <f t="shared" si="164"/>
        <v>0</v>
      </c>
      <c r="L277" s="49"/>
      <c r="M277" s="49">
        <f t="shared" si="165"/>
        <v>21545.674851929671</v>
      </c>
      <c r="N277" s="49"/>
      <c r="O277" s="49">
        <f t="shared" si="166"/>
        <v>92030.43342591649</v>
      </c>
      <c r="P277" s="49">
        <f t="shared" si="167"/>
        <v>161676.9081446293</v>
      </c>
      <c r="Q277" s="49"/>
      <c r="R277" s="49">
        <f t="shared" si="168"/>
        <v>0</v>
      </c>
      <c r="S277" s="49">
        <f t="shared" si="169"/>
        <v>6409.3838145781483</v>
      </c>
      <c r="T277" s="49"/>
      <c r="U277" s="49">
        <f t="shared" si="170"/>
        <v>15823.035561058296</v>
      </c>
      <c r="V277" s="49"/>
      <c r="W277" s="49">
        <f t="shared" si="171"/>
        <v>4000.6705249604552</v>
      </c>
      <c r="X277" s="49"/>
      <c r="Y277" s="49">
        <f t="shared" si="172"/>
        <v>60080.4898403037</v>
      </c>
      <c r="Z277" s="49"/>
      <c r="AA277" s="49">
        <f t="shared" si="173"/>
        <v>-233.01616337606868</v>
      </c>
      <c r="AB277" s="49">
        <f t="shared" si="160"/>
        <v>361333.58000000007</v>
      </c>
      <c r="AC277" s="29" t="str">
        <f t="shared" si="161"/>
        <v>ok</v>
      </c>
    </row>
    <row r="278" spans="1:29" x14ac:dyDescent="0.2">
      <c r="A278" s="14">
        <v>931</v>
      </c>
      <c r="B278" s="14" t="s">
        <v>176</v>
      </c>
      <c r="C278" s="14" t="s">
        <v>177</v>
      </c>
      <c r="D278" s="14" t="s">
        <v>84</v>
      </c>
      <c r="F278" s="255">
        <v>0</v>
      </c>
      <c r="G278" s="191"/>
      <c r="H278" s="49">
        <f t="shared" si="162"/>
        <v>0</v>
      </c>
      <c r="I278" s="49">
        <f t="shared" si="163"/>
        <v>0</v>
      </c>
      <c r="J278" s="49"/>
      <c r="K278" s="49">
        <f t="shared" si="164"/>
        <v>0</v>
      </c>
      <c r="L278" s="49"/>
      <c r="M278" s="49">
        <f t="shared" si="165"/>
        <v>0</v>
      </c>
      <c r="N278" s="49"/>
      <c r="O278" s="49">
        <f t="shared" si="166"/>
        <v>0</v>
      </c>
      <c r="P278" s="49">
        <f t="shared" si="167"/>
        <v>0</v>
      </c>
      <c r="Q278" s="49"/>
      <c r="R278" s="49">
        <f t="shared" si="168"/>
        <v>0</v>
      </c>
      <c r="S278" s="49">
        <f t="shared" si="169"/>
        <v>0</v>
      </c>
      <c r="T278" s="49"/>
      <c r="U278" s="49">
        <f t="shared" si="170"/>
        <v>0</v>
      </c>
      <c r="V278" s="49"/>
      <c r="W278" s="49">
        <f t="shared" si="171"/>
        <v>0</v>
      </c>
      <c r="X278" s="49"/>
      <c r="Y278" s="49">
        <f t="shared" si="172"/>
        <v>0</v>
      </c>
      <c r="Z278" s="49"/>
      <c r="AA278" s="49">
        <f t="shared" si="173"/>
        <v>0</v>
      </c>
      <c r="AB278" s="49">
        <f t="shared" si="160"/>
        <v>0</v>
      </c>
      <c r="AC278" s="29" t="str">
        <f t="shared" si="161"/>
        <v>ok</v>
      </c>
    </row>
    <row r="279" spans="1:29" x14ac:dyDescent="0.2">
      <c r="A279" s="14">
        <v>932</v>
      </c>
      <c r="B279" s="14" t="s">
        <v>178</v>
      </c>
      <c r="C279" s="14" t="s">
        <v>928</v>
      </c>
      <c r="D279" s="14" t="s">
        <v>70</v>
      </c>
      <c r="F279" s="255">
        <v>0</v>
      </c>
      <c r="G279" s="191"/>
      <c r="H279" s="49"/>
      <c r="I279" s="49">
        <f t="shared" si="163"/>
        <v>0</v>
      </c>
      <c r="J279" s="49"/>
      <c r="K279" s="49">
        <f t="shared" si="164"/>
        <v>0</v>
      </c>
      <c r="L279" s="49"/>
      <c r="M279" s="49">
        <f t="shared" si="165"/>
        <v>0</v>
      </c>
      <c r="N279" s="49"/>
      <c r="O279" s="49">
        <f t="shared" si="166"/>
        <v>0</v>
      </c>
      <c r="P279" s="49">
        <f t="shared" si="167"/>
        <v>0</v>
      </c>
      <c r="Q279" s="49"/>
      <c r="R279" s="49">
        <f t="shared" si="168"/>
        <v>0</v>
      </c>
      <c r="S279" s="49">
        <f t="shared" si="169"/>
        <v>0</v>
      </c>
      <c r="T279" s="49"/>
      <c r="U279" s="49">
        <f t="shared" si="170"/>
        <v>0</v>
      </c>
      <c r="V279" s="49"/>
      <c r="W279" s="49">
        <f t="shared" si="171"/>
        <v>0</v>
      </c>
      <c r="X279" s="49"/>
      <c r="Y279" s="49">
        <f t="shared" si="172"/>
        <v>0</v>
      </c>
      <c r="Z279" s="49"/>
      <c r="AA279" s="49">
        <f t="shared" si="173"/>
        <v>0</v>
      </c>
      <c r="AB279" s="49">
        <f>SUM(H279:AA279)</f>
        <v>0</v>
      </c>
      <c r="AC279" s="29" t="str">
        <f>IF(ABS(AB279-F279)&lt;1,"ok","err")</f>
        <v>ok</v>
      </c>
    </row>
    <row r="280" spans="1:29" x14ac:dyDescent="0.2">
      <c r="A280" s="14">
        <v>933</v>
      </c>
      <c r="B280" s="14" t="s">
        <v>926</v>
      </c>
      <c r="C280" s="14" t="s">
        <v>927</v>
      </c>
      <c r="D280" s="14" t="s">
        <v>70</v>
      </c>
      <c r="F280" s="255">
        <v>0</v>
      </c>
      <c r="G280" s="191"/>
      <c r="H280" s="49">
        <f t="shared" si="162"/>
        <v>0</v>
      </c>
      <c r="I280" s="49">
        <f t="shared" si="163"/>
        <v>0</v>
      </c>
      <c r="J280" s="49"/>
      <c r="K280" s="49">
        <f t="shared" si="164"/>
        <v>0</v>
      </c>
      <c r="L280" s="49"/>
      <c r="M280" s="49">
        <f t="shared" si="165"/>
        <v>0</v>
      </c>
      <c r="N280" s="49"/>
      <c r="O280" s="49">
        <f t="shared" si="166"/>
        <v>0</v>
      </c>
      <c r="P280" s="49">
        <f t="shared" si="167"/>
        <v>0</v>
      </c>
      <c r="Q280" s="49"/>
      <c r="R280" s="49">
        <f t="shared" si="168"/>
        <v>0</v>
      </c>
      <c r="S280" s="49">
        <f t="shared" si="169"/>
        <v>0</v>
      </c>
      <c r="T280" s="49"/>
      <c r="U280" s="49">
        <f t="shared" si="170"/>
        <v>0</v>
      </c>
      <c r="V280" s="49"/>
      <c r="W280" s="49">
        <f t="shared" si="171"/>
        <v>0</v>
      </c>
      <c r="X280" s="49"/>
      <c r="Y280" s="49">
        <f t="shared" si="172"/>
        <v>0</v>
      </c>
      <c r="Z280" s="49"/>
      <c r="AA280" s="49">
        <f t="shared" si="173"/>
        <v>0</v>
      </c>
      <c r="AB280" s="49">
        <f>SUM(H280:AA280)</f>
        <v>0</v>
      </c>
      <c r="AC280" s="29" t="str">
        <f>IF(ABS(AB280-F280)&lt;1,"ok","err")</f>
        <v>ok</v>
      </c>
    </row>
    <row r="281" spans="1:29" x14ac:dyDescent="0.2">
      <c r="A281" s="14">
        <v>935</v>
      </c>
      <c r="B281" s="14" t="s">
        <v>929</v>
      </c>
      <c r="C281" s="14" t="s">
        <v>711</v>
      </c>
      <c r="D281" s="14" t="s">
        <v>84</v>
      </c>
      <c r="F281" s="255">
        <v>357616.86</v>
      </c>
      <c r="G281" s="191"/>
      <c r="H281" s="49">
        <f t="shared" si="162"/>
        <v>0</v>
      </c>
      <c r="I281" s="49">
        <f t="shared" si="163"/>
        <v>0</v>
      </c>
      <c r="J281" s="49"/>
      <c r="K281" s="49">
        <f t="shared" si="164"/>
        <v>0</v>
      </c>
      <c r="L281" s="49"/>
      <c r="M281" s="49">
        <f t="shared" si="165"/>
        <v>46054.67285768038</v>
      </c>
      <c r="N281" s="49"/>
      <c r="O281" s="49">
        <f t="shared" si="166"/>
        <v>100138.40261492763</v>
      </c>
      <c r="P281" s="49">
        <f t="shared" si="167"/>
        <v>170656.30101643785</v>
      </c>
      <c r="Q281" s="49"/>
      <c r="R281" s="49">
        <f t="shared" si="168"/>
        <v>0</v>
      </c>
      <c r="S281" s="49">
        <f t="shared" si="169"/>
        <v>13777.373530290075</v>
      </c>
      <c r="T281" s="49"/>
      <c r="U281" s="49">
        <f t="shared" si="170"/>
        <v>13610.208201395792</v>
      </c>
      <c r="V281" s="49"/>
      <c r="W281" s="49">
        <f t="shared" si="171"/>
        <v>13379.901779268315</v>
      </c>
      <c r="X281" s="49"/>
      <c r="Y281" s="49">
        <f t="shared" si="172"/>
        <v>0</v>
      </c>
      <c r="Z281" s="49"/>
      <c r="AA281" s="49">
        <f t="shared" si="173"/>
        <v>0</v>
      </c>
      <c r="AB281" s="49">
        <f t="shared" si="160"/>
        <v>357616.8600000001</v>
      </c>
      <c r="AC281" s="29" t="str">
        <f t="shared" si="161"/>
        <v>ok</v>
      </c>
    </row>
    <row r="282" spans="1:29" x14ac:dyDescent="0.2">
      <c r="F282" s="255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29"/>
    </row>
    <row r="283" spans="1:29" x14ac:dyDescent="0.2">
      <c r="A283" s="14" t="s">
        <v>179</v>
      </c>
      <c r="C283" s="14" t="s">
        <v>180</v>
      </c>
      <c r="D283" s="165"/>
      <c r="F283" s="254">
        <f>SUM(F269:F282)</f>
        <v>2127932.7999999998</v>
      </c>
      <c r="G283" s="65"/>
      <c r="H283" s="65">
        <f>SUM(H269:H282)</f>
        <v>0</v>
      </c>
      <c r="I283" s="65">
        <f>SUM(I269:I282)</f>
        <v>0</v>
      </c>
      <c r="J283" s="65"/>
      <c r="K283" s="65">
        <f>SUM(K269:K282)</f>
        <v>0</v>
      </c>
      <c r="L283" s="65"/>
      <c r="M283" s="65">
        <f>SUM(M269:M282)</f>
        <v>149750.64084438223</v>
      </c>
      <c r="N283" s="65"/>
      <c r="O283" s="65">
        <f>SUM(O269:O282)</f>
        <v>547273.97785464348</v>
      </c>
      <c r="P283" s="65">
        <f>SUM(P269:P282)</f>
        <v>943569.83503510233</v>
      </c>
      <c r="Q283" s="65"/>
      <c r="R283" s="65">
        <f>SUM(R269:R282)</f>
        <v>0</v>
      </c>
      <c r="S283" s="65">
        <f>SUM(S269:S282)</f>
        <v>45547.904217264571</v>
      </c>
      <c r="T283" s="65"/>
      <c r="U283" s="65">
        <f>SUM(U269:U282)</f>
        <v>92910.321685077884</v>
      </c>
      <c r="V283" s="65"/>
      <c r="W283" s="65">
        <f>SUM(W269:W282)</f>
        <v>33009.513210676661</v>
      </c>
      <c r="X283" s="65"/>
      <c r="Y283" s="65">
        <f>SUM(Y269:Y282)</f>
        <v>316867.88497012563</v>
      </c>
      <c r="Z283" s="65"/>
      <c r="AA283" s="65">
        <f>SUM(AA269:AA282)</f>
        <v>-997.27781727302079</v>
      </c>
      <c r="AB283" s="49">
        <f>SUM(H283:AA283)</f>
        <v>2127932.7999999998</v>
      </c>
      <c r="AC283" s="29" t="str">
        <f>IF(ABS(AB283-F283)&lt;1,"ok","err")</f>
        <v>ok</v>
      </c>
    </row>
    <row r="284" spans="1:29" x14ac:dyDescent="0.2">
      <c r="F284" s="255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29"/>
    </row>
    <row r="285" spans="1:29" x14ac:dyDescent="0.2">
      <c r="A285" s="14" t="s">
        <v>181</v>
      </c>
      <c r="C285" s="14" t="s">
        <v>182</v>
      </c>
      <c r="F285" s="254">
        <f>F237+F246+F262+F283</f>
        <v>78736563.060000002</v>
      </c>
      <c r="G285" s="65"/>
      <c r="H285" s="65">
        <f>H237+H246+H262+H283</f>
        <v>19459969.028273102</v>
      </c>
      <c r="I285" s="65">
        <f>I237+I246+I262+I283</f>
        <v>46970894.971726887</v>
      </c>
      <c r="J285" s="65"/>
      <c r="K285" s="65">
        <f>K237+K246+K262+K283</f>
        <v>0</v>
      </c>
      <c r="L285" s="65"/>
      <c r="M285" s="65">
        <f>M237+M246+M262+M283</f>
        <v>756632.63215252559</v>
      </c>
      <c r="N285" s="65"/>
      <c r="O285" s="65">
        <f>O237+O246+O262+O283</f>
        <v>3139516.4154810305</v>
      </c>
      <c r="P285" s="65">
        <f>P237+P246+P262+P283</f>
        <v>5497560.5843463829</v>
      </c>
      <c r="Q285" s="65"/>
      <c r="R285" s="65">
        <f>R237+R246+R262+R283</f>
        <v>0</v>
      </c>
      <c r="S285" s="65">
        <f>S237+S246+S262+S283</f>
        <v>226082.49592447205</v>
      </c>
      <c r="T285" s="65"/>
      <c r="U285" s="65">
        <f>U237+U246+U262+U283</f>
        <v>538601.41262691421</v>
      </c>
      <c r="V285" s="65"/>
      <c r="W285" s="65">
        <f>W237+W246+W262+W283</f>
        <v>145697.3223158227</v>
      </c>
      <c r="X285" s="65"/>
      <c r="Y285" s="65">
        <f>Y237+Y246+Y262+Y283</f>
        <v>2009168.894970126</v>
      </c>
      <c r="Z285" s="65"/>
      <c r="AA285" s="65">
        <f>AA237+AA246+AA262+AA283</f>
        <v>-7560.6978172730196</v>
      </c>
      <c r="AB285" s="49">
        <f>SUM(H285:AA285)</f>
        <v>78736563.059999987</v>
      </c>
      <c r="AC285" s="29" t="str">
        <f>IF(ABS(AB285-F285)&lt;1,"ok","err")</f>
        <v>ok</v>
      </c>
    </row>
    <row r="286" spans="1:29" x14ac:dyDescent="0.2">
      <c r="F286" s="255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29"/>
    </row>
    <row r="287" spans="1:29" x14ac:dyDescent="0.2">
      <c r="A287" s="14" t="s">
        <v>412</v>
      </c>
      <c r="C287" s="14" t="s">
        <v>88</v>
      </c>
      <c r="F287" s="256">
        <f>F285-F180</f>
        <v>12305699.060000002</v>
      </c>
      <c r="G287" s="90"/>
      <c r="H287" s="90">
        <f>H285-H180</f>
        <v>0</v>
      </c>
      <c r="I287" s="90">
        <f>I285-I180</f>
        <v>0</v>
      </c>
      <c r="J287" s="90"/>
      <c r="K287" s="90">
        <f>K285-K180</f>
        <v>0</v>
      </c>
      <c r="L287" s="90"/>
      <c r="M287" s="90">
        <f>M285-M180</f>
        <v>756632.63215252559</v>
      </c>
      <c r="N287" s="90"/>
      <c r="O287" s="90">
        <f>O285-O180</f>
        <v>3139516.4154810305</v>
      </c>
      <c r="P287" s="90">
        <f>P285-P180</f>
        <v>5497560.5843463829</v>
      </c>
      <c r="Q287" s="90">
        <f>Q285-Q180</f>
        <v>0</v>
      </c>
      <c r="R287" s="90">
        <f>R285-R180</f>
        <v>0</v>
      </c>
      <c r="S287" s="90">
        <f>S285-S180</f>
        <v>226082.49592447205</v>
      </c>
      <c r="T287" s="90"/>
      <c r="U287" s="90">
        <f>U285-U180</f>
        <v>538601.41262691421</v>
      </c>
      <c r="V287" s="90"/>
      <c r="W287" s="90">
        <f>W285-W180</f>
        <v>145697.3223158227</v>
      </c>
      <c r="X287" s="90"/>
      <c r="Y287" s="90">
        <f>Y285-Y180</f>
        <v>2009168.894970126</v>
      </c>
      <c r="Z287" s="90"/>
      <c r="AA287" s="90">
        <f>AA285-AA180</f>
        <v>-7560.6978172730196</v>
      </c>
      <c r="AB287" s="49">
        <f>SUM(H287:AA287)</f>
        <v>12305699.060000002</v>
      </c>
      <c r="AC287" s="29" t="str">
        <f>IF(ABS(AB287-F287)&lt;1,"ok","err")</f>
        <v>ok</v>
      </c>
    </row>
    <row r="288" spans="1:29" x14ac:dyDescent="0.2">
      <c r="Q288" s="14"/>
      <c r="AC288" s="29"/>
    </row>
    <row r="289" spans="1:29" x14ac:dyDescent="0.2">
      <c r="AC289" s="29"/>
    </row>
    <row r="290" spans="1:29" x14ac:dyDescent="0.2">
      <c r="A290" s="27" t="s">
        <v>184</v>
      </c>
      <c r="AC290" s="29"/>
    </row>
    <row r="291" spans="1:29" x14ac:dyDescent="0.2">
      <c r="AC291" s="29"/>
    </row>
    <row r="292" spans="1:29" x14ac:dyDescent="0.2">
      <c r="A292" s="13" t="s">
        <v>185</v>
      </c>
      <c r="AC292" s="29"/>
    </row>
    <row r="293" spans="1:29" x14ac:dyDescent="0.2">
      <c r="A293" s="14" t="s">
        <v>767</v>
      </c>
      <c r="C293" s="14" t="s">
        <v>828</v>
      </c>
      <c r="D293" s="14" t="s">
        <v>783</v>
      </c>
      <c r="F293" s="255">
        <v>0</v>
      </c>
      <c r="G293" s="191"/>
      <c r="H293" s="49">
        <f t="shared" ref="H293:H310" si="174">IF((VLOOKUP($D293,$C$5:$AA$496,6,)=0),0,((VLOOKUP($D293,$C$5:$AA$496,6,)/VLOOKUP($D293,$C$5:$AA$496,4,))*$F293))</f>
        <v>0</v>
      </c>
      <c r="I293" s="49">
        <f t="shared" ref="I293:I310" si="175">IF((VLOOKUP($D293,$C$5:$AA$496,7,)=0),0,((VLOOKUP($D293,$C$5:$AA$496,7,)/VLOOKUP($D293,$C$5:$AA$496,4,))*$F293))</f>
        <v>0</v>
      </c>
      <c r="J293" s="49"/>
      <c r="K293" s="49">
        <f t="shared" ref="K293:K310" si="176">IF((VLOOKUP($D293,$C$5:$AA$496,9,)=0),0,((VLOOKUP($D293,$C$5:$AA$496,9,)/VLOOKUP($D293,$C$5:$AA$496,4,))*$F293))</f>
        <v>0</v>
      </c>
      <c r="L293" s="49"/>
      <c r="M293" s="49">
        <f t="shared" ref="M293:M310" si="177">IF((VLOOKUP($D293,$C$5:$AA$496,11,)=0),0,((VLOOKUP($D293,$C$5:$AA$496,11,)/VLOOKUP($D293,$C$5:$AA$496,4,))*$F293))</f>
        <v>0</v>
      </c>
      <c r="N293" s="49"/>
      <c r="O293" s="49">
        <f t="shared" ref="O293:O310" si="178">IF((VLOOKUP($D293,$C$5:$AA$496,13,)=0),0,((VLOOKUP($D293,$C$5:$AA$496,13,)/VLOOKUP($D293,$C$5:$AA$496,4,))*$F293))</f>
        <v>0</v>
      </c>
      <c r="P293" s="49">
        <f t="shared" ref="P293:P310" si="179">IF((VLOOKUP($D293,$C$5:$AA$496,14,)=0),0,((VLOOKUP($D293,$C$5:$AA$496,14,)/VLOOKUP($D293,$C$5:$AA$496,4,))*$F293))</f>
        <v>0</v>
      </c>
      <c r="Q293" s="49"/>
      <c r="R293" s="49">
        <f t="shared" ref="R293:R310" si="180">IF((VLOOKUP($D293,$C$5:$AA$496,16,)=0),0,((VLOOKUP($D293,$C$5:$AA$496,16,)/VLOOKUP($D293,$C$5:$AA$496,4,))*$F293))</f>
        <v>0</v>
      </c>
      <c r="S293" s="49">
        <f t="shared" ref="S293:S310" si="181">IF((VLOOKUP($D293,$C$5:$AA$496,17,)=0),0,((VLOOKUP($D293,$C$5:$AA$496,17,)/VLOOKUP($D293,$C$5:$AA$496,4,))*$F293))</f>
        <v>0</v>
      </c>
      <c r="T293" s="49"/>
      <c r="U293" s="49">
        <f t="shared" ref="U293:U310" si="182">IF((VLOOKUP($D293,$C$5:$AA$496,19,)=0),0,((VLOOKUP($D293,$C$5:$AA$496,19,)/VLOOKUP($D293,$C$5:$AA$496,4,))*$F293))</f>
        <v>0</v>
      </c>
      <c r="V293" s="49"/>
      <c r="W293" s="49">
        <f t="shared" ref="W293:W310" si="183">IF((VLOOKUP($D293,$C$5:$AA$496,21,)=0),0,((VLOOKUP($D293,$C$5:$AA$496,21,)/VLOOKUP($D293,$C$5:$AA$496,4,))*$F293))</f>
        <v>0</v>
      </c>
      <c r="X293" s="49"/>
      <c r="Y293" s="49">
        <f t="shared" ref="Y293:Y310" si="184">IF((VLOOKUP($D293,$C$5:$AA$496,23,)=0),0,((VLOOKUP($D293,$C$5:$AA$496,23,)/VLOOKUP($D293,$C$5:$AA$496,4,))*$F293))</f>
        <v>0</v>
      </c>
      <c r="Z293" s="49"/>
      <c r="AA293" s="49">
        <f t="shared" ref="AA293:AA310" si="185">IF((VLOOKUP($D293,$C$5:$AA$496,25,)=0),0,((VLOOKUP($D293,$C$5:$AA$496,25,)/VLOOKUP($D293,$C$5:$AA$496,4,))*$F293))</f>
        <v>0</v>
      </c>
      <c r="AB293" s="49">
        <f>SUM(H293:AA293)</f>
        <v>0</v>
      </c>
      <c r="AC293" s="29" t="str">
        <f>IF(ABS(AB293-F293)&lt;1,"ok","err")</f>
        <v>ok</v>
      </c>
    </row>
    <row r="294" spans="1:29" x14ac:dyDescent="0.2">
      <c r="A294" s="14" t="s">
        <v>368</v>
      </c>
      <c r="C294" s="14" t="s">
        <v>414</v>
      </c>
      <c r="D294" s="14" t="s">
        <v>390</v>
      </c>
      <c r="F294" s="255">
        <v>0</v>
      </c>
      <c r="G294" s="191"/>
      <c r="H294" s="49">
        <f t="shared" si="174"/>
        <v>0</v>
      </c>
      <c r="I294" s="49">
        <f t="shared" si="175"/>
        <v>0</v>
      </c>
      <c r="J294" s="49"/>
      <c r="K294" s="49">
        <f t="shared" si="176"/>
        <v>0</v>
      </c>
      <c r="L294" s="49"/>
      <c r="M294" s="49">
        <f t="shared" si="177"/>
        <v>0</v>
      </c>
      <c r="N294" s="49"/>
      <c r="O294" s="49">
        <f t="shared" si="178"/>
        <v>0</v>
      </c>
      <c r="P294" s="49">
        <f t="shared" si="179"/>
        <v>0</v>
      </c>
      <c r="Q294" s="49"/>
      <c r="R294" s="49">
        <f t="shared" si="180"/>
        <v>0</v>
      </c>
      <c r="S294" s="49">
        <f t="shared" si="181"/>
        <v>0</v>
      </c>
      <c r="T294" s="49"/>
      <c r="U294" s="49">
        <f t="shared" si="182"/>
        <v>0</v>
      </c>
      <c r="V294" s="49"/>
      <c r="W294" s="49">
        <f t="shared" si="183"/>
        <v>0</v>
      </c>
      <c r="X294" s="49"/>
      <c r="Y294" s="49">
        <f t="shared" si="184"/>
        <v>0</v>
      </c>
      <c r="Z294" s="49"/>
      <c r="AA294" s="49">
        <f t="shared" si="185"/>
        <v>0</v>
      </c>
      <c r="AB294" s="49">
        <f>SUM(H294:AA294)</f>
        <v>0</v>
      </c>
      <c r="AC294" s="29" t="str">
        <f>IF(ABS(AB294-F294)&lt;1,"ok","err")</f>
        <v>ok</v>
      </c>
    </row>
    <row r="295" spans="1:29" x14ac:dyDescent="0.2">
      <c r="A295" s="14" t="s">
        <v>426</v>
      </c>
      <c r="C295" s="14" t="s">
        <v>458</v>
      </c>
      <c r="D295" s="14" t="s">
        <v>424</v>
      </c>
      <c r="F295" s="255">
        <v>0</v>
      </c>
      <c r="G295" s="191"/>
      <c r="H295" s="49">
        <f t="shared" si="174"/>
        <v>0</v>
      </c>
      <c r="I295" s="49">
        <f t="shared" si="175"/>
        <v>0</v>
      </c>
      <c r="J295" s="49"/>
      <c r="K295" s="49">
        <f t="shared" si="176"/>
        <v>0</v>
      </c>
      <c r="L295" s="49"/>
      <c r="M295" s="49">
        <f t="shared" si="177"/>
        <v>0</v>
      </c>
      <c r="N295" s="49"/>
      <c r="O295" s="49">
        <f t="shared" si="178"/>
        <v>0</v>
      </c>
      <c r="P295" s="49">
        <f t="shared" si="179"/>
        <v>0</v>
      </c>
      <c r="Q295" s="49"/>
      <c r="R295" s="49">
        <f t="shared" si="180"/>
        <v>0</v>
      </c>
      <c r="S295" s="49">
        <f t="shared" si="181"/>
        <v>0</v>
      </c>
      <c r="T295" s="49"/>
      <c r="U295" s="49">
        <f t="shared" si="182"/>
        <v>0</v>
      </c>
      <c r="V295" s="49"/>
      <c r="W295" s="49">
        <f t="shared" si="183"/>
        <v>0</v>
      </c>
      <c r="X295" s="49"/>
      <c r="Y295" s="49">
        <f t="shared" si="184"/>
        <v>0</v>
      </c>
      <c r="Z295" s="49"/>
      <c r="AA295" s="49">
        <f t="shared" si="185"/>
        <v>0</v>
      </c>
      <c r="AB295" s="49">
        <f t="shared" ref="AB295:AB306" si="186">SUM(H295:AA295)</f>
        <v>0</v>
      </c>
      <c r="AC295" s="29" t="str">
        <f t="shared" ref="AC295:AC306" si="187">IF(ABS(AB295-F295)&lt;1,"ok","err")</f>
        <v>ok</v>
      </c>
    </row>
    <row r="296" spans="1:29" x14ac:dyDescent="0.2">
      <c r="A296" s="14" t="s">
        <v>427</v>
      </c>
      <c r="C296" s="14" t="s">
        <v>459</v>
      </c>
      <c r="D296" s="14" t="s">
        <v>23</v>
      </c>
      <c r="F296" s="255">
        <v>0</v>
      </c>
      <c r="G296" s="191"/>
      <c r="H296" s="49">
        <f t="shared" si="174"/>
        <v>0</v>
      </c>
      <c r="I296" s="49">
        <f t="shared" si="175"/>
        <v>0</v>
      </c>
      <c r="J296" s="49"/>
      <c r="K296" s="49">
        <f t="shared" si="176"/>
        <v>0</v>
      </c>
      <c r="L296" s="49"/>
      <c r="M296" s="49">
        <f t="shared" si="177"/>
        <v>0</v>
      </c>
      <c r="N296" s="49"/>
      <c r="O296" s="49">
        <f t="shared" si="178"/>
        <v>0</v>
      </c>
      <c r="P296" s="49">
        <f t="shared" si="179"/>
        <v>0</v>
      </c>
      <c r="Q296" s="49"/>
      <c r="R296" s="49">
        <f t="shared" si="180"/>
        <v>0</v>
      </c>
      <c r="S296" s="49">
        <f t="shared" si="181"/>
        <v>0</v>
      </c>
      <c r="T296" s="49"/>
      <c r="U296" s="49">
        <f t="shared" si="182"/>
        <v>0</v>
      </c>
      <c r="V296" s="49"/>
      <c r="W296" s="49">
        <f t="shared" si="183"/>
        <v>0</v>
      </c>
      <c r="X296" s="49"/>
      <c r="Y296" s="49">
        <f t="shared" si="184"/>
        <v>0</v>
      </c>
      <c r="Z296" s="49"/>
      <c r="AA296" s="49">
        <f t="shared" si="185"/>
        <v>0</v>
      </c>
      <c r="AB296" s="49">
        <f t="shared" si="186"/>
        <v>0</v>
      </c>
      <c r="AC296" s="29" t="str">
        <f t="shared" si="187"/>
        <v>ok</v>
      </c>
    </row>
    <row r="297" spans="1:29" x14ac:dyDescent="0.2">
      <c r="A297" s="14" t="s">
        <v>428</v>
      </c>
      <c r="C297" s="14" t="s">
        <v>460</v>
      </c>
      <c r="D297" s="14" t="s">
        <v>26</v>
      </c>
      <c r="F297" s="255">
        <v>0</v>
      </c>
      <c r="G297" s="191"/>
      <c r="H297" s="49">
        <f t="shared" si="174"/>
        <v>0</v>
      </c>
      <c r="I297" s="49">
        <f t="shared" si="175"/>
        <v>0</v>
      </c>
      <c r="J297" s="49"/>
      <c r="K297" s="49">
        <f t="shared" si="176"/>
        <v>0</v>
      </c>
      <c r="L297" s="49"/>
      <c r="M297" s="49">
        <f t="shared" si="177"/>
        <v>0</v>
      </c>
      <c r="N297" s="49"/>
      <c r="O297" s="49">
        <f t="shared" si="178"/>
        <v>0</v>
      </c>
      <c r="P297" s="49">
        <f t="shared" si="179"/>
        <v>0</v>
      </c>
      <c r="Q297" s="49"/>
      <c r="R297" s="49">
        <f t="shared" si="180"/>
        <v>0</v>
      </c>
      <c r="S297" s="49">
        <f t="shared" si="181"/>
        <v>0</v>
      </c>
      <c r="T297" s="49"/>
      <c r="U297" s="49">
        <f t="shared" si="182"/>
        <v>0</v>
      </c>
      <c r="V297" s="49"/>
      <c r="W297" s="49">
        <f t="shared" si="183"/>
        <v>0</v>
      </c>
      <c r="X297" s="49"/>
      <c r="Y297" s="49">
        <f t="shared" si="184"/>
        <v>0</v>
      </c>
      <c r="Z297" s="49"/>
      <c r="AA297" s="49">
        <f t="shared" si="185"/>
        <v>0</v>
      </c>
      <c r="AB297" s="49">
        <f t="shared" si="186"/>
        <v>0</v>
      </c>
      <c r="AC297" s="29" t="str">
        <f t="shared" si="187"/>
        <v>ok</v>
      </c>
    </row>
    <row r="298" spans="1:29" x14ac:dyDescent="0.2">
      <c r="A298" s="14" t="s">
        <v>429</v>
      </c>
      <c r="C298" s="14" t="s">
        <v>461</v>
      </c>
      <c r="D298" s="14" t="s">
        <v>29</v>
      </c>
      <c r="F298" s="255">
        <v>0</v>
      </c>
      <c r="G298" s="191"/>
      <c r="H298" s="49">
        <f t="shared" si="174"/>
        <v>0</v>
      </c>
      <c r="I298" s="49">
        <f t="shared" si="175"/>
        <v>0</v>
      </c>
      <c r="J298" s="49"/>
      <c r="K298" s="49">
        <f t="shared" si="176"/>
        <v>0</v>
      </c>
      <c r="L298" s="49"/>
      <c r="M298" s="49">
        <f t="shared" si="177"/>
        <v>0</v>
      </c>
      <c r="N298" s="49"/>
      <c r="O298" s="49">
        <f t="shared" si="178"/>
        <v>0</v>
      </c>
      <c r="P298" s="49">
        <f t="shared" si="179"/>
        <v>0</v>
      </c>
      <c r="Q298" s="49"/>
      <c r="R298" s="49">
        <f t="shared" si="180"/>
        <v>0</v>
      </c>
      <c r="S298" s="49">
        <f t="shared" si="181"/>
        <v>0</v>
      </c>
      <c r="T298" s="49"/>
      <c r="U298" s="49">
        <f t="shared" si="182"/>
        <v>0</v>
      </c>
      <c r="V298" s="49"/>
      <c r="W298" s="49">
        <f t="shared" si="183"/>
        <v>0</v>
      </c>
      <c r="X298" s="49"/>
      <c r="Y298" s="49">
        <f t="shared" si="184"/>
        <v>0</v>
      </c>
      <c r="Z298" s="49"/>
      <c r="AA298" s="49">
        <f t="shared" si="185"/>
        <v>0</v>
      </c>
      <c r="AB298" s="49">
        <f t="shared" si="186"/>
        <v>0</v>
      </c>
      <c r="AC298" s="29" t="str">
        <f t="shared" si="187"/>
        <v>ok</v>
      </c>
    </row>
    <row r="299" spans="1:29" x14ac:dyDescent="0.2">
      <c r="A299" s="14" t="s">
        <v>447</v>
      </c>
      <c r="C299" s="14" t="s">
        <v>462</v>
      </c>
      <c r="D299" s="14" t="s">
        <v>32</v>
      </c>
      <c r="F299" s="255">
        <v>0</v>
      </c>
      <c r="G299" s="191"/>
      <c r="H299" s="49">
        <f t="shared" si="174"/>
        <v>0</v>
      </c>
      <c r="I299" s="49">
        <f t="shared" si="175"/>
        <v>0</v>
      </c>
      <c r="J299" s="49"/>
      <c r="K299" s="49">
        <f t="shared" si="176"/>
        <v>0</v>
      </c>
      <c r="L299" s="49"/>
      <c r="M299" s="49">
        <f t="shared" si="177"/>
        <v>0</v>
      </c>
      <c r="N299" s="49"/>
      <c r="O299" s="49">
        <f t="shared" si="178"/>
        <v>0</v>
      </c>
      <c r="P299" s="49">
        <f t="shared" si="179"/>
        <v>0</v>
      </c>
      <c r="Q299" s="49"/>
      <c r="R299" s="49">
        <f t="shared" si="180"/>
        <v>0</v>
      </c>
      <c r="S299" s="49">
        <f t="shared" si="181"/>
        <v>0</v>
      </c>
      <c r="T299" s="49"/>
      <c r="U299" s="49">
        <f t="shared" si="182"/>
        <v>0</v>
      </c>
      <c r="V299" s="49"/>
      <c r="W299" s="49">
        <f t="shared" si="183"/>
        <v>0</v>
      </c>
      <c r="X299" s="49"/>
      <c r="Y299" s="49">
        <f t="shared" si="184"/>
        <v>0</v>
      </c>
      <c r="Z299" s="49"/>
      <c r="AA299" s="49">
        <f t="shared" si="185"/>
        <v>0</v>
      </c>
      <c r="AB299" s="49">
        <f t="shared" si="186"/>
        <v>0</v>
      </c>
      <c r="AC299" s="29" t="str">
        <f t="shared" si="187"/>
        <v>ok</v>
      </c>
    </row>
    <row r="300" spans="1:29" x14ac:dyDescent="0.2">
      <c r="A300" s="14" t="s">
        <v>430</v>
      </c>
      <c r="C300" s="14" t="s">
        <v>463</v>
      </c>
      <c r="D300" s="14" t="s">
        <v>35</v>
      </c>
      <c r="F300" s="255">
        <v>0</v>
      </c>
      <c r="G300" s="191"/>
      <c r="H300" s="49">
        <f t="shared" si="174"/>
        <v>0</v>
      </c>
      <c r="I300" s="49">
        <f t="shared" si="175"/>
        <v>0</v>
      </c>
      <c r="J300" s="49"/>
      <c r="K300" s="49">
        <f t="shared" si="176"/>
        <v>0</v>
      </c>
      <c r="L300" s="49"/>
      <c r="M300" s="49">
        <f t="shared" si="177"/>
        <v>0</v>
      </c>
      <c r="N300" s="49"/>
      <c r="O300" s="49">
        <f t="shared" si="178"/>
        <v>0</v>
      </c>
      <c r="P300" s="49">
        <f t="shared" si="179"/>
        <v>0</v>
      </c>
      <c r="Q300" s="49"/>
      <c r="R300" s="49">
        <f t="shared" si="180"/>
        <v>0</v>
      </c>
      <c r="S300" s="49">
        <f t="shared" si="181"/>
        <v>0</v>
      </c>
      <c r="T300" s="49"/>
      <c r="U300" s="49">
        <f t="shared" si="182"/>
        <v>0</v>
      </c>
      <c r="V300" s="49"/>
      <c r="W300" s="49">
        <f t="shared" si="183"/>
        <v>0</v>
      </c>
      <c r="X300" s="49"/>
      <c r="Y300" s="49">
        <f t="shared" si="184"/>
        <v>0</v>
      </c>
      <c r="Z300" s="49"/>
      <c r="AA300" s="49">
        <f t="shared" si="185"/>
        <v>0</v>
      </c>
      <c r="AB300" s="49">
        <f t="shared" si="186"/>
        <v>0</v>
      </c>
      <c r="AC300" s="29" t="str">
        <f t="shared" si="187"/>
        <v>ok</v>
      </c>
    </row>
    <row r="301" spans="1:29" x14ac:dyDescent="0.2">
      <c r="A301" s="14" t="s">
        <v>431</v>
      </c>
      <c r="C301" s="14" t="s">
        <v>464</v>
      </c>
      <c r="D301" s="14" t="s">
        <v>37</v>
      </c>
      <c r="F301" s="255">
        <v>0</v>
      </c>
      <c r="G301" s="191"/>
      <c r="H301" s="49">
        <f t="shared" si="174"/>
        <v>0</v>
      </c>
      <c r="I301" s="49">
        <f t="shared" si="175"/>
        <v>0</v>
      </c>
      <c r="J301" s="49"/>
      <c r="K301" s="49">
        <f t="shared" si="176"/>
        <v>0</v>
      </c>
      <c r="L301" s="49"/>
      <c r="M301" s="49">
        <f t="shared" si="177"/>
        <v>0</v>
      </c>
      <c r="N301" s="49"/>
      <c r="O301" s="49">
        <f t="shared" si="178"/>
        <v>0</v>
      </c>
      <c r="P301" s="49">
        <f t="shared" si="179"/>
        <v>0</v>
      </c>
      <c r="Q301" s="49"/>
      <c r="R301" s="49">
        <f t="shared" si="180"/>
        <v>0</v>
      </c>
      <c r="S301" s="49">
        <f t="shared" si="181"/>
        <v>0</v>
      </c>
      <c r="T301" s="49"/>
      <c r="U301" s="49">
        <f t="shared" si="182"/>
        <v>0</v>
      </c>
      <c r="V301" s="49"/>
      <c r="W301" s="49">
        <f t="shared" si="183"/>
        <v>0</v>
      </c>
      <c r="X301" s="49"/>
      <c r="Y301" s="49">
        <f t="shared" si="184"/>
        <v>0</v>
      </c>
      <c r="Z301" s="49"/>
      <c r="AA301" s="49">
        <f t="shared" si="185"/>
        <v>0</v>
      </c>
      <c r="AB301" s="49">
        <f t="shared" si="186"/>
        <v>0</v>
      </c>
      <c r="AC301" s="29" t="str">
        <f t="shared" si="187"/>
        <v>ok</v>
      </c>
    </row>
    <row r="302" spans="1:29" x14ac:dyDescent="0.2">
      <c r="A302" s="14" t="s">
        <v>432</v>
      </c>
      <c r="C302" s="14" t="s">
        <v>465</v>
      </c>
      <c r="D302" s="14" t="s">
        <v>40</v>
      </c>
      <c r="F302" s="255">
        <v>0</v>
      </c>
      <c r="G302" s="191"/>
      <c r="H302" s="49">
        <f t="shared" si="174"/>
        <v>0</v>
      </c>
      <c r="I302" s="49">
        <f t="shared" si="175"/>
        <v>0</v>
      </c>
      <c r="J302" s="49"/>
      <c r="K302" s="49">
        <f t="shared" si="176"/>
        <v>0</v>
      </c>
      <c r="L302" s="49"/>
      <c r="M302" s="49">
        <f t="shared" si="177"/>
        <v>0</v>
      </c>
      <c r="N302" s="49"/>
      <c r="O302" s="49">
        <f t="shared" si="178"/>
        <v>0</v>
      </c>
      <c r="P302" s="49">
        <f t="shared" si="179"/>
        <v>0</v>
      </c>
      <c r="Q302" s="49"/>
      <c r="R302" s="49">
        <f t="shared" si="180"/>
        <v>0</v>
      </c>
      <c r="S302" s="49">
        <f t="shared" si="181"/>
        <v>0</v>
      </c>
      <c r="T302" s="49"/>
      <c r="U302" s="49">
        <f t="shared" si="182"/>
        <v>0</v>
      </c>
      <c r="V302" s="49"/>
      <c r="W302" s="49">
        <f t="shared" si="183"/>
        <v>0</v>
      </c>
      <c r="X302" s="49"/>
      <c r="Y302" s="49">
        <f t="shared" si="184"/>
        <v>0</v>
      </c>
      <c r="Z302" s="49"/>
      <c r="AA302" s="49">
        <f t="shared" si="185"/>
        <v>0</v>
      </c>
      <c r="AB302" s="49">
        <f t="shared" si="186"/>
        <v>0</v>
      </c>
      <c r="AC302" s="29" t="str">
        <f t="shared" si="187"/>
        <v>ok</v>
      </c>
    </row>
    <row r="303" spans="1:29" x14ac:dyDescent="0.2">
      <c r="A303" s="14" t="s">
        <v>433</v>
      </c>
      <c r="C303" s="14" t="s">
        <v>466</v>
      </c>
      <c r="D303" s="14" t="s">
        <v>43</v>
      </c>
      <c r="F303" s="255">
        <v>0</v>
      </c>
      <c r="G303" s="191"/>
      <c r="H303" s="49">
        <f t="shared" si="174"/>
        <v>0</v>
      </c>
      <c r="I303" s="49">
        <f t="shared" si="175"/>
        <v>0</v>
      </c>
      <c r="J303" s="49"/>
      <c r="K303" s="49">
        <f t="shared" si="176"/>
        <v>0</v>
      </c>
      <c r="L303" s="49"/>
      <c r="M303" s="49">
        <f t="shared" si="177"/>
        <v>0</v>
      </c>
      <c r="N303" s="49"/>
      <c r="O303" s="49">
        <f t="shared" si="178"/>
        <v>0</v>
      </c>
      <c r="P303" s="49">
        <f t="shared" si="179"/>
        <v>0</v>
      </c>
      <c r="Q303" s="49"/>
      <c r="R303" s="49">
        <f t="shared" si="180"/>
        <v>0</v>
      </c>
      <c r="S303" s="49">
        <f t="shared" si="181"/>
        <v>0</v>
      </c>
      <c r="T303" s="49"/>
      <c r="U303" s="49">
        <f t="shared" si="182"/>
        <v>0</v>
      </c>
      <c r="V303" s="49"/>
      <c r="W303" s="49">
        <f t="shared" si="183"/>
        <v>0</v>
      </c>
      <c r="X303" s="49"/>
      <c r="Y303" s="49">
        <f t="shared" si="184"/>
        <v>0</v>
      </c>
      <c r="Z303" s="49"/>
      <c r="AA303" s="49">
        <f t="shared" si="185"/>
        <v>0</v>
      </c>
      <c r="AB303" s="49">
        <f t="shared" si="186"/>
        <v>0</v>
      </c>
      <c r="AC303" s="29" t="str">
        <f t="shared" si="187"/>
        <v>ok</v>
      </c>
    </row>
    <row r="304" spans="1:29" x14ac:dyDescent="0.2">
      <c r="A304" s="14" t="s">
        <v>434</v>
      </c>
      <c r="C304" s="14" t="s">
        <v>467</v>
      </c>
      <c r="D304" s="14" t="s">
        <v>46</v>
      </c>
      <c r="F304" s="255">
        <v>0</v>
      </c>
      <c r="G304" s="191"/>
      <c r="H304" s="49">
        <f t="shared" si="174"/>
        <v>0</v>
      </c>
      <c r="I304" s="49">
        <f t="shared" si="175"/>
        <v>0</v>
      </c>
      <c r="J304" s="49"/>
      <c r="K304" s="49">
        <f t="shared" si="176"/>
        <v>0</v>
      </c>
      <c r="L304" s="49"/>
      <c r="M304" s="49">
        <f t="shared" si="177"/>
        <v>0</v>
      </c>
      <c r="N304" s="49"/>
      <c r="O304" s="49">
        <f t="shared" si="178"/>
        <v>0</v>
      </c>
      <c r="P304" s="49">
        <f t="shared" si="179"/>
        <v>0</v>
      </c>
      <c r="Q304" s="49"/>
      <c r="R304" s="49">
        <f t="shared" si="180"/>
        <v>0</v>
      </c>
      <c r="S304" s="49">
        <f t="shared" si="181"/>
        <v>0</v>
      </c>
      <c r="T304" s="49"/>
      <c r="U304" s="49">
        <f t="shared" si="182"/>
        <v>0</v>
      </c>
      <c r="V304" s="49"/>
      <c r="W304" s="49">
        <f t="shared" si="183"/>
        <v>0</v>
      </c>
      <c r="X304" s="49"/>
      <c r="Y304" s="49">
        <f t="shared" si="184"/>
        <v>0</v>
      </c>
      <c r="Z304" s="49"/>
      <c r="AA304" s="49">
        <f t="shared" si="185"/>
        <v>0</v>
      </c>
      <c r="AB304" s="49">
        <f t="shared" si="186"/>
        <v>0</v>
      </c>
      <c r="AC304" s="29" t="str">
        <f t="shared" si="187"/>
        <v>ok</v>
      </c>
    </row>
    <row r="305" spans="1:29" x14ac:dyDescent="0.2">
      <c r="A305" s="14" t="s">
        <v>435</v>
      </c>
      <c r="C305" s="14" t="s">
        <v>468</v>
      </c>
      <c r="D305" s="14" t="s">
        <v>48</v>
      </c>
      <c r="F305" s="255">
        <v>0</v>
      </c>
      <c r="G305" s="191"/>
      <c r="H305" s="49">
        <f t="shared" si="174"/>
        <v>0</v>
      </c>
      <c r="I305" s="49">
        <f t="shared" si="175"/>
        <v>0</v>
      </c>
      <c r="J305" s="49"/>
      <c r="K305" s="49">
        <f t="shared" si="176"/>
        <v>0</v>
      </c>
      <c r="L305" s="49"/>
      <c r="M305" s="49">
        <f t="shared" si="177"/>
        <v>0</v>
      </c>
      <c r="N305" s="49"/>
      <c r="O305" s="49">
        <f t="shared" si="178"/>
        <v>0</v>
      </c>
      <c r="P305" s="49">
        <f t="shared" si="179"/>
        <v>0</v>
      </c>
      <c r="Q305" s="49"/>
      <c r="R305" s="49">
        <f t="shared" si="180"/>
        <v>0</v>
      </c>
      <c r="S305" s="49">
        <f t="shared" si="181"/>
        <v>0</v>
      </c>
      <c r="T305" s="49"/>
      <c r="U305" s="49">
        <f t="shared" si="182"/>
        <v>0</v>
      </c>
      <c r="V305" s="49"/>
      <c r="W305" s="49">
        <f t="shared" si="183"/>
        <v>0</v>
      </c>
      <c r="X305" s="49"/>
      <c r="Y305" s="49">
        <f t="shared" si="184"/>
        <v>0</v>
      </c>
      <c r="Z305" s="49"/>
      <c r="AA305" s="49">
        <f t="shared" si="185"/>
        <v>0</v>
      </c>
      <c r="AB305" s="49">
        <f t="shared" si="186"/>
        <v>0</v>
      </c>
      <c r="AC305" s="29" t="str">
        <f t="shared" si="187"/>
        <v>ok</v>
      </c>
    </row>
    <row r="306" spans="1:29" x14ac:dyDescent="0.2">
      <c r="A306" s="14" t="s">
        <v>579</v>
      </c>
      <c r="C306" s="14" t="s">
        <v>469</v>
      </c>
      <c r="D306" s="14" t="s">
        <v>16</v>
      </c>
      <c r="F306" s="255">
        <v>4928189.7300000004</v>
      </c>
      <c r="G306" s="191"/>
      <c r="H306" s="49">
        <f t="shared" si="174"/>
        <v>0</v>
      </c>
      <c r="I306" s="49">
        <f t="shared" si="175"/>
        <v>0</v>
      </c>
      <c r="J306" s="49"/>
      <c r="K306" s="49">
        <f t="shared" si="176"/>
        <v>0</v>
      </c>
      <c r="L306" s="49"/>
      <c r="M306" s="49">
        <f t="shared" si="177"/>
        <v>634662.93450406729</v>
      </c>
      <c r="N306" s="49"/>
      <c r="O306" s="49">
        <f t="shared" si="178"/>
        <v>1379971.4234543962</v>
      </c>
      <c r="P306" s="49">
        <f t="shared" si="179"/>
        <v>2351753.2982896771</v>
      </c>
      <c r="Q306" s="49"/>
      <c r="R306" s="49">
        <f t="shared" si="180"/>
        <v>0</v>
      </c>
      <c r="S306" s="49">
        <f t="shared" si="181"/>
        <v>189861.0449696063</v>
      </c>
      <c r="T306" s="49"/>
      <c r="U306" s="49">
        <f t="shared" si="182"/>
        <v>187557.39950650124</v>
      </c>
      <c r="V306" s="49"/>
      <c r="W306" s="49">
        <f t="shared" si="183"/>
        <v>184383.62927575296</v>
      </c>
      <c r="X306" s="49"/>
      <c r="Y306" s="49">
        <f t="shared" si="184"/>
        <v>0</v>
      </c>
      <c r="Z306" s="49"/>
      <c r="AA306" s="49">
        <f t="shared" si="185"/>
        <v>0</v>
      </c>
      <c r="AB306" s="49">
        <f t="shared" si="186"/>
        <v>4928189.7300000014</v>
      </c>
      <c r="AC306" s="29" t="str">
        <f t="shared" si="187"/>
        <v>ok</v>
      </c>
    </row>
    <row r="307" spans="1:29" x14ac:dyDescent="0.2">
      <c r="A307" s="14" t="s">
        <v>81</v>
      </c>
      <c r="C307" s="14" t="s">
        <v>415</v>
      </c>
      <c r="D307" s="14" t="s">
        <v>70</v>
      </c>
      <c r="F307" s="255">
        <v>276597.08</v>
      </c>
      <c r="G307" s="191"/>
      <c r="H307" s="49">
        <f t="shared" si="174"/>
        <v>0</v>
      </c>
      <c r="I307" s="49">
        <f t="shared" si="175"/>
        <v>0</v>
      </c>
      <c r="J307" s="49"/>
      <c r="K307" s="49">
        <f t="shared" si="176"/>
        <v>0</v>
      </c>
      <c r="L307" s="49"/>
      <c r="M307" s="49">
        <f t="shared" si="177"/>
        <v>35620.770320475523</v>
      </c>
      <c r="N307" s="49"/>
      <c r="O307" s="49">
        <f t="shared" si="178"/>
        <v>77451.576973058109</v>
      </c>
      <c r="P307" s="49">
        <f t="shared" si="179"/>
        <v>131993.31414281685</v>
      </c>
      <c r="Q307" s="49"/>
      <c r="R307" s="49">
        <f t="shared" si="180"/>
        <v>0</v>
      </c>
      <c r="S307" s="49">
        <f t="shared" si="181"/>
        <v>10656.044819999615</v>
      </c>
      <c r="T307" s="49"/>
      <c r="U307" s="49">
        <f t="shared" si="182"/>
        <v>10526.751581841329</v>
      </c>
      <c r="V307" s="49"/>
      <c r="W307" s="49">
        <f t="shared" si="183"/>
        <v>10348.622161808651</v>
      </c>
      <c r="X307" s="49"/>
      <c r="Y307" s="49">
        <f t="shared" si="184"/>
        <v>0</v>
      </c>
      <c r="Z307" s="49"/>
      <c r="AA307" s="49">
        <f t="shared" si="185"/>
        <v>0</v>
      </c>
      <c r="AB307" s="49">
        <f>SUM(H307:AA307)</f>
        <v>276597.08000000007</v>
      </c>
      <c r="AC307" s="29" t="str">
        <f>IF(ABS(AB307-F307)&lt;1,"ok","err")</f>
        <v>ok</v>
      </c>
    </row>
    <row r="308" spans="1:29" x14ac:dyDescent="0.2">
      <c r="A308" s="14" t="s">
        <v>766</v>
      </c>
      <c r="C308" s="14" t="s">
        <v>415</v>
      </c>
      <c r="D308" s="14" t="s">
        <v>70</v>
      </c>
      <c r="F308" s="255">
        <v>0</v>
      </c>
      <c r="G308" s="191"/>
      <c r="H308" s="49">
        <f t="shared" si="174"/>
        <v>0</v>
      </c>
      <c r="I308" s="49">
        <f t="shared" si="175"/>
        <v>0</v>
      </c>
      <c r="J308" s="49"/>
      <c r="K308" s="49">
        <f t="shared" si="176"/>
        <v>0</v>
      </c>
      <c r="L308" s="49"/>
      <c r="M308" s="49">
        <f t="shared" si="177"/>
        <v>0</v>
      </c>
      <c r="N308" s="49"/>
      <c r="O308" s="49">
        <f t="shared" si="178"/>
        <v>0</v>
      </c>
      <c r="P308" s="49">
        <f t="shared" si="179"/>
        <v>0</v>
      </c>
      <c r="Q308" s="49"/>
      <c r="R308" s="49">
        <f t="shared" si="180"/>
        <v>0</v>
      </c>
      <c r="S308" s="49">
        <f t="shared" si="181"/>
        <v>0</v>
      </c>
      <c r="T308" s="49"/>
      <c r="U308" s="49">
        <f t="shared" si="182"/>
        <v>0</v>
      </c>
      <c r="V308" s="49"/>
      <c r="W308" s="49">
        <f t="shared" si="183"/>
        <v>0</v>
      </c>
      <c r="X308" s="49"/>
      <c r="Y308" s="49">
        <f t="shared" si="184"/>
        <v>0</v>
      </c>
      <c r="Z308" s="49"/>
      <c r="AA308" s="49">
        <f t="shared" si="185"/>
        <v>0</v>
      </c>
      <c r="AB308" s="49">
        <f>SUM(H308:AA308)</f>
        <v>0</v>
      </c>
      <c r="AC308" s="29" t="str">
        <f>IF(ABS(AB308-F308)&lt;1,"ok","err")</f>
        <v>ok</v>
      </c>
    </row>
    <row r="309" spans="1:29" x14ac:dyDescent="0.2">
      <c r="A309" s="14" t="s">
        <v>1011</v>
      </c>
      <c r="C309" s="14" t="s">
        <v>416</v>
      </c>
      <c r="D309" s="14" t="s">
        <v>392</v>
      </c>
      <c r="F309" s="255">
        <v>0</v>
      </c>
      <c r="G309" s="191"/>
      <c r="H309" s="49">
        <f t="shared" si="174"/>
        <v>0</v>
      </c>
      <c r="I309" s="49">
        <f t="shared" si="175"/>
        <v>0</v>
      </c>
      <c r="J309" s="49"/>
      <c r="K309" s="49">
        <f t="shared" si="176"/>
        <v>0</v>
      </c>
      <c r="L309" s="49"/>
      <c r="M309" s="49">
        <f t="shared" si="177"/>
        <v>0</v>
      </c>
      <c r="N309" s="49"/>
      <c r="O309" s="49">
        <f t="shared" si="178"/>
        <v>0</v>
      </c>
      <c r="P309" s="49">
        <f t="shared" si="179"/>
        <v>0</v>
      </c>
      <c r="Q309" s="49"/>
      <c r="R309" s="49">
        <f t="shared" si="180"/>
        <v>0</v>
      </c>
      <c r="S309" s="49">
        <f t="shared" si="181"/>
        <v>0</v>
      </c>
      <c r="T309" s="49"/>
      <c r="U309" s="49">
        <f t="shared" si="182"/>
        <v>0</v>
      </c>
      <c r="V309" s="49"/>
      <c r="W309" s="49">
        <f t="shared" si="183"/>
        <v>0</v>
      </c>
      <c r="X309" s="49"/>
      <c r="Y309" s="49">
        <f t="shared" si="184"/>
        <v>0</v>
      </c>
      <c r="Z309" s="49"/>
      <c r="AA309" s="49">
        <f t="shared" si="185"/>
        <v>0</v>
      </c>
      <c r="AB309" s="49">
        <f>SUM(H309:AA309)</f>
        <v>0</v>
      </c>
      <c r="AC309" s="29" t="str">
        <f>IF(ABS(AB309-F309)&lt;1,"ok","err")</f>
        <v>ok</v>
      </c>
    </row>
    <row r="310" spans="1:29" x14ac:dyDescent="0.2">
      <c r="A310" s="14" t="s">
        <v>388</v>
      </c>
      <c r="C310" s="14" t="s">
        <v>417</v>
      </c>
      <c r="D310" s="14" t="s">
        <v>16</v>
      </c>
      <c r="F310" s="255">
        <v>0</v>
      </c>
      <c r="G310" s="191"/>
      <c r="H310" s="49">
        <f t="shared" si="174"/>
        <v>0</v>
      </c>
      <c r="I310" s="49">
        <f t="shared" si="175"/>
        <v>0</v>
      </c>
      <c r="J310" s="49"/>
      <c r="K310" s="49">
        <f t="shared" si="176"/>
        <v>0</v>
      </c>
      <c r="L310" s="49"/>
      <c r="M310" s="49">
        <f t="shared" si="177"/>
        <v>0</v>
      </c>
      <c r="N310" s="49"/>
      <c r="O310" s="49">
        <f t="shared" si="178"/>
        <v>0</v>
      </c>
      <c r="P310" s="49">
        <f t="shared" si="179"/>
        <v>0</v>
      </c>
      <c r="Q310" s="49"/>
      <c r="R310" s="49">
        <f t="shared" si="180"/>
        <v>0</v>
      </c>
      <c r="S310" s="49">
        <f t="shared" si="181"/>
        <v>0</v>
      </c>
      <c r="T310" s="49"/>
      <c r="U310" s="49">
        <f t="shared" si="182"/>
        <v>0</v>
      </c>
      <c r="V310" s="49"/>
      <c r="W310" s="49">
        <f t="shared" si="183"/>
        <v>0</v>
      </c>
      <c r="X310" s="49"/>
      <c r="Y310" s="49">
        <f t="shared" si="184"/>
        <v>0</v>
      </c>
      <c r="Z310" s="49"/>
      <c r="AA310" s="49">
        <f t="shared" si="185"/>
        <v>0</v>
      </c>
      <c r="AB310" s="49">
        <f>SUM(H310:AA310)</f>
        <v>0</v>
      </c>
      <c r="AC310" s="29" t="str">
        <f>IF(ABS(AB310-F310)&lt;1,"ok","err")</f>
        <v>ok</v>
      </c>
    </row>
    <row r="311" spans="1:29" x14ac:dyDescent="0.2">
      <c r="F311" s="255"/>
      <c r="G311" s="49"/>
      <c r="AC311" s="29"/>
    </row>
    <row r="312" spans="1:29" x14ac:dyDescent="0.2">
      <c r="A312" s="14" t="s">
        <v>186</v>
      </c>
      <c r="C312" s="14" t="s">
        <v>187</v>
      </c>
      <c r="F312" s="254">
        <f>SUM(F293:F311)</f>
        <v>5204786.8100000005</v>
      </c>
      <c r="G312" s="65"/>
      <c r="H312" s="49">
        <f>SUM(H293:H311)</f>
        <v>0</v>
      </c>
      <c r="I312" s="49">
        <f>SUM(I293:I311)</f>
        <v>0</v>
      </c>
      <c r="J312" s="49"/>
      <c r="K312" s="49">
        <f>SUM(K293:K311)</f>
        <v>0</v>
      </c>
      <c r="M312" s="49">
        <f>SUM(M293:M311)</f>
        <v>670283.70482454286</v>
      </c>
      <c r="O312" s="49">
        <f>SUM(O293:O311)</f>
        <v>1457423.0004274542</v>
      </c>
      <c r="P312" s="49">
        <f>SUM(P293:P311)</f>
        <v>2483746.6124324938</v>
      </c>
      <c r="R312" s="49">
        <f>SUM(R293:R311)</f>
        <v>0</v>
      </c>
      <c r="S312" s="49">
        <f>SUM(S293:S311)</f>
        <v>200517.0897896059</v>
      </c>
      <c r="U312" s="49">
        <f>SUM(U293:U311)</f>
        <v>198084.15108834257</v>
      </c>
      <c r="W312" s="49">
        <f>SUM(W293:W311)</f>
        <v>194732.25143756162</v>
      </c>
      <c r="Y312" s="49">
        <f>SUM(Y293:Y311)</f>
        <v>0</v>
      </c>
      <c r="AA312" s="49">
        <f>SUM(AA293:AA311)</f>
        <v>0</v>
      </c>
      <c r="AB312" s="49">
        <f>SUM(H312:AA312)</f>
        <v>5204786.8100000015</v>
      </c>
      <c r="AC312" s="29" t="str">
        <f>IF(ABS(AB312-F312)&lt;1,"ok","err")</f>
        <v>ok</v>
      </c>
    </row>
    <row r="313" spans="1:29" x14ac:dyDescent="0.2">
      <c r="B313" s="90"/>
      <c r="F313" s="255"/>
      <c r="G313" s="49"/>
      <c r="AC313" s="29"/>
    </row>
    <row r="314" spans="1:29" x14ac:dyDescent="0.2">
      <c r="A314" s="14" t="s">
        <v>188</v>
      </c>
      <c r="C314" s="14" t="s">
        <v>189</v>
      </c>
      <c r="D314" s="14" t="s">
        <v>84</v>
      </c>
      <c r="F314" s="254">
        <v>0</v>
      </c>
      <c r="G314" s="190"/>
      <c r="H314" s="49">
        <f>IF(VLOOKUP($D314,$C$5:$AA$496,6,)=0,0,((VLOOKUP($D314,$C$5:$AA$496,6,)/VLOOKUP($D314,$C$5:$AA$496,4,))*$F314))</f>
        <v>0</v>
      </c>
      <c r="I314" s="49">
        <f>IF(VLOOKUP($D314,$C$5:$AA$496,7,)=0,0,((VLOOKUP($D314,$C$5:$AA$496,7,)/VLOOKUP($D314,$C$5:$AA$496,4,))*$F314))</f>
        <v>0</v>
      </c>
      <c r="J314" s="49"/>
      <c r="K314" s="49">
        <f>IF(VLOOKUP($D314,$C$5:$AA$496,9,)=0,0,((VLOOKUP($D314,$C$5:$AA$496,9,)/VLOOKUP($D314,$C$5:$AA$496,4,))*$F314))</f>
        <v>0</v>
      </c>
      <c r="L314" s="49"/>
      <c r="M314" s="49">
        <f>IF(VLOOKUP($D314,$C$5:$AA$496,11,)=0,0,((VLOOKUP($D314,$C$5:$AA$496,11,)/VLOOKUP($D314,$C$5:$AA$496,4,))*$F314))</f>
        <v>0</v>
      </c>
      <c r="N314" s="49"/>
      <c r="O314" s="49">
        <f>IF(VLOOKUP($D314,$C$5:$AA$496,13,)=0,0,((VLOOKUP($D314,$C$5:$AA$496,13,)/VLOOKUP($D314,$C$5:$AA$496,4,))*$F314))</f>
        <v>0</v>
      </c>
      <c r="P314" s="49">
        <f>IF(VLOOKUP($D314,$C$5:$AA$496,14,)=0,0,((VLOOKUP($D314,$C$5:$AA$496,14,)/VLOOKUP($D314,$C$5:$AA$496,4,))*$F314))</f>
        <v>0</v>
      </c>
      <c r="Q314" s="49"/>
      <c r="R314" s="49">
        <f>IF(VLOOKUP($D314,$C$5:$AA$496,16,)=0,0,((VLOOKUP($D314,$C$5:$AA$496,16,)/VLOOKUP($D314,$C$5:$AA$496,4,))*$F314))</f>
        <v>0</v>
      </c>
      <c r="S314" s="49">
        <f>IF(VLOOKUP($D314,$C$5:$AA$496,17,)=0,0,((VLOOKUP($D314,$C$5:$AA$496,17,)/VLOOKUP($D314,$C$5:$AA$496,4,))*$F314))</f>
        <v>0</v>
      </c>
      <c r="T314" s="49"/>
      <c r="U314" s="49">
        <f>IF(VLOOKUP($D314,$C$5:$AA$496,19,)=0,0,((VLOOKUP($D314,$C$5:$AA$496,19,)/VLOOKUP($D314,$C$5:$AA$496,4,))*$F314))</f>
        <v>0</v>
      </c>
      <c r="V314" s="49"/>
      <c r="W314" s="49">
        <f>IF(VLOOKUP($D314,$C$5:$AA$496,21,)=0,0,((VLOOKUP($D314,$C$5:$AA$496,21,)/VLOOKUP($D314,$C$5:$AA$496,4,))*$F314))</f>
        <v>0</v>
      </c>
      <c r="X314" s="49"/>
      <c r="Y314" s="49">
        <f>IF(VLOOKUP($D314,$C$5:$AA$496,23,)=0,0,((VLOOKUP($D314,$C$5:$AA$496,23,)/VLOOKUP($D314,$C$5:$AA$496,4,))*$F314))</f>
        <v>0</v>
      </c>
      <c r="Z314" s="49"/>
      <c r="AA314" s="49">
        <f>IF(VLOOKUP($D314,$C$5:$AA$496,25,)=0,0,((VLOOKUP($D314,$C$5:$AA$496,25,)/VLOOKUP($D314,$C$5:$AA$496,4,))*$F314))</f>
        <v>0</v>
      </c>
      <c r="AB314" s="49">
        <f>SUM(H314:AA314)</f>
        <v>0</v>
      </c>
      <c r="AC314" s="29" t="str">
        <f>IF(ABS(AB314-F314)&lt;1,"ok","err")</f>
        <v>ok</v>
      </c>
    </row>
    <row r="315" spans="1:29" x14ac:dyDescent="0.2">
      <c r="AC315" s="29"/>
    </row>
    <row r="316" spans="1:29" x14ac:dyDescent="0.2">
      <c r="A316" s="14" t="s">
        <v>310</v>
      </c>
      <c r="C316" s="14" t="s">
        <v>190</v>
      </c>
      <c r="D316" s="14" t="s">
        <v>84</v>
      </c>
      <c r="F316" s="254">
        <v>63682.68</v>
      </c>
      <c r="G316" s="190"/>
      <c r="H316" s="49">
        <f>IF(VLOOKUP($D316,$C$5:$AA$496,6,)=0,0,((VLOOKUP($D316,$C$5:$AA$496,6,)/VLOOKUP($D316,$C$5:$AA$496,4,))*$F316))</f>
        <v>0</v>
      </c>
      <c r="I316" s="49">
        <f>IF(VLOOKUP($D316,$C$5:$AA$496,7,)=0,0,((VLOOKUP($D316,$C$5:$AA$496,7,)/VLOOKUP($D316,$C$5:$AA$496,4,))*$F316))</f>
        <v>0</v>
      </c>
      <c r="J316" s="49"/>
      <c r="K316" s="49">
        <f>IF(VLOOKUP($D316,$C$5:$AA$496,9,)=0,0,((VLOOKUP($D316,$C$5:$AA$496,9,)/VLOOKUP($D316,$C$5:$AA$496,4,))*$F316))</f>
        <v>0</v>
      </c>
      <c r="L316" s="49"/>
      <c r="M316" s="49">
        <f>IF(VLOOKUP($D316,$C$5:$AA$496,11,)=0,0,((VLOOKUP($D316,$C$5:$AA$496,11,)/VLOOKUP($D316,$C$5:$AA$496,4,))*$F316))</f>
        <v>8201.1932941314499</v>
      </c>
      <c r="N316" s="49"/>
      <c r="O316" s="49">
        <f>IF(VLOOKUP($D316,$C$5:$AA$496,13,)=0,0,((VLOOKUP($D316,$C$5:$AA$496,13,)/VLOOKUP($D316,$C$5:$AA$496,4,))*$F316))</f>
        <v>17832.162190109269</v>
      </c>
      <c r="P316" s="49">
        <f>IF(VLOOKUP($D316,$C$5:$AA$496,14,)=0,0,((VLOOKUP($D316,$C$5:$AA$496,14,)/VLOOKUP($D316,$C$5:$AA$496,4,))*$F316))</f>
        <v>30389.648316954313</v>
      </c>
      <c r="Q316" s="49"/>
      <c r="R316" s="49">
        <f>IF(VLOOKUP($D316,$C$5:$AA$496,16,)=0,0,((VLOOKUP($D316,$C$5:$AA$496,16,)/VLOOKUP($D316,$C$5:$AA$496,4,))*$F316))</f>
        <v>0</v>
      </c>
      <c r="S316" s="49">
        <f>IF(VLOOKUP($D316,$C$5:$AA$496,17,)=0,0,((VLOOKUP($D316,$C$5:$AA$496,17,)/VLOOKUP($D316,$C$5:$AA$496,4,))*$F316))</f>
        <v>2453.4080126142071</v>
      </c>
      <c r="T316" s="49"/>
      <c r="U316" s="49">
        <f>IF(VLOOKUP($D316,$C$5:$AA$496,19,)=0,0,((VLOOKUP($D316,$C$5:$AA$496,19,)/VLOOKUP($D316,$C$5:$AA$496,4,))*$F316))</f>
        <v>2423.6400197207249</v>
      </c>
      <c r="V316" s="49"/>
      <c r="W316" s="49">
        <f>IF(VLOOKUP($D316,$C$5:$AA$496,21,)=0,0,((VLOOKUP($D316,$C$5:$AA$496,21,)/VLOOKUP($D316,$C$5:$AA$496,4,))*$F316))</f>
        <v>2382.628166470045</v>
      </c>
      <c r="X316" s="49"/>
      <c r="Y316" s="49">
        <f>IF(VLOOKUP($D316,$C$5:$AA$496,23,)=0,0,((VLOOKUP($D316,$C$5:$AA$496,23,)/VLOOKUP($D316,$C$5:$AA$496,4,))*$F316))</f>
        <v>0</v>
      </c>
      <c r="Z316" s="49"/>
      <c r="AA316" s="49">
        <f>IF(VLOOKUP($D316,$C$5:$AA$496,25,)=0,0,((VLOOKUP($D316,$C$5:$AA$496,25,)/VLOOKUP($D316,$C$5:$AA$496,4,))*$F316))</f>
        <v>0</v>
      </c>
      <c r="AB316" s="49">
        <f>SUM(H316:AA316)</f>
        <v>63682.680000000008</v>
      </c>
      <c r="AC316" s="29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191</v>
      </c>
      <c r="C318" s="14" t="s">
        <v>192</v>
      </c>
      <c r="D318" s="14" t="s">
        <v>84</v>
      </c>
      <c r="F318" s="254">
        <v>1903744.63</v>
      </c>
      <c r="G318" s="190"/>
      <c r="H318" s="49">
        <f>IF(VLOOKUP($D318,$C$5:$AA$496,6,)=0,0,((VLOOKUP($D318,$C$5:$AA$496,6,)/VLOOKUP($D318,$C$5:$AA$496,4,))*$F318))</f>
        <v>0</v>
      </c>
      <c r="I318" s="49">
        <f>IF(VLOOKUP($D318,$C$5:$AA$496,7,)=0,0,((VLOOKUP($D318,$C$5:$AA$496,7,)/VLOOKUP($D318,$C$5:$AA$496,4,))*$F318))</f>
        <v>0</v>
      </c>
      <c r="J318" s="49"/>
      <c r="K318" s="49">
        <f>IF(VLOOKUP($D318,$C$5:$AA$496,9,)=0,0,((VLOOKUP($D318,$C$5:$AA$496,9,)/VLOOKUP($D318,$C$5:$AA$496,4,))*$F318))</f>
        <v>0</v>
      </c>
      <c r="L318" s="49"/>
      <c r="M318" s="49">
        <f>IF(VLOOKUP($D318,$C$5:$AA$496,11,)=0,0,((VLOOKUP($D318,$C$5:$AA$496,11,)/VLOOKUP($D318,$C$5:$AA$496,4,))*$F318))</f>
        <v>245168.35179195905</v>
      </c>
      <c r="N318" s="49"/>
      <c r="O318" s="49">
        <f>IF(VLOOKUP($D318,$C$5:$AA$496,13,)=0,0,((VLOOKUP($D318,$C$5:$AA$496,13,)/VLOOKUP($D318,$C$5:$AA$496,4,))*$F318))</f>
        <v>533078.74308539717</v>
      </c>
      <c r="P318" s="49">
        <f>IF(VLOOKUP($D318,$C$5:$AA$496,14,)=0,0,((VLOOKUP($D318,$C$5:$AA$496,14,)/VLOOKUP($D318,$C$5:$AA$496,4,))*$F318))</f>
        <v>908475.11114466772</v>
      </c>
      <c r="Q318" s="49"/>
      <c r="R318" s="49">
        <f>IF(VLOOKUP($D318,$C$5:$AA$496,16,)=0,0,((VLOOKUP($D318,$C$5:$AA$496,16,)/VLOOKUP($D318,$C$5:$AA$496,4,))*$F318))</f>
        <v>0</v>
      </c>
      <c r="S318" s="49">
        <f>IF(VLOOKUP($D318,$C$5:$AA$496,17,)=0,0,((VLOOKUP($D318,$C$5:$AA$496,17,)/VLOOKUP($D318,$C$5:$AA$496,4,))*$F318))</f>
        <v>73342.741373529963</v>
      </c>
      <c r="T318" s="49"/>
      <c r="U318" s="49">
        <f>IF(VLOOKUP($D318,$C$5:$AA$496,19,)=0,0,((VLOOKUP($D318,$C$5:$AA$496,19,)/VLOOKUP($D318,$C$5:$AA$496,4,))*$F318))</f>
        <v>72452.850172078572</v>
      </c>
      <c r="V318" s="49"/>
      <c r="W318" s="49">
        <f>IF(VLOOKUP($D318,$C$5:$AA$496,21,)=0,0,((VLOOKUP($D318,$C$5:$AA$496,21,)/VLOOKUP($D318,$C$5:$AA$496,4,))*$F318))</f>
        <v>71226.832432367708</v>
      </c>
      <c r="X318" s="49"/>
      <c r="Y318" s="49">
        <f>IF(VLOOKUP($D318,$C$5:$AA$496,23,)=0,0,((VLOOKUP($D318,$C$5:$AA$496,23,)/VLOOKUP($D318,$C$5:$AA$496,4,))*$F318))</f>
        <v>0</v>
      </c>
      <c r="Z318" s="49"/>
      <c r="AA318" s="49">
        <f>IF(VLOOKUP($D318,$C$5:$AA$496,25,)=0,0,((VLOOKUP($D318,$C$5:$AA$496,25,)/VLOOKUP($D318,$C$5:$AA$496,4,))*$F318))</f>
        <v>0</v>
      </c>
      <c r="AB318" s="49">
        <f>SUM(H318:AA318)</f>
        <v>1903744.63</v>
      </c>
      <c r="AC318" s="29" t="str">
        <f>IF(ABS(AB318-F318)&lt;1,"ok","err")</f>
        <v>ok</v>
      </c>
    </row>
    <row r="319" spans="1:29" x14ac:dyDescent="0.2">
      <c r="AC319" s="29"/>
    </row>
    <row r="320" spans="1:29" x14ac:dyDescent="0.2">
      <c r="A320" s="14" t="s">
        <v>193</v>
      </c>
      <c r="C320" s="14" t="s">
        <v>194</v>
      </c>
      <c r="D320" s="14" t="s">
        <v>84</v>
      </c>
      <c r="F320" s="254">
        <v>87116.24</v>
      </c>
      <c r="G320" s="190"/>
      <c r="H320" s="49">
        <f>IF(VLOOKUP($D320,$C$5:$AA$496,6,)=0,0,((VLOOKUP($D320,$C$5:$AA$496,6,)/VLOOKUP($D320,$C$5:$AA$496,4,))*$F320))</f>
        <v>0</v>
      </c>
      <c r="I320" s="49">
        <f>IF(VLOOKUP($D320,$C$5:$AA$496,7,)=0,0,((VLOOKUP($D320,$C$5:$AA$496,7,)/VLOOKUP($D320,$C$5:$AA$496,4,))*$F320))</f>
        <v>0</v>
      </c>
      <c r="J320" s="49"/>
      <c r="K320" s="49">
        <f>IF(VLOOKUP($D320,$C$5:$AA$496,9,)=0,0,((VLOOKUP($D320,$C$5:$AA$496,9,)/VLOOKUP($D320,$C$5:$AA$496,4,))*$F320))</f>
        <v>0</v>
      </c>
      <c r="L320" s="49"/>
      <c r="M320" s="49">
        <f>IF(VLOOKUP($D320,$C$5:$AA$496,11,)=0,0,((VLOOKUP($D320,$C$5:$AA$496,11,)/VLOOKUP($D320,$C$5:$AA$496,4,))*$F320))</f>
        <v>11219.017844380072</v>
      </c>
      <c r="N320" s="49"/>
      <c r="O320" s="49">
        <f>IF(VLOOKUP($D320,$C$5:$AA$496,13,)=0,0,((VLOOKUP($D320,$C$5:$AA$496,13,)/VLOOKUP($D320,$C$5:$AA$496,4,))*$F320))</f>
        <v>24393.931302396271</v>
      </c>
      <c r="P320" s="49">
        <f>IF(VLOOKUP($D320,$C$5:$AA$496,14,)=0,0,((VLOOKUP($D320,$C$5:$AA$496,14,)/VLOOKUP($D320,$C$5:$AA$496,4,))*$F320))</f>
        <v>41572.243760711521</v>
      </c>
      <c r="Q320" s="49"/>
      <c r="R320" s="49">
        <f>IF(VLOOKUP($D320,$C$5:$AA$496,16,)=0,0,((VLOOKUP($D320,$C$5:$AA$496,16,)/VLOOKUP($D320,$C$5:$AA$496,4,))*$F320))</f>
        <v>0</v>
      </c>
      <c r="S320" s="49">
        <f>IF(VLOOKUP($D320,$C$5:$AA$496,17,)=0,0,((VLOOKUP($D320,$C$5:$AA$496,17,)/VLOOKUP($D320,$C$5:$AA$496,4,))*$F320))</f>
        <v>3356.1979685029323</v>
      </c>
      <c r="T320" s="49"/>
      <c r="U320" s="49">
        <f>IF(VLOOKUP($D320,$C$5:$AA$496,19,)=0,0,((VLOOKUP($D320,$C$5:$AA$496,19,)/VLOOKUP($D320,$C$5:$AA$496,4,))*$F320))</f>
        <v>3315.4761330960855</v>
      </c>
      <c r="V320" s="49"/>
      <c r="W320" s="49">
        <f>IF(VLOOKUP($D320,$C$5:$AA$496,21,)=0,0,((VLOOKUP($D320,$C$5:$AA$496,21,)/VLOOKUP($D320,$C$5:$AA$496,4,))*$F320))</f>
        <v>3259.3729909131403</v>
      </c>
      <c r="X320" s="49"/>
      <c r="Y320" s="49">
        <f>IF(VLOOKUP($D320,$C$5:$AA$496,23,)=0,0,((VLOOKUP($D320,$C$5:$AA$496,23,)/VLOOKUP($D320,$C$5:$AA$496,4,))*$F320))</f>
        <v>0</v>
      </c>
      <c r="Z320" s="49"/>
      <c r="AA320" s="49">
        <f>IF(VLOOKUP($D320,$C$5:$AA$496,25,)=0,0,((VLOOKUP($D320,$C$5:$AA$496,25,)/VLOOKUP($D320,$C$5:$AA$496,4,))*$F320))</f>
        <v>0</v>
      </c>
      <c r="AB320" s="49">
        <f>SUM(H320:AA320)</f>
        <v>87116.24000000002</v>
      </c>
      <c r="AC320" s="29" t="str">
        <f>IF(ABS(AB320-F320)&lt;1,"ok","err")</f>
        <v>ok</v>
      </c>
    </row>
    <row r="321" spans="1:29" x14ac:dyDescent="0.2"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29"/>
    </row>
    <row r="322" spans="1:29" x14ac:dyDescent="0.2">
      <c r="A322" s="14" t="s">
        <v>858</v>
      </c>
      <c r="C322" s="14" t="s">
        <v>859</v>
      </c>
      <c r="D322" s="14" t="s">
        <v>84</v>
      </c>
      <c r="F322" s="254">
        <v>0</v>
      </c>
      <c r="G322" s="190"/>
      <c r="H322" s="49">
        <f>IF(VLOOKUP($D322,$C$5:$AA$496,6,)=0,0,((VLOOKUP($D322,$C$5:$AA$496,6,)/VLOOKUP($D322,$C$5:$AA$496,4,))*$F322))</f>
        <v>0</v>
      </c>
      <c r="I322" s="49">
        <f>IF(VLOOKUP($D322,$C$5:$AA$496,7,)=0,0,((VLOOKUP($D322,$C$5:$AA$496,7,)/VLOOKUP($D322,$C$5:$AA$496,4,))*$F322))</f>
        <v>0</v>
      </c>
      <c r="J322" s="49"/>
      <c r="K322" s="49">
        <f>IF(VLOOKUP($D322,$C$5:$AA$496,9,)=0,0,((VLOOKUP($D322,$C$5:$AA$496,9,)/VLOOKUP($D322,$C$5:$AA$496,4,))*$F322))</f>
        <v>0</v>
      </c>
      <c r="L322" s="49"/>
      <c r="M322" s="49">
        <f>IF(VLOOKUP($D322,$C$5:$AA$496,11,)=0,0,((VLOOKUP($D322,$C$5:$AA$496,11,)/VLOOKUP($D322,$C$5:$AA$496,4,))*$F322))</f>
        <v>0</v>
      </c>
      <c r="N322" s="49"/>
      <c r="O322" s="49">
        <f>IF(VLOOKUP($D322,$C$5:$AA$496,13,)=0,0,((VLOOKUP($D322,$C$5:$AA$496,13,)/VLOOKUP($D322,$C$5:$AA$496,4,))*$F322))</f>
        <v>0</v>
      </c>
      <c r="P322" s="49">
        <f>IF(VLOOKUP($D322,$C$5:$AA$496,14,)=0,0,((VLOOKUP($D322,$C$5:$AA$496,14,)/VLOOKUP($D322,$C$5:$AA$496,4,))*$F322))</f>
        <v>0</v>
      </c>
      <c r="Q322" s="49"/>
      <c r="R322" s="49">
        <f>IF(VLOOKUP($D322,$C$5:$AA$496,16,)=0,0,((VLOOKUP($D322,$C$5:$AA$496,16,)/VLOOKUP($D322,$C$5:$AA$496,4,))*$F322))</f>
        <v>0</v>
      </c>
      <c r="S322" s="49">
        <f>IF(VLOOKUP($D322,$C$5:$AA$496,17,)=0,0,((VLOOKUP($D322,$C$5:$AA$496,17,)/VLOOKUP($D322,$C$5:$AA$496,4,))*$F322))</f>
        <v>0</v>
      </c>
      <c r="T322" s="49"/>
      <c r="U322" s="49">
        <f>IF(VLOOKUP($D322,$C$5:$AA$496,19,)=0,0,((VLOOKUP($D322,$C$5:$AA$496,19,)/VLOOKUP($D322,$C$5:$AA$496,4,))*$F322))</f>
        <v>0</v>
      </c>
      <c r="V322" s="49"/>
      <c r="W322" s="49">
        <f>IF(VLOOKUP($D322,$C$5:$AA$496,21,)=0,0,((VLOOKUP($D322,$C$5:$AA$496,21,)/VLOOKUP($D322,$C$5:$AA$496,4,))*$F322))</f>
        <v>0</v>
      </c>
      <c r="X322" s="49"/>
      <c r="Y322" s="49">
        <f>IF(VLOOKUP($D322,$C$5:$AA$496,23,)=0,0,((VLOOKUP($D322,$C$5:$AA$496,23,)/VLOOKUP($D322,$C$5:$AA$496,4,))*$F322))</f>
        <v>0</v>
      </c>
      <c r="Z322" s="49"/>
      <c r="AA322" s="49">
        <f>IF(VLOOKUP($D322,$C$5:$AA$496,25,)=0,0,((VLOOKUP($D322,$C$5:$AA$496,25,)/VLOOKUP($D322,$C$5:$AA$496,4,))*$F322))</f>
        <v>0</v>
      </c>
      <c r="AB322" s="49">
        <f>SUM(H322:AA322)</f>
        <v>0</v>
      </c>
      <c r="AC322" s="29" t="str">
        <f>IF(ABS(AB322-F322)&lt;1,"ok","err")</f>
        <v>ok</v>
      </c>
    </row>
    <row r="323" spans="1:29" x14ac:dyDescent="0.2"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29"/>
    </row>
    <row r="324" spans="1:29" x14ac:dyDescent="0.2">
      <c r="A324" s="14" t="s">
        <v>860</v>
      </c>
      <c r="C324" s="14" t="s">
        <v>861</v>
      </c>
      <c r="D324" s="14" t="s">
        <v>84</v>
      </c>
      <c r="F324" s="254">
        <v>0</v>
      </c>
      <c r="G324" s="190"/>
      <c r="H324" s="49">
        <f>IF(VLOOKUP($D324,$C$5:$AA$496,6,)=0,0,((VLOOKUP($D324,$C$5:$AA$496,6,)/VLOOKUP($D324,$C$5:$AA$496,4,))*$F324))</f>
        <v>0</v>
      </c>
      <c r="I324" s="49">
        <f>IF(VLOOKUP($D324,$C$5:$AA$496,7,)=0,0,((VLOOKUP($D324,$C$5:$AA$496,7,)/VLOOKUP($D324,$C$5:$AA$496,4,))*$F324))</f>
        <v>0</v>
      </c>
      <c r="J324" s="49"/>
      <c r="K324" s="49">
        <f>IF(VLOOKUP($D324,$C$5:$AA$496,9,)=0,0,((VLOOKUP($D324,$C$5:$AA$496,9,)/VLOOKUP($D324,$C$5:$AA$496,4,))*$F324))</f>
        <v>0</v>
      </c>
      <c r="L324" s="49"/>
      <c r="M324" s="49">
        <f>IF(VLOOKUP($D324,$C$5:$AA$496,11,)=0,0,((VLOOKUP($D324,$C$5:$AA$496,11,)/VLOOKUP($D324,$C$5:$AA$496,4,))*$F324))</f>
        <v>0</v>
      </c>
      <c r="N324" s="49"/>
      <c r="O324" s="49">
        <f>IF(VLOOKUP($D324,$C$5:$AA$496,13,)=0,0,((VLOOKUP($D324,$C$5:$AA$496,13,)/VLOOKUP($D324,$C$5:$AA$496,4,))*$F324))</f>
        <v>0</v>
      </c>
      <c r="P324" s="49">
        <f>IF(VLOOKUP($D324,$C$5:$AA$496,14,)=0,0,((VLOOKUP($D324,$C$5:$AA$496,14,)/VLOOKUP($D324,$C$5:$AA$496,4,))*$F324))</f>
        <v>0</v>
      </c>
      <c r="Q324" s="49"/>
      <c r="R324" s="49">
        <f>IF(VLOOKUP($D324,$C$5:$AA$496,16,)=0,0,((VLOOKUP($D324,$C$5:$AA$496,16,)/VLOOKUP($D324,$C$5:$AA$496,4,))*$F324))</f>
        <v>0</v>
      </c>
      <c r="S324" s="49">
        <f>IF(VLOOKUP($D324,$C$5:$AA$496,17,)=0,0,((VLOOKUP($D324,$C$5:$AA$496,17,)/VLOOKUP($D324,$C$5:$AA$496,4,))*$F324))</f>
        <v>0</v>
      </c>
      <c r="T324" s="49"/>
      <c r="U324" s="49">
        <f>IF(VLOOKUP($D324,$C$5:$AA$496,19,)=0,0,((VLOOKUP($D324,$C$5:$AA$496,19,)/VLOOKUP($D324,$C$5:$AA$496,4,))*$F324))</f>
        <v>0</v>
      </c>
      <c r="V324" s="49"/>
      <c r="W324" s="49">
        <f>IF(VLOOKUP($D324,$C$5:$AA$496,21,)=0,0,((VLOOKUP($D324,$C$5:$AA$496,21,)/VLOOKUP($D324,$C$5:$AA$496,4,))*$F324))</f>
        <v>0</v>
      </c>
      <c r="X324" s="49"/>
      <c r="Y324" s="49">
        <f>IF(VLOOKUP($D324,$C$5:$AA$496,23,)=0,0,((VLOOKUP($D324,$C$5:$AA$496,23,)/VLOOKUP($D324,$C$5:$AA$496,4,))*$F324))</f>
        <v>0</v>
      </c>
      <c r="Z324" s="49"/>
      <c r="AA324" s="49">
        <f>IF(VLOOKUP($D324,$C$5:$AA$496,25,)=0,0,((VLOOKUP($D324,$C$5:$AA$496,25,)/VLOOKUP($D324,$C$5:$AA$496,4,))*$F324))</f>
        <v>0</v>
      </c>
      <c r="AB324" s="49">
        <f>SUM(H324:AA324)</f>
        <v>0</v>
      </c>
      <c r="AC324" s="29" t="str">
        <f>IF(ABS(AB324-F324)&lt;1,"ok","err")</f>
        <v>ok</v>
      </c>
    </row>
    <row r="325" spans="1:29" x14ac:dyDescent="0.2">
      <c r="AC325" s="29"/>
    </row>
    <row r="326" spans="1:29" x14ac:dyDescent="0.2">
      <c r="A326" s="14" t="s">
        <v>195</v>
      </c>
      <c r="C326" s="14" t="s">
        <v>196</v>
      </c>
      <c r="D326" s="14" t="s">
        <v>84</v>
      </c>
      <c r="F326" s="254">
        <v>2255</v>
      </c>
      <c r="G326" s="190"/>
      <c r="H326" s="49">
        <f>IF(VLOOKUP($D326,$C$5:$AA$496,6,)=0,0,((VLOOKUP($D326,$C$5:$AA$496,6,)/VLOOKUP($D326,$C$5:$AA$496,4,))*$F326))</f>
        <v>0</v>
      </c>
      <c r="I326" s="49">
        <f>IF(VLOOKUP($D326,$C$5:$AA$496,7,)=0,0,((VLOOKUP($D326,$C$5:$AA$496,7,)/VLOOKUP($D326,$C$5:$AA$496,4,))*$F326))</f>
        <v>0</v>
      </c>
      <c r="J326" s="49"/>
      <c r="K326" s="49">
        <f>IF(VLOOKUP($D326,$C$5:$AA$496,9,)=0,0,((VLOOKUP($D326,$C$5:$AA$496,9,)/VLOOKUP($D326,$C$5:$AA$496,4,))*$F326))</f>
        <v>0</v>
      </c>
      <c r="L326" s="49"/>
      <c r="M326" s="49">
        <f>IF(VLOOKUP($D326,$C$5:$AA$496,11,)=0,0,((VLOOKUP($D326,$C$5:$AA$496,11,)/VLOOKUP($D326,$C$5:$AA$496,4,))*$F326))</f>
        <v>290.40377820572905</v>
      </c>
      <c r="N326" s="49"/>
      <c r="O326" s="49">
        <f>IF(VLOOKUP($D326,$C$5:$AA$496,13,)=0,0,((VLOOKUP($D326,$C$5:$AA$496,13,)/VLOOKUP($D326,$C$5:$AA$496,4,))*$F326))</f>
        <v>631.43582742900276</v>
      </c>
      <c r="P326" s="49">
        <f>IF(VLOOKUP($D326,$C$5:$AA$496,14,)=0,0,((VLOOKUP($D326,$C$5:$AA$496,14,)/VLOOKUP($D326,$C$5:$AA$496,4,))*$F326))</f>
        <v>1076.0956818201114</v>
      </c>
      <c r="Q326" s="49"/>
      <c r="R326" s="49">
        <f>IF(VLOOKUP($D326,$C$5:$AA$496,16,)=0,0,((VLOOKUP($D326,$C$5:$AA$496,16,)/VLOOKUP($D326,$C$5:$AA$496,4,))*$F326))</f>
        <v>0</v>
      </c>
      <c r="S326" s="49">
        <f>IF(VLOOKUP($D326,$C$5:$AA$496,17,)=0,0,((VLOOKUP($D326,$C$5:$AA$496,17,)/VLOOKUP($D326,$C$5:$AA$496,4,))*$F326))</f>
        <v>86.875035228495989</v>
      </c>
      <c r="T326" s="49"/>
      <c r="U326" s="49">
        <f>IF(VLOOKUP($D326,$C$5:$AA$496,19,)=0,0,((VLOOKUP($D326,$C$5:$AA$496,19,)/VLOOKUP($D326,$C$5:$AA$496,4,))*$F326))</f>
        <v>85.820952329114206</v>
      </c>
      <c r="V326" s="49"/>
      <c r="W326" s="49">
        <f>IF(VLOOKUP($D326,$C$5:$AA$496,21,)=0,0,((VLOOKUP($D326,$C$5:$AA$496,21,)/VLOOKUP($D326,$C$5:$AA$496,4,))*$F326))</f>
        <v>84.368724987546869</v>
      </c>
      <c r="X326" s="49"/>
      <c r="Y326" s="49">
        <f>IF(VLOOKUP($D326,$C$5:$AA$496,23,)=0,0,((VLOOKUP($D326,$C$5:$AA$496,23,)/VLOOKUP($D326,$C$5:$AA$496,4,))*$F326))</f>
        <v>0</v>
      </c>
      <c r="Z326" s="49"/>
      <c r="AA326" s="49">
        <f>IF(VLOOKUP($D326,$C$5:$AA$496,25,)=0,0,((VLOOKUP($D326,$C$5:$AA$496,25,)/VLOOKUP($D326,$C$5:$AA$496,4,))*$F326))</f>
        <v>0</v>
      </c>
      <c r="AB326" s="49">
        <f>SUM(H326:AA326)</f>
        <v>2255.0000000000005</v>
      </c>
      <c r="AC326" s="29" t="str">
        <f>IF(ABS(AB326-F326)&lt;1,"ok","err")</f>
        <v>ok</v>
      </c>
    </row>
    <row r="327" spans="1:29" x14ac:dyDescent="0.2">
      <c r="AB327" s="49"/>
      <c r="AC327" s="29"/>
    </row>
    <row r="328" spans="1:29" x14ac:dyDescent="0.2">
      <c r="A328" s="13" t="s">
        <v>197</v>
      </c>
      <c r="C328" s="14" t="s">
        <v>198</v>
      </c>
      <c r="F328" s="256">
        <f>SUM(F312:F326)</f>
        <v>7261585.3600000003</v>
      </c>
      <c r="G328" s="90"/>
      <c r="H328" s="90">
        <f>SUM(H312:H326)</f>
        <v>0</v>
      </c>
      <c r="I328" s="90">
        <f>SUM(I312:I326)</f>
        <v>0</v>
      </c>
      <c r="J328" s="90"/>
      <c r="K328" s="90">
        <f>SUM(K312:K326)</f>
        <v>0</v>
      </c>
      <c r="L328" s="90"/>
      <c r="M328" s="90">
        <f>SUM(M312:M326)</f>
        <v>935162.67153321917</v>
      </c>
      <c r="N328" s="90"/>
      <c r="O328" s="90">
        <f>SUM(O312:O326)</f>
        <v>2033359.272832786</v>
      </c>
      <c r="P328" s="90">
        <f>SUM(P312:P326)</f>
        <v>3465259.7113366472</v>
      </c>
      <c r="Q328" s="90">
        <f>SUM(Q312:Q326)</f>
        <v>0</v>
      </c>
      <c r="R328" s="90">
        <f>SUM(R312:R326)</f>
        <v>0</v>
      </c>
      <c r="S328" s="90">
        <f>SUM(S312:S326)</f>
        <v>279756.31217948149</v>
      </c>
      <c r="T328" s="90"/>
      <c r="U328" s="90">
        <f>SUM(U312:U326)</f>
        <v>276361.93836556701</v>
      </c>
      <c r="V328" s="90"/>
      <c r="W328" s="90">
        <f>SUM(W312:W326)</f>
        <v>271685.45375230006</v>
      </c>
      <c r="X328" s="90"/>
      <c r="Y328" s="90">
        <f>SUM(Y312:Y326)</f>
        <v>0</v>
      </c>
      <c r="Z328" s="90"/>
      <c r="AA328" s="90">
        <f>SUM(AA312:AA326)</f>
        <v>0</v>
      </c>
      <c r="AB328" s="49">
        <f>SUM(H328:AA328)</f>
        <v>7261585.3600000013</v>
      </c>
      <c r="AC328" s="29" t="str">
        <f>IF(ABS(AB328-F328)&lt;1,"ok","err")</f>
        <v>ok</v>
      </c>
    </row>
    <row r="329" spans="1:29" x14ac:dyDescent="0.2">
      <c r="AC329" s="29"/>
    </row>
    <row r="330" spans="1:29" x14ac:dyDescent="0.2">
      <c r="A330" s="13" t="s">
        <v>389</v>
      </c>
      <c r="F330" s="256">
        <f>F285+F328</f>
        <v>85998148.420000002</v>
      </c>
      <c r="G330" s="90"/>
      <c r="H330" s="90">
        <f>H285+H328</f>
        <v>19459969.028273102</v>
      </c>
      <c r="I330" s="90">
        <f>I285+I328</f>
        <v>46970894.971726887</v>
      </c>
      <c r="J330" s="90"/>
      <c r="K330" s="90">
        <f>K285+K328</f>
        <v>0</v>
      </c>
      <c r="L330" s="90"/>
      <c r="M330" s="90">
        <f>M285+M328</f>
        <v>1691795.3036857448</v>
      </c>
      <c r="N330" s="90"/>
      <c r="O330" s="90">
        <f t="shared" ref="O330:AA330" si="188">O285+O328</f>
        <v>5172875.6883138167</v>
      </c>
      <c r="P330" s="90">
        <f t="shared" si="188"/>
        <v>8962820.29568303</v>
      </c>
      <c r="Q330" s="90">
        <f t="shared" si="188"/>
        <v>0</v>
      </c>
      <c r="R330" s="90">
        <f t="shared" si="188"/>
        <v>0</v>
      </c>
      <c r="S330" s="90">
        <f t="shared" si="188"/>
        <v>505838.80810395355</v>
      </c>
      <c r="T330" s="90">
        <f t="shared" si="188"/>
        <v>0</v>
      </c>
      <c r="U330" s="90">
        <f t="shared" si="188"/>
        <v>814963.35099248122</v>
      </c>
      <c r="V330" s="90">
        <f t="shared" si="188"/>
        <v>0</v>
      </c>
      <c r="W330" s="90">
        <f t="shared" si="188"/>
        <v>417382.77606812277</v>
      </c>
      <c r="X330" s="90">
        <f t="shared" si="188"/>
        <v>0</v>
      </c>
      <c r="Y330" s="90">
        <f t="shared" si="188"/>
        <v>2009168.894970126</v>
      </c>
      <c r="Z330" s="90">
        <f t="shared" si="188"/>
        <v>0</v>
      </c>
      <c r="AA330" s="90">
        <f t="shared" si="188"/>
        <v>-7560.6978172730196</v>
      </c>
      <c r="AB330" s="49">
        <f>SUM(H330:AA330)</f>
        <v>85998148.419999972</v>
      </c>
      <c r="AC330" s="29" t="str">
        <f>IF(ABS(AB330-F330)&lt;1,"ok","err")</f>
        <v>ok</v>
      </c>
    </row>
    <row r="331" spans="1:29" x14ac:dyDescent="0.2">
      <c r="F331" s="256"/>
      <c r="G331" s="90"/>
      <c r="AC331" s="29"/>
    </row>
    <row r="332" spans="1:29" x14ac:dyDescent="0.2">
      <c r="F332" s="256"/>
      <c r="AC332" s="29"/>
    </row>
    <row r="333" spans="1:29" x14ac:dyDescent="0.2">
      <c r="F333" s="256"/>
      <c r="AC333" s="29"/>
    </row>
    <row r="334" spans="1:29" x14ac:dyDescent="0.2">
      <c r="A334" s="27" t="s">
        <v>1031</v>
      </c>
      <c r="F334" s="256"/>
      <c r="Q334" s="14"/>
      <c r="AC334" s="29"/>
    </row>
    <row r="335" spans="1:29" x14ac:dyDescent="0.2">
      <c r="A335" s="27"/>
      <c r="Q335" s="14"/>
      <c r="AC335" s="29"/>
    </row>
    <row r="336" spans="1:29" x14ac:dyDescent="0.2">
      <c r="A336" s="13" t="s">
        <v>789</v>
      </c>
      <c r="Q336" s="14"/>
      <c r="AC336" s="29"/>
    </row>
    <row r="337" spans="1:29" x14ac:dyDescent="0.2">
      <c r="A337" s="14">
        <v>500</v>
      </c>
      <c r="B337" s="14" t="s">
        <v>794</v>
      </c>
      <c r="C337" s="14" t="s">
        <v>841</v>
      </c>
      <c r="D337" s="14" t="s">
        <v>783</v>
      </c>
      <c r="F337" s="254">
        <v>0</v>
      </c>
      <c r="G337" s="65"/>
      <c r="H337" s="49">
        <f t="shared" ref="H337:H345" si="189">IF(VLOOKUP($D337,$C$5:$AA$496,6,)=0,0,((VLOOKUP($D337,$C$5:$AA$496,6,)/VLOOKUP($D337,$C$5:$AA$496,4,))*$F337))</f>
        <v>0</v>
      </c>
      <c r="I337" s="49">
        <f t="shared" ref="I337:I345" si="190">IF(VLOOKUP($D337,$C$5:$AA$496,7,)=0,0,((VLOOKUP($D337,$C$5:$AA$496,7,)/VLOOKUP($D337,$C$5:$AA$496,4,))*$F337))</f>
        <v>0</v>
      </c>
      <c r="J337" s="49"/>
      <c r="K337" s="49">
        <f t="shared" ref="K337:K345" si="191">IF(VLOOKUP($D337,$C$5:$AA$496,9,)=0,0,((VLOOKUP($D337,$C$5:$AA$496,9,)/VLOOKUP($D337,$C$5:$AA$496,4,))*$F337))</f>
        <v>0</v>
      </c>
      <c r="L337" s="49"/>
      <c r="M337" s="49">
        <f t="shared" ref="M337:M345" si="192">IF(VLOOKUP($D337,$C$5:$AA$496,11,)=0,0,((VLOOKUP($D337,$C$5:$AA$496,11,)/VLOOKUP($D337,$C$5:$AA$496,4,))*$F337))</f>
        <v>0</v>
      </c>
      <c r="N337" s="49"/>
      <c r="O337" s="49">
        <f t="shared" ref="O337:O345" si="193">IF(VLOOKUP($D337,$C$5:$AA$496,13,)=0,0,((VLOOKUP($D337,$C$5:$AA$496,13,)/VLOOKUP($D337,$C$5:$AA$496,4,))*$F337))</f>
        <v>0</v>
      </c>
      <c r="P337" s="49">
        <f t="shared" ref="P337:P345" si="194">IF(VLOOKUP($D337,$C$5:$AA$496,14,)=0,0,((VLOOKUP($D337,$C$5:$AA$496,14,)/VLOOKUP($D337,$C$5:$AA$496,4,))*$F337))</f>
        <v>0</v>
      </c>
      <c r="Q337" s="49"/>
      <c r="R337" s="49">
        <f t="shared" ref="R337:R345" si="195">IF(VLOOKUP($D337,$C$5:$AA$496,16,)=0,0,((VLOOKUP($D337,$C$5:$AA$496,16,)/VLOOKUP($D337,$C$5:$AA$496,4,))*$F337))</f>
        <v>0</v>
      </c>
      <c r="S337" s="49">
        <f t="shared" ref="S337:S345" si="196">IF(VLOOKUP($D337,$C$5:$AA$496,17,)=0,0,((VLOOKUP($D337,$C$5:$AA$496,17,)/VLOOKUP($D337,$C$5:$AA$496,4,))*$F337))</f>
        <v>0</v>
      </c>
      <c r="T337" s="49"/>
      <c r="U337" s="49">
        <f t="shared" ref="U337:U345" si="197">IF(VLOOKUP($D337,$C$5:$AA$496,19,)=0,0,((VLOOKUP($D337,$C$5:$AA$496,19,)/VLOOKUP($D337,$C$5:$AA$496,4,))*$F337))</f>
        <v>0</v>
      </c>
      <c r="V337" s="49"/>
      <c r="W337" s="49">
        <f t="shared" ref="W337:W345" si="198">IF(VLOOKUP($D337,$C$5:$AA$496,21,)=0,0,((VLOOKUP($D337,$C$5:$AA$496,21,)/VLOOKUP($D337,$C$5:$AA$496,4,))*$F337))</f>
        <v>0</v>
      </c>
      <c r="X337" s="49"/>
      <c r="Y337" s="49">
        <f t="shared" ref="Y337:Y345" si="199">IF(VLOOKUP($D337,$C$5:$AA$496,23,)=0,0,((VLOOKUP($D337,$C$5:$AA$496,23,)/VLOOKUP($D337,$C$5:$AA$496,4,))*$F337))</f>
        <v>0</v>
      </c>
      <c r="Z337" s="49"/>
      <c r="AA337" s="49">
        <f t="shared" ref="AA337:AA345" si="200">IF(VLOOKUP($D337,$C$5:$AA$496,25,)=0,0,((VLOOKUP($D337,$C$5:$AA$496,25,)/VLOOKUP($D337,$C$5:$AA$496,4,))*$F337))</f>
        <v>0</v>
      </c>
      <c r="AB337" s="49">
        <f t="shared" ref="AB337:AB345" si="201">SUM(H337:AA337)</f>
        <v>0</v>
      </c>
      <c r="AC337" s="29" t="str">
        <f t="shared" ref="AC337:AC345" si="202">IF(ABS(AB337-F337)&lt;1,"ok","err")</f>
        <v>ok</v>
      </c>
    </row>
    <row r="338" spans="1:29" x14ac:dyDescent="0.2">
      <c r="A338" s="14">
        <v>501</v>
      </c>
      <c r="B338" s="14" t="s">
        <v>795</v>
      </c>
      <c r="C338" s="14" t="s">
        <v>842</v>
      </c>
      <c r="D338" s="14" t="s">
        <v>787</v>
      </c>
      <c r="F338" s="255">
        <v>0</v>
      </c>
      <c r="G338" s="49"/>
      <c r="H338" s="49">
        <f t="shared" si="189"/>
        <v>0</v>
      </c>
      <c r="I338" s="49">
        <f t="shared" si="190"/>
        <v>0</v>
      </c>
      <c r="J338" s="49"/>
      <c r="K338" s="49">
        <f t="shared" si="191"/>
        <v>0</v>
      </c>
      <c r="L338" s="49"/>
      <c r="M338" s="49">
        <f t="shared" si="192"/>
        <v>0</v>
      </c>
      <c r="N338" s="49"/>
      <c r="O338" s="49">
        <f t="shared" si="193"/>
        <v>0</v>
      </c>
      <c r="P338" s="49">
        <f t="shared" si="194"/>
        <v>0</v>
      </c>
      <c r="Q338" s="49"/>
      <c r="R338" s="49">
        <f t="shared" si="195"/>
        <v>0</v>
      </c>
      <c r="S338" s="49">
        <f t="shared" si="196"/>
        <v>0</v>
      </c>
      <c r="T338" s="49"/>
      <c r="U338" s="49">
        <f t="shared" si="197"/>
        <v>0</v>
      </c>
      <c r="V338" s="49"/>
      <c r="W338" s="49">
        <f t="shared" si="198"/>
        <v>0</v>
      </c>
      <c r="X338" s="49"/>
      <c r="Y338" s="49">
        <f t="shared" si="199"/>
        <v>0</v>
      </c>
      <c r="Z338" s="49"/>
      <c r="AA338" s="49">
        <f t="shared" si="200"/>
        <v>0</v>
      </c>
      <c r="AB338" s="49">
        <f t="shared" si="201"/>
        <v>0</v>
      </c>
      <c r="AC338" s="29" t="str">
        <f t="shared" si="202"/>
        <v>ok</v>
      </c>
    </row>
    <row r="339" spans="1:29" x14ac:dyDescent="0.2">
      <c r="A339" s="14">
        <v>502</v>
      </c>
      <c r="B339" s="14" t="s">
        <v>796</v>
      </c>
      <c r="C339" s="14" t="s">
        <v>843</v>
      </c>
      <c r="D339" s="14" t="s">
        <v>552</v>
      </c>
      <c r="F339" s="255">
        <v>0</v>
      </c>
      <c r="G339" s="49"/>
      <c r="H339" s="49">
        <f t="shared" si="189"/>
        <v>0</v>
      </c>
      <c r="I339" s="49">
        <f t="shared" si="190"/>
        <v>0</v>
      </c>
      <c r="J339" s="49"/>
      <c r="K339" s="49">
        <f t="shared" si="191"/>
        <v>0</v>
      </c>
      <c r="L339" s="49"/>
      <c r="M339" s="49">
        <f t="shared" si="192"/>
        <v>0</v>
      </c>
      <c r="N339" s="49"/>
      <c r="O339" s="49">
        <f t="shared" si="193"/>
        <v>0</v>
      </c>
      <c r="P339" s="49">
        <f t="shared" si="194"/>
        <v>0</v>
      </c>
      <c r="Q339" s="49"/>
      <c r="R339" s="49">
        <f t="shared" si="195"/>
        <v>0</v>
      </c>
      <c r="S339" s="49">
        <f t="shared" si="196"/>
        <v>0</v>
      </c>
      <c r="T339" s="49"/>
      <c r="U339" s="49">
        <f t="shared" si="197"/>
        <v>0</v>
      </c>
      <c r="V339" s="49"/>
      <c r="W339" s="49">
        <f t="shared" si="198"/>
        <v>0</v>
      </c>
      <c r="X339" s="49"/>
      <c r="Y339" s="49">
        <f t="shared" si="199"/>
        <v>0</v>
      </c>
      <c r="Z339" s="49"/>
      <c r="AA339" s="49">
        <f t="shared" si="200"/>
        <v>0</v>
      </c>
      <c r="AB339" s="49">
        <f t="shared" si="201"/>
        <v>0</v>
      </c>
      <c r="AC339" s="29" t="str">
        <f t="shared" si="202"/>
        <v>ok</v>
      </c>
    </row>
    <row r="340" spans="1:29" x14ac:dyDescent="0.2">
      <c r="A340" s="14">
        <v>503</v>
      </c>
      <c r="B340" s="14" t="s">
        <v>797</v>
      </c>
      <c r="C340" s="14" t="s">
        <v>844</v>
      </c>
      <c r="D340" s="14" t="s">
        <v>552</v>
      </c>
      <c r="F340" s="255">
        <v>0</v>
      </c>
      <c r="G340" s="49"/>
      <c r="H340" s="49">
        <f t="shared" si="189"/>
        <v>0</v>
      </c>
      <c r="I340" s="49">
        <f t="shared" si="190"/>
        <v>0</v>
      </c>
      <c r="J340" s="49"/>
      <c r="K340" s="49">
        <f t="shared" si="191"/>
        <v>0</v>
      </c>
      <c r="L340" s="49"/>
      <c r="M340" s="49">
        <f t="shared" si="192"/>
        <v>0</v>
      </c>
      <c r="N340" s="49"/>
      <c r="O340" s="49">
        <f t="shared" si="193"/>
        <v>0</v>
      </c>
      <c r="P340" s="49">
        <f t="shared" si="194"/>
        <v>0</v>
      </c>
      <c r="Q340" s="49"/>
      <c r="R340" s="49">
        <f t="shared" si="195"/>
        <v>0</v>
      </c>
      <c r="S340" s="49">
        <f t="shared" si="196"/>
        <v>0</v>
      </c>
      <c r="T340" s="49"/>
      <c r="U340" s="49">
        <f t="shared" si="197"/>
        <v>0</v>
      </c>
      <c r="V340" s="49"/>
      <c r="W340" s="49">
        <f t="shared" si="198"/>
        <v>0</v>
      </c>
      <c r="X340" s="49"/>
      <c r="Y340" s="49">
        <f t="shared" si="199"/>
        <v>0</v>
      </c>
      <c r="Z340" s="49"/>
      <c r="AA340" s="49">
        <f t="shared" si="200"/>
        <v>0</v>
      </c>
      <c r="AB340" s="49">
        <f t="shared" si="201"/>
        <v>0</v>
      </c>
      <c r="AC340" s="29" t="str">
        <f t="shared" si="202"/>
        <v>ok</v>
      </c>
    </row>
    <row r="341" spans="1:29" x14ac:dyDescent="0.2">
      <c r="A341" s="14">
        <v>504</v>
      </c>
      <c r="B341" s="14" t="s">
        <v>798</v>
      </c>
      <c r="C341" s="14" t="s">
        <v>845</v>
      </c>
      <c r="D341" s="14" t="s">
        <v>552</v>
      </c>
      <c r="F341" s="255">
        <v>0</v>
      </c>
      <c r="G341" s="49"/>
      <c r="H341" s="49">
        <f t="shared" si="189"/>
        <v>0</v>
      </c>
      <c r="I341" s="49">
        <f t="shared" si="190"/>
        <v>0</v>
      </c>
      <c r="J341" s="49"/>
      <c r="K341" s="49">
        <f t="shared" si="191"/>
        <v>0</v>
      </c>
      <c r="L341" s="49"/>
      <c r="M341" s="49">
        <f t="shared" si="192"/>
        <v>0</v>
      </c>
      <c r="N341" s="49"/>
      <c r="O341" s="49">
        <f t="shared" si="193"/>
        <v>0</v>
      </c>
      <c r="P341" s="49">
        <f t="shared" si="194"/>
        <v>0</v>
      </c>
      <c r="Q341" s="49"/>
      <c r="R341" s="49">
        <f t="shared" si="195"/>
        <v>0</v>
      </c>
      <c r="S341" s="49">
        <f t="shared" si="196"/>
        <v>0</v>
      </c>
      <c r="T341" s="49"/>
      <c r="U341" s="49">
        <f t="shared" si="197"/>
        <v>0</v>
      </c>
      <c r="V341" s="49"/>
      <c r="W341" s="49">
        <f t="shared" si="198"/>
        <v>0</v>
      </c>
      <c r="X341" s="49"/>
      <c r="Y341" s="49">
        <f t="shared" si="199"/>
        <v>0</v>
      </c>
      <c r="Z341" s="49"/>
      <c r="AA341" s="49">
        <f t="shared" si="200"/>
        <v>0</v>
      </c>
      <c r="AB341" s="49">
        <f t="shared" si="201"/>
        <v>0</v>
      </c>
      <c r="AC341" s="29" t="str">
        <f t="shared" si="202"/>
        <v>ok</v>
      </c>
    </row>
    <row r="342" spans="1:29" x14ac:dyDescent="0.2">
      <c r="A342" s="14">
        <v>505</v>
      </c>
      <c r="B342" s="14" t="s">
        <v>799</v>
      </c>
      <c r="C342" s="14" t="s">
        <v>846</v>
      </c>
      <c r="D342" s="14" t="s">
        <v>552</v>
      </c>
      <c r="F342" s="255">
        <v>0</v>
      </c>
      <c r="G342" s="49"/>
      <c r="H342" s="49">
        <f t="shared" si="189"/>
        <v>0</v>
      </c>
      <c r="I342" s="49">
        <f t="shared" si="190"/>
        <v>0</v>
      </c>
      <c r="J342" s="49"/>
      <c r="K342" s="49">
        <f t="shared" si="191"/>
        <v>0</v>
      </c>
      <c r="L342" s="49"/>
      <c r="M342" s="49">
        <f t="shared" si="192"/>
        <v>0</v>
      </c>
      <c r="N342" s="49"/>
      <c r="O342" s="49">
        <f t="shared" si="193"/>
        <v>0</v>
      </c>
      <c r="P342" s="49">
        <f t="shared" si="194"/>
        <v>0</v>
      </c>
      <c r="Q342" s="49"/>
      <c r="R342" s="49">
        <f t="shared" si="195"/>
        <v>0</v>
      </c>
      <c r="S342" s="49">
        <f t="shared" si="196"/>
        <v>0</v>
      </c>
      <c r="T342" s="49"/>
      <c r="U342" s="49">
        <f t="shared" si="197"/>
        <v>0</v>
      </c>
      <c r="V342" s="49"/>
      <c r="W342" s="49">
        <f t="shared" si="198"/>
        <v>0</v>
      </c>
      <c r="X342" s="49"/>
      <c r="Y342" s="49">
        <f t="shared" si="199"/>
        <v>0</v>
      </c>
      <c r="Z342" s="49"/>
      <c r="AA342" s="49">
        <f t="shared" si="200"/>
        <v>0</v>
      </c>
      <c r="AB342" s="49">
        <f t="shared" si="201"/>
        <v>0</v>
      </c>
      <c r="AC342" s="29" t="str">
        <f t="shared" si="202"/>
        <v>ok</v>
      </c>
    </row>
    <row r="343" spans="1:29" x14ac:dyDescent="0.2">
      <c r="A343" s="14">
        <v>506</v>
      </c>
      <c r="B343" s="14" t="s">
        <v>800</v>
      </c>
      <c r="C343" s="14" t="s">
        <v>847</v>
      </c>
      <c r="D343" s="14" t="s">
        <v>552</v>
      </c>
      <c r="F343" s="255">
        <v>0</v>
      </c>
      <c r="G343" s="49"/>
      <c r="H343" s="49">
        <f t="shared" si="189"/>
        <v>0</v>
      </c>
      <c r="I343" s="49">
        <f t="shared" si="190"/>
        <v>0</v>
      </c>
      <c r="J343" s="49"/>
      <c r="K343" s="49">
        <f t="shared" si="191"/>
        <v>0</v>
      </c>
      <c r="L343" s="49"/>
      <c r="M343" s="49">
        <f t="shared" si="192"/>
        <v>0</v>
      </c>
      <c r="N343" s="49"/>
      <c r="O343" s="49">
        <f t="shared" si="193"/>
        <v>0</v>
      </c>
      <c r="P343" s="49">
        <f t="shared" si="194"/>
        <v>0</v>
      </c>
      <c r="Q343" s="49"/>
      <c r="R343" s="49">
        <f t="shared" si="195"/>
        <v>0</v>
      </c>
      <c r="S343" s="49">
        <f t="shared" si="196"/>
        <v>0</v>
      </c>
      <c r="T343" s="49"/>
      <c r="U343" s="49">
        <f t="shared" si="197"/>
        <v>0</v>
      </c>
      <c r="V343" s="49"/>
      <c r="W343" s="49">
        <f t="shared" si="198"/>
        <v>0</v>
      </c>
      <c r="X343" s="49"/>
      <c r="Y343" s="49">
        <f t="shared" si="199"/>
        <v>0</v>
      </c>
      <c r="Z343" s="49"/>
      <c r="AA343" s="49">
        <f t="shared" si="200"/>
        <v>0</v>
      </c>
      <c r="AB343" s="49">
        <f t="shared" si="201"/>
        <v>0</v>
      </c>
      <c r="AC343" s="29" t="str">
        <f t="shared" si="202"/>
        <v>ok</v>
      </c>
    </row>
    <row r="344" spans="1:29" x14ac:dyDescent="0.2">
      <c r="A344" s="14">
        <v>507</v>
      </c>
      <c r="B344" s="14" t="s">
        <v>115</v>
      </c>
      <c r="C344" s="14" t="s">
        <v>848</v>
      </c>
      <c r="D344" s="14" t="s">
        <v>552</v>
      </c>
      <c r="F344" s="255">
        <v>0</v>
      </c>
      <c r="G344" s="49"/>
      <c r="H344" s="49">
        <f t="shared" si="189"/>
        <v>0</v>
      </c>
      <c r="I344" s="49">
        <f t="shared" si="190"/>
        <v>0</v>
      </c>
      <c r="J344" s="49"/>
      <c r="K344" s="49">
        <f t="shared" si="191"/>
        <v>0</v>
      </c>
      <c r="L344" s="49"/>
      <c r="M344" s="49">
        <f t="shared" si="192"/>
        <v>0</v>
      </c>
      <c r="N344" s="49"/>
      <c r="O344" s="49">
        <f t="shared" si="193"/>
        <v>0</v>
      </c>
      <c r="P344" s="49">
        <f t="shared" si="194"/>
        <v>0</v>
      </c>
      <c r="Q344" s="49"/>
      <c r="R344" s="49">
        <f t="shared" si="195"/>
        <v>0</v>
      </c>
      <c r="S344" s="49">
        <f t="shared" si="196"/>
        <v>0</v>
      </c>
      <c r="T344" s="49"/>
      <c r="U344" s="49">
        <f t="shared" si="197"/>
        <v>0</v>
      </c>
      <c r="V344" s="49"/>
      <c r="W344" s="49">
        <f t="shared" si="198"/>
        <v>0</v>
      </c>
      <c r="X344" s="49"/>
      <c r="Y344" s="49">
        <f t="shared" si="199"/>
        <v>0</v>
      </c>
      <c r="Z344" s="49"/>
      <c r="AA344" s="49">
        <f t="shared" si="200"/>
        <v>0</v>
      </c>
      <c r="AB344" s="49">
        <f t="shared" si="201"/>
        <v>0</v>
      </c>
      <c r="AC344" s="29" t="str">
        <f t="shared" si="202"/>
        <v>ok</v>
      </c>
    </row>
    <row r="345" spans="1:29" x14ac:dyDescent="0.2">
      <c r="A345" s="14">
        <v>509</v>
      </c>
      <c r="B345" s="14" t="s">
        <v>801</v>
      </c>
      <c r="C345" s="14" t="s">
        <v>849</v>
      </c>
      <c r="D345" s="14" t="s">
        <v>787</v>
      </c>
      <c r="F345" s="255">
        <v>0</v>
      </c>
      <c r="G345" s="49"/>
      <c r="H345" s="49">
        <f t="shared" si="189"/>
        <v>0</v>
      </c>
      <c r="I345" s="49">
        <f t="shared" si="190"/>
        <v>0</v>
      </c>
      <c r="J345" s="49"/>
      <c r="K345" s="49">
        <f t="shared" si="191"/>
        <v>0</v>
      </c>
      <c r="L345" s="49"/>
      <c r="M345" s="49">
        <f t="shared" si="192"/>
        <v>0</v>
      </c>
      <c r="N345" s="49"/>
      <c r="O345" s="49">
        <f t="shared" si="193"/>
        <v>0</v>
      </c>
      <c r="P345" s="49">
        <f t="shared" si="194"/>
        <v>0</v>
      </c>
      <c r="Q345" s="49"/>
      <c r="R345" s="49">
        <f t="shared" si="195"/>
        <v>0</v>
      </c>
      <c r="S345" s="49">
        <f t="shared" si="196"/>
        <v>0</v>
      </c>
      <c r="T345" s="49"/>
      <c r="U345" s="49">
        <f t="shared" si="197"/>
        <v>0</v>
      </c>
      <c r="V345" s="49"/>
      <c r="W345" s="49">
        <f t="shared" si="198"/>
        <v>0</v>
      </c>
      <c r="X345" s="49"/>
      <c r="Y345" s="49">
        <f t="shared" si="199"/>
        <v>0</v>
      </c>
      <c r="Z345" s="49"/>
      <c r="AA345" s="49">
        <f t="shared" si="200"/>
        <v>0</v>
      </c>
      <c r="AB345" s="49">
        <f t="shared" si="201"/>
        <v>0</v>
      </c>
      <c r="AC345" s="29" t="str">
        <f t="shared" si="202"/>
        <v>ok</v>
      </c>
    </row>
    <row r="346" spans="1:29" x14ac:dyDescent="0.2"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C346" s="29"/>
    </row>
    <row r="347" spans="1:29" x14ac:dyDescent="0.2">
      <c r="A347" s="14" t="s">
        <v>793</v>
      </c>
      <c r="C347" s="14" t="s">
        <v>850</v>
      </c>
      <c r="F347" s="254">
        <f>SUM(F337:F346)</f>
        <v>0</v>
      </c>
      <c r="G347" s="65"/>
      <c r="H347" s="65">
        <f>SUM(H337:H346)</f>
        <v>0</v>
      </c>
      <c r="I347" s="65">
        <f>SUM(I337:I346)</f>
        <v>0</v>
      </c>
      <c r="J347" s="65"/>
      <c r="K347" s="65">
        <f>SUM(K337:K346)</f>
        <v>0</v>
      </c>
      <c r="L347" s="65"/>
      <c r="M347" s="65">
        <f>SUM(M337:M346)</f>
        <v>0</v>
      </c>
      <c r="N347" s="65"/>
      <c r="O347" s="65">
        <f>SUM(O337:O346)</f>
        <v>0</v>
      </c>
      <c r="P347" s="65">
        <f>SUM(P337:P346)</f>
        <v>0</v>
      </c>
      <c r="Q347" s="65"/>
      <c r="R347" s="65">
        <f>SUM(R337:R346)</f>
        <v>0</v>
      </c>
      <c r="S347" s="65">
        <f>SUM(S337:S346)</f>
        <v>0</v>
      </c>
      <c r="T347" s="65"/>
      <c r="U347" s="65">
        <f>SUM(U337:U346)</f>
        <v>0</v>
      </c>
      <c r="V347" s="65"/>
      <c r="W347" s="65">
        <f>SUM(W337:W346)</f>
        <v>0</v>
      </c>
      <c r="X347" s="65"/>
      <c r="Y347" s="65">
        <f>SUM(Y337:Y346)</f>
        <v>0</v>
      </c>
      <c r="Z347" s="65"/>
      <c r="AA347" s="65">
        <f>SUM(AA337:AA346)</f>
        <v>0</v>
      </c>
      <c r="AB347" s="49">
        <f>SUM(H347:AA347)</f>
        <v>0</v>
      </c>
      <c r="AC347" s="29" t="str">
        <f>IF(ABS(AB347-F347)&lt;1,"ok","err")</f>
        <v>ok</v>
      </c>
    </row>
    <row r="348" spans="1:29" x14ac:dyDescent="0.2">
      <c r="A348" s="13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C348" s="29"/>
    </row>
    <row r="349" spans="1:29" x14ac:dyDescent="0.2">
      <c r="A349" s="13" t="s">
        <v>790</v>
      </c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C349" s="29"/>
    </row>
    <row r="350" spans="1:29" x14ac:dyDescent="0.2">
      <c r="A350" s="14">
        <v>510</v>
      </c>
      <c r="B350" s="14" t="s">
        <v>802</v>
      </c>
      <c r="C350" s="14" t="s">
        <v>851</v>
      </c>
      <c r="D350" s="14" t="s">
        <v>787</v>
      </c>
      <c r="F350" s="254">
        <v>0</v>
      </c>
      <c r="G350" s="65"/>
      <c r="H350" s="49">
        <f>IF(VLOOKUP($D350,$C$5:$AA$496,6,)=0,0,((VLOOKUP($D350,$C$5:$AA$496,6,)/VLOOKUP($D350,$C$5:$AA$496,4,))*$F350))</f>
        <v>0</v>
      </c>
      <c r="I350" s="49">
        <f>IF(VLOOKUP($D350,$C$5:$AA$496,7,)=0,0,((VLOOKUP($D350,$C$5:$AA$496,7,)/VLOOKUP($D350,$C$5:$AA$496,4,))*$F350))</f>
        <v>0</v>
      </c>
      <c r="J350" s="49"/>
      <c r="K350" s="49">
        <f>IF(VLOOKUP($D350,$C$5:$AA$496,9,)=0,0,((VLOOKUP($D350,$C$5:$AA$496,9,)/VLOOKUP($D350,$C$5:$AA$496,4,))*$F350))</f>
        <v>0</v>
      </c>
      <c r="L350" s="49"/>
      <c r="M350" s="49">
        <f>IF(VLOOKUP($D350,$C$5:$AA$496,11,)=0,0,((VLOOKUP($D350,$C$5:$AA$496,11,)/VLOOKUP($D350,$C$5:$AA$496,4,))*$F350))</f>
        <v>0</v>
      </c>
      <c r="N350" s="49"/>
      <c r="O350" s="49">
        <f>IF(VLOOKUP($D350,$C$5:$AA$496,13,)=0,0,((VLOOKUP($D350,$C$5:$AA$496,13,)/VLOOKUP($D350,$C$5:$AA$496,4,))*$F350))</f>
        <v>0</v>
      </c>
      <c r="P350" s="49">
        <f>IF(VLOOKUP($D350,$C$5:$AA$496,14,)=0,0,((VLOOKUP($D350,$C$5:$AA$496,14,)/VLOOKUP($D350,$C$5:$AA$496,4,))*$F350))</f>
        <v>0</v>
      </c>
      <c r="Q350" s="49"/>
      <c r="R350" s="49">
        <f>IF(VLOOKUP($D350,$C$5:$AA$496,16,)=0,0,((VLOOKUP($D350,$C$5:$AA$496,16,)/VLOOKUP($D350,$C$5:$AA$496,4,))*$F350))</f>
        <v>0</v>
      </c>
      <c r="S350" s="49">
        <f>IF(VLOOKUP($D350,$C$5:$AA$496,17,)=0,0,((VLOOKUP($D350,$C$5:$AA$496,17,)/VLOOKUP($D350,$C$5:$AA$496,4,))*$F350))</f>
        <v>0</v>
      </c>
      <c r="T350" s="49"/>
      <c r="U350" s="49">
        <f>IF(VLOOKUP($D350,$C$5:$AA$496,19,)=0,0,((VLOOKUP($D350,$C$5:$AA$496,19,)/VLOOKUP($D350,$C$5:$AA$496,4,))*$F350))</f>
        <v>0</v>
      </c>
      <c r="V350" s="49"/>
      <c r="W350" s="49">
        <f>IF(VLOOKUP($D350,$C$5:$AA$496,21,)=0,0,((VLOOKUP($D350,$C$5:$AA$496,21,)/VLOOKUP($D350,$C$5:$AA$496,4,))*$F350))</f>
        <v>0</v>
      </c>
      <c r="X350" s="49"/>
      <c r="Y350" s="49">
        <f>IF(VLOOKUP($D350,$C$5:$AA$496,23,)=0,0,((VLOOKUP($D350,$C$5:$AA$496,23,)/VLOOKUP($D350,$C$5:$AA$496,4,))*$F350))</f>
        <v>0</v>
      </c>
      <c r="Z350" s="49"/>
      <c r="AA350" s="49">
        <f>IF(VLOOKUP($D350,$C$5:$AA$496,25,)=0,0,((VLOOKUP($D350,$C$5:$AA$496,25,)/VLOOKUP($D350,$C$5:$AA$496,4,))*$F350))</f>
        <v>0</v>
      </c>
      <c r="AB350" s="49">
        <f>SUM(H350:AA350)</f>
        <v>0</v>
      </c>
      <c r="AC350" s="29" t="str">
        <f>IF(ABS(AB350-F350)&lt;1,"ok","err")</f>
        <v>ok</v>
      </c>
    </row>
    <row r="351" spans="1:29" x14ac:dyDescent="0.2">
      <c r="A351" s="14">
        <v>511</v>
      </c>
      <c r="B351" s="14" t="s">
        <v>803</v>
      </c>
      <c r="C351" s="14" t="s">
        <v>852</v>
      </c>
      <c r="D351" s="14" t="s">
        <v>552</v>
      </c>
      <c r="F351" s="255">
        <v>0</v>
      </c>
      <c r="G351" s="49"/>
      <c r="H351" s="49">
        <f>IF(VLOOKUP($D351,$C$5:$AA$496,6,)=0,0,((VLOOKUP($D351,$C$5:$AA$496,6,)/VLOOKUP($D351,$C$5:$AA$496,4,))*$F351))</f>
        <v>0</v>
      </c>
      <c r="I351" s="49">
        <f>IF(VLOOKUP($D351,$C$5:$AA$496,7,)=0,0,((VLOOKUP($D351,$C$5:$AA$496,7,)/VLOOKUP($D351,$C$5:$AA$496,4,))*$F351))</f>
        <v>0</v>
      </c>
      <c r="J351" s="49"/>
      <c r="K351" s="49">
        <f>IF(VLOOKUP($D351,$C$5:$AA$496,9,)=0,0,((VLOOKUP($D351,$C$5:$AA$496,9,)/VLOOKUP($D351,$C$5:$AA$496,4,))*$F351))</f>
        <v>0</v>
      </c>
      <c r="L351" s="49"/>
      <c r="M351" s="49">
        <f>IF(VLOOKUP($D351,$C$5:$AA$496,11,)=0,0,((VLOOKUP($D351,$C$5:$AA$496,11,)/VLOOKUP($D351,$C$5:$AA$496,4,))*$F351))</f>
        <v>0</v>
      </c>
      <c r="N351" s="49"/>
      <c r="O351" s="49">
        <f>IF(VLOOKUP($D351,$C$5:$AA$496,13,)=0,0,((VLOOKUP($D351,$C$5:$AA$496,13,)/VLOOKUP($D351,$C$5:$AA$496,4,))*$F351))</f>
        <v>0</v>
      </c>
      <c r="P351" s="49">
        <f>IF(VLOOKUP($D351,$C$5:$AA$496,14,)=0,0,((VLOOKUP($D351,$C$5:$AA$496,14,)/VLOOKUP($D351,$C$5:$AA$496,4,))*$F351))</f>
        <v>0</v>
      </c>
      <c r="Q351" s="49"/>
      <c r="R351" s="49">
        <f>IF(VLOOKUP($D351,$C$5:$AA$496,16,)=0,0,((VLOOKUP($D351,$C$5:$AA$496,16,)/VLOOKUP($D351,$C$5:$AA$496,4,))*$F351))</f>
        <v>0</v>
      </c>
      <c r="S351" s="49">
        <f>IF(VLOOKUP($D351,$C$5:$AA$496,17,)=0,0,((VLOOKUP($D351,$C$5:$AA$496,17,)/VLOOKUP($D351,$C$5:$AA$496,4,))*$F351))</f>
        <v>0</v>
      </c>
      <c r="T351" s="49"/>
      <c r="U351" s="49">
        <f>IF(VLOOKUP($D351,$C$5:$AA$496,19,)=0,0,((VLOOKUP($D351,$C$5:$AA$496,19,)/VLOOKUP($D351,$C$5:$AA$496,4,))*$F351))</f>
        <v>0</v>
      </c>
      <c r="V351" s="49"/>
      <c r="W351" s="49">
        <f>IF(VLOOKUP($D351,$C$5:$AA$496,21,)=0,0,((VLOOKUP($D351,$C$5:$AA$496,21,)/VLOOKUP($D351,$C$5:$AA$496,4,))*$F351))</f>
        <v>0</v>
      </c>
      <c r="X351" s="49"/>
      <c r="Y351" s="49">
        <f>IF(VLOOKUP($D351,$C$5:$AA$496,23,)=0,0,((VLOOKUP($D351,$C$5:$AA$496,23,)/VLOOKUP($D351,$C$5:$AA$496,4,))*$F351))</f>
        <v>0</v>
      </c>
      <c r="Z351" s="49"/>
      <c r="AA351" s="49">
        <f>IF(VLOOKUP($D351,$C$5:$AA$496,25,)=0,0,((VLOOKUP($D351,$C$5:$AA$496,25,)/VLOOKUP($D351,$C$5:$AA$496,4,))*$F351))</f>
        <v>0</v>
      </c>
      <c r="AB351" s="49">
        <f>SUM(H351:AA351)</f>
        <v>0</v>
      </c>
      <c r="AC351" s="29" t="str">
        <f>IF(ABS(AB351-F351)&lt;1,"ok","err")</f>
        <v>ok</v>
      </c>
    </row>
    <row r="352" spans="1:29" x14ac:dyDescent="0.2">
      <c r="A352" s="14">
        <v>512</v>
      </c>
      <c r="B352" s="14" t="s">
        <v>804</v>
      </c>
      <c r="C352" s="14" t="s">
        <v>853</v>
      </c>
      <c r="D352" s="14" t="s">
        <v>787</v>
      </c>
      <c r="F352" s="255">
        <v>0</v>
      </c>
      <c r="G352" s="49"/>
      <c r="H352" s="49">
        <f>IF(VLOOKUP($D352,$C$5:$AA$496,6,)=0,0,((VLOOKUP($D352,$C$5:$AA$496,6,)/VLOOKUP($D352,$C$5:$AA$496,4,))*$F352))</f>
        <v>0</v>
      </c>
      <c r="I352" s="49">
        <f>IF(VLOOKUP($D352,$C$5:$AA$496,7,)=0,0,((VLOOKUP($D352,$C$5:$AA$496,7,)/VLOOKUP($D352,$C$5:$AA$496,4,))*$F352))</f>
        <v>0</v>
      </c>
      <c r="J352" s="49"/>
      <c r="K352" s="49">
        <f>IF(VLOOKUP($D352,$C$5:$AA$496,9,)=0,0,((VLOOKUP($D352,$C$5:$AA$496,9,)/VLOOKUP($D352,$C$5:$AA$496,4,))*$F352))</f>
        <v>0</v>
      </c>
      <c r="L352" s="49"/>
      <c r="M352" s="49">
        <f>IF(VLOOKUP($D352,$C$5:$AA$496,11,)=0,0,((VLOOKUP($D352,$C$5:$AA$496,11,)/VLOOKUP($D352,$C$5:$AA$496,4,))*$F352))</f>
        <v>0</v>
      </c>
      <c r="N352" s="49"/>
      <c r="O352" s="49">
        <f>IF(VLOOKUP($D352,$C$5:$AA$496,13,)=0,0,((VLOOKUP($D352,$C$5:$AA$496,13,)/VLOOKUP($D352,$C$5:$AA$496,4,))*$F352))</f>
        <v>0</v>
      </c>
      <c r="P352" s="49">
        <f>IF(VLOOKUP($D352,$C$5:$AA$496,14,)=0,0,((VLOOKUP($D352,$C$5:$AA$496,14,)/VLOOKUP($D352,$C$5:$AA$496,4,))*$F352))</f>
        <v>0</v>
      </c>
      <c r="Q352" s="49"/>
      <c r="R352" s="49">
        <f>IF(VLOOKUP($D352,$C$5:$AA$496,16,)=0,0,((VLOOKUP($D352,$C$5:$AA$496,16,)/VLOOKUP($D352,$C$5:$AA$496,4,))*$F352))</f>
        <v>0</v>
      </c>
      <c r="S352" s="49">
        <f>IF(VLOOKUP($D352,$C$5:$AA$496,17,)=0,0,((VLOOKUP($D352,$C$5:$AA$496,17,)/VLOOKUP($D352,$C$5:$AA$496,4,))*$F352))</f>
        <v>0</v>
      </c>
      <c r="T352" s="49"/>
      <c r="U352" s="49">
        <f>IF(VLOOKUP($D352,$C$5:$AA$496,19,)=0,0,((VLOOKUP($D352,$C$5:$AA$496,19,)/VLOOKUP($D352,$C$5:$AA$496,4,))*$F352))</f>
        <v>0</v>
      </c>
      <c r="V352" s="49"/>
      <c r="W352" s="49">
        <f>IF(VLOOKUP($D352,$C$5:$AA$496,21,)=0,0,((VLOOKUP($D352,$C$5:$AA$496,21,)/VLOOKUP($D352,$C$5:$AA$496,4,))*$F352))</f>
        <v>0</v>
      </c>
      <c r="X352" s="49"/>
      <c r="Y352" s="49">
        <f>IF(VLOOKUP($D352,$C$5:$AA$496,23,)=0,0,((VLOOKUP($D352,$C$5:$AA$496,23,)/VLOOKUP($D352,$C$5:$AA$496,4,))*$F352))</f>
        <v>0</v>
      </c>
      <c r="Z352" s="49"/>
      <c r="AA352" s="49">
        <f>IF(VLOOKUP($D352,$C$5:$AA$496,25,)=0,0,((VLOOKUP($D352,$C$5:$AA$496,25,)/VLOOKUP($D352,$C$5:$AA$496,4,))*$F352))</f>
        <v>0</v>
      </c>
      <c r="AB352" s="49">
        <f>SUM(H352:AA352)</f>
        <v>0</v>
      </c>
      <c r="AC352" s="29" t="str">
        <f>IF(ABS(AB352-F352)&lt;1,"ok","err")</f>
        <v>ok</v>
      </c>
    </row>
    <row r="353" spans="1:29" x14ac:dyDescent="0.2">
      <c r="A353" s="14">
        <v>513</v>
      </c>
      <c r="B353" s="14" t="s">
        <v>805</v>
      </c>
      <c r="C353" s="14" t="s">
        <v>854</v>
      </c>
      <c r="D353" s="14" t="s">
        <v>787</v>
      </c>
      <c r="F353" s="255">
        <v>0</v>
      </c>
      <c r="G353" s="49"/>
      <c r="H353" s="49">
        <f>IF(VLOOKUP($D353,$C$5:$AA$496,6,)=0,0,((VLOOKUP($D353,$C$5:$AA$496,6,)/VLOOKUP($D353,$C$5:$AA$496,4,))*$F353))</f>
        <v>0</v>
      </c>
      <c r="I353" s="49">
        <f>IF(VLOOKUP($D353,$C$5:$AA$496,7,)=0,0,((VLOOKUP($D353,$C$5:$AA$496,7,)/VLOOKUP($D353,$C$5:$AA$496,4,))*$F353))</f>
        <v>0</v>
      </c>
      <c r="J353" s="49"/>
      <c r="K353" s="49">
        <f>IF(VLOOKUP($D353,$C$5:$AA$496,9,)=0,0,((VLOOKUP($D353,$C$5:$AA$496,9,)/VLOOKUP($D353,$C$5:$AA$496,4,))*$F353))</f>
        <v>0</v>
      </c>
      <c r="L353" s="49"/>
      <c r="M353" s="49">
        <f>IF(VLOOKUP($D353,$C$5:$AA$496,11,)=0,0,((VLOOKUP($D353,$C$5:$AA$496,11,)/VLOOKUP($D353,$C$5:$AA$496,4,))*$F353))</f>
        <v>0</v>
      </c>
      <c r="N353" s="49"/>
      <c r="O353" s="49">
        <f>IF(VLOOKUP($D353,$C$5:$AA$496,13,)=0,0,((VLOOKUP($D353,$C$5:$AA$496,13,)/VLOOKUP($D353,$C$5:$AA$496,4,))*$F353))</f>
        <v>0</v>
      </c>
      <c r="P353" s="49">
        <f>IF(VLOOKUP($D353,$C$5:$AA$496,14,)=0,0,((VLOOKUP($D353,$C$5:$AA$496,14,)/VLOOKUP($D353,$C$5:$AA$496,4,))*$F353))</f>
        <v>0</v>
      </c>
      <c r="Q353" s="49"/>
      <c r="R353" s="49">
        <f>IF(VLOOKUP($D353,$C$5:$AA$496,16,)=0,0,((VLOOKUP($D353,$C$5:$AA$496,16,)/VLOOKUP($D353,$C$5:$AA$496,4,))*$F353))</f>
        <v>0</v>
      </c>
      <c r="S353" s="49">
        <f>IF(VLOOKUP($D353,$C$5:$AA$496,17,)=0,0,((VLOOKUP($D353,$C$5:$AA$496,17,)/VLOOKUP($D353,$C$5:$AA$496,4,))*$F353))</f>
        <v>0</v>
      </c>
      <c r="T353" s="49"/>
      <c r="U353" s="49">
        <f>IF(VLOOKUP($D353,$C$5:$AA$496,19,)=0,0,((VLOOKUP($D353,$C$5:$AA$496,19,)/VLOOKUP($D353,$C$5:$AA$496,4,))*$F353))</f>
        <v>0</v>
      </c>
      <c r="V353" s="49"/>
      <c r="W353" s="49">
        <f>IF(VLOOKUP($D353,$C$5:$AA$496,21,)=0,0,((VLOOKUP($D353,$C$5:$AA$496,21,)/VLOOKUP($D353,$C$5:$AA$496,4,))*$F353))</f>
        <v>0</v>
      </c>
      <c r="X353" s="49"/>
      <c r="Y353" s="49">
        <f>IF(VLOOKUP($D353,$C$5:$AA$496,23,)=0,0,((VLOOKUP($D353,$C$5:$AA$496,23,)/VLOOKUP($D353,$C$5:$AA$496,4,))*$F353))</f>
        <v>0</v>
      </c>
      <c r="Z353" s="49"/>
      <c r="AA353" s="49">
        <f>IF(VLOOKUP($D353,$C$5:$AA$496,25,)=0,0,((VLOOKUP($D353,$C$5:$AA$496,25,)/VLOOKUP($D353,$C$5:$AA$496,4,))*$F353))</f>
        <v>0</v>
      </c>
      <c r="AB353" s="49">
        <f>SUM(H353:AA353)</f>
        <v>0</v>
      </c>
      <c r="AC353" s="29" t="str">
        <f>IF(ABS(AB353-F353)&lt;1,"ok","err")</f>
        <v>ok</v>
      </c>
    </row>
    <row r="354" spans="1:29" x14ac:dyDescent="0.2">
      <c r="A354" s="14">
        <v>514</v>
      </c>
      <c r="B354" s="14" t="s">
        <v>806</v>
      </c>
      <c r="C354" s="14" t="s">
        <v>855</v>
      </c>
      <c r="D354" s="14" t="s">
        <v>552</v>
      </c>
      <c r="F354" s="255">
        <v>0</v>
      </c>
      <c r="G354" s="49"/>
      <c r="H354" s="49">
        <f>IF(VLOOKUP($D354,$C$5:$AA$496,6,)=0,0,((VLOOKUP($D354,$C$5:$AA$496,6,)/VLOOKUP($D354,$C$5:$AA$496,4,))*$F354))</f>
        <v>0</v>
      </c>
      <c r="I354" s="49">
        <f>IF(VLOOKUP($D354,$C$5:$AA$496,7,)=0,0,((VLOOKUP($D354,$C$5:$AA$496,7,)/VLOOKUP($D354,$C$5:$AA$496,4,))*$F354))</f>
        <v>0</v>
      </c>
      <c r="J354" s="49"/>
      <c r="K354" s="49">
        <f>IF(VLOOKUP($D354,$C$5:$AA$496,9,)=0,0,((VLOOKUP($D354,$C$5:$AA$496,9,)/VLOOKUP($D354,$C$5:$AA$496,4,))*$F354))</f>
        <v>0</v>
      </c>
      <c r="L354" s="49"/>
      <c r="M354" s="49">
        <f>IF(VLOOKUP($D354,$C$5:$AA$496,11,)=0,0,((VLOOKUP($D354,$C$5:$AA$496,11,)/VLOOKUP($D354,$C$5:$AA$496,4,))*$F354))</f>
        <v>0</v>
      </c>
      <c r="N354" s="49"/>
      <c r="O354" s="49">
        <f>IF(VLOOKUP($D354,$C$5:$AA$496,13,)=0,0,((VLOOKUP($D354,$C$5:$AA$496,13,)/VLOOKUP($D354,$C$5:$AA$496,4,))*$F354))</f>
        <v>0</v>
      </c>
      <c r="P354" s="49">
        <f>IF(VLOOKUP($D354,$C$5:$AA$496,14,)=0,0,((VLOOKUP($D354,$C$5:$AA$496,14,)/VLOOKUP($D354,$C$5:$AA$496,4,))*$F354))</f>
        <v>0</v>
      </c>
      <c r="Q354" s="49"/>
      <c r="R354" s="49">
        <f>IF(VLOOKUP($D354,$C$5:$AA$496,16,)=0,0,((VLOOKUP($D354,$C$5:$AA$496,16,)/VLOOKUP($D354,$C$5:$AA$496,4,))*$F354))</f>
        <v>0</v>
      </c>
      <c r="S354" s="49">
        <f>IF(VLOOKUP($D354,$C$5:$AA$496,17,)=0,0,((VLOOKUP($D354,$C$5:$AA$496,17,)/VLOOKUP($D354,$C$5:$AA$496,4,))*$F354))</f>
        <v>0</v>
      </c>
      <c r="T354" s="49"/>
      <c r="U354" s="49">
        <f>IF(VLOOKUP($D354,$C$5:$AA$496,19,)=0,0,((VLOOKUP($D354,$C$5:$AA$496,19,)/VLOOKUP($D354,$C$5:$AA$496,4,))*$F354))</f>
        <v>0</v>
      </c>
      <c r="V354" s="49"/>
      <c r="W354" s="49">
        <f>IF(VLOOKUP($D354,$C$5:$AA$496,21,)=0,0,((VLOOKUP($D354,$C$5:$AA$496,21,)/VLOOKUP($D354,$C$5:$AA$496,4,))*$F354))</f>
        <v>0</v>
      </c>
      <c r="X354" s="49"/>
      <c r="Y354" s="49">
        <f>IF(VLOOKUP($D354,$C$5:$AA$496,23,)=0,0,((VLOOKUP($D354,$C$5:$AA$496,23,)/VLOOKUP($D354,$C$5:$AA$496,4,))*$F354))</f>
        <v>0</v>
      </c>
      <c r="Z354" s="49"/>
      <c r="AA354" s="49">
        <f>IF(VLOOKUP($D354,$C$5:$AA$496,25,)=0,0,((VLOOKUP($D354,$C$5:$AA$496,25,)/VLOOKUP($D354,$C$5:$AA$496,4,))*$F354))</f>
        <v>0</v>
      </c>
      <c r="AB354" s="49">
        <f>SUM(H354:AA354)</f>
        <v>0</v>
      </c>
      <c r="AC354" s="29" t="str">
        <f>IF(ABS(AB354-F354)&lt;1,"ok","err")</f>
        <v>ok</v>
      </c>
    </row>
    <row r="355" spans="1:29" x14ac:dyDescent="0.2"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29"/>
    </row>
    <row r="356" spans="1:29" x14ac:dyDescent="0.2">
      <c r="A356" s="14" t="s">
        <v>791</v>
      </c>
      <c r="C356" s="14" t="s">
        <v>856</v>
      </c>
      <c r="F356" s="254">
        <f>SUM(F350:F355)</f>
        <v>0</v>
      </c>
      <c r="G356" s="65"/>
      <c r="H356" s="65">
        <f>SUM(H350:H355)</f>
        <v>0</v>
      </c>
      <c r="I356" s="65">
        <f>SUM(I350:I355)</f>
        <v>0</v>
      </c>
      <c r="J356" s="65"/>
      <c r="K356" s="65">
        <f>SUM(K350:K355)</f>
        <v>0</v>
      </c>
      <c r="L356" s="65"/>
      <c r="M356" s="65">
        <f>SUM(M350:M355)</f>
        <v>0</v>
      </c>
      <c r="N356" s="65"/>
      <c r="O356" s="65">
        <f>SUM(O350:O355)</f>
        <v>0</v>
      </c>
      <c r="P356" s="65">
        <f>SUM(P350:P355)</f>
        <v>0</v>
      </c>
      <c r="Q356" s="65"/>
      <c r="R356" s="65">
        <f>SUM(R350:R355)</f>
        <v>0</v>
      </c>
      <c r="S356" s="65">
        <f>SUM(S350:S355)</f>
        <v>0</v>
      </c>
      <c r="T356" s="65"/>
      <c r="U356" s="65">
        <f>SUM(U350:U355)</f>
        <v>0</v>
      </c>
      <c r="V356" s="65"/>
      <c r="W356" s="65">
        <f>SUM(W350:W355)</f>
        <v>0</v>
      </c>
      <c r="X356" s="65"/>
      <c r="Y356" s="65">
        <f>SUM(Y350:Y355)</f>
        <v>0</v>
      </c>
      <c r="Z356" s="65"/>
      <c r="AA356" s="65">
        <f>SUM(AA350:AA355)</f>
        <v>0</v>
      </c>
      <c r="AB356" s="49">
        <f>SUM(H356:AA356)</f>
        <v>0</v>
      </c>
      <c r="AC356" s="29" t="str">
        <f>IF(ABS(AB356-F356)&lt;1,"ok","err")</f>
        <v>ok</v>
      </c>
    </row>
    <row r="357" spans="1:29" x14ac:dyDescent="0.2">
      <c r="F357" s="255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C357" s="29"/>
    </row>
    <row r="358" spans="1:29" x14ac:dyDescent="0.2">
      <c r="A358" s="14" t="s">
        <v>792</v>
      </c>
      <c r="C358" s="14" t="s">
        <v>857</v>
      </c>
      <c r="F358" s="255">
        <f>F347+F356</f>
        <v>0</v>
      </c>
      <c r="G358" s="49"/>
      <c r="H358" s="49">
        <f>H347+H356</f>
        <v>0</v>
      </c>
      <c r="I358" s="49">
        <f>I347+I356</f>
        <v>0</v>
      </c>
      <c r="J358" s="49"/>
      <c r="K358" s="49">
        <f>K347+K356</f>
        <v>0</v>
      </c>
      <c r="L358" s="49"/>
      <c r="M358" s="49">
        <f>M347+M356</f>
        <v>0</v>
      </c>
      <c r="N358" s="49"/>
      <c r="O358" s="49">
        <f>O347+O356</f>
        <v>0</v>
      </c>
      <c r="P358" s="49">
        <f>P347+P356</f>
        <v>0</v>
      </c>
      <c r="Q358" s="49"/>
      <c r="R358" s="49">
        <f>R347+R356</f>
        <v>0</v>
      </c>
      <c r="S358" s="49">
        <f>S347+S356</f>
        <v>0</v>
      </c>
      <c r="T358" s="49"/>
      <c r="U358" s="49">
        <f>U347+U356</f>
        <v>0</v>
      </c>
      <c r="V358" s="49"/>
      <c r="W358" s="49">
        <f>W347+W356</f>
        <v>0</v>
      </c>
      <c r="X358" s="49"/>
      <c r="Y358" s="49">
        <f>Y347+Y356</f>
        <v>0</v>
      </c>
      <c r="Z358" s="49"/>
      <c r="AA358" s="49">
        <f>AA347+AA356</f>
        <v>0</v>
      </c>
      <c r="AB358" s="49">
        <f>SUM(H358:AA358)</f>
        <v>0</v>
      </c>
      <c r="AC358" s="29" t="str">
        <f>IF(ABS(AB358-F358)&lt;1,"ok","err")</f>
        <v>ok</v>
      </c>
    </row>
    <row r="359" spans="1:29" x14ac:dyDescent="0.2">
      <c r="A359" s="27"/>
      <c r="Q359" s="14"/>
      <c r="AC359" s="29"/>
    </row>
    <row r="360" spans="1:29" x14ac:dyDescent="0.2">
      <c r="A360" s="27"/>
      <c r="Q360" s="14"/>
      <c r="AC360" s="29"/>
    </row>
    <row r="361" spans="1:29" x14ac:dyDescent="0.2">
      <c r="A361" s="27" t="s">
        <v>473</v>
      </c>
      <c r="Q361" s="14"/>
      <c r="AC361" s="29"/>
    </row>
    <row r="362" spans="1:29" x14ac:dyDescent="0.2">
      <c r="A362" s="27"/>
      <c r="Q362" s="14"/>
      <c r="AC362" s="29"/>
    </row>
    <row r="363" spans="1:29" x14ac:dyDescent="0.2">
      <c r="A363" s="13" t="s">
        <v>96</v>
      </c>
      <c r="Q363" s="14"/>
      <c r="AC363" s="29"/>
    </row>
    <row r="364" spans="1:29" x14ac:dyDescent="0.2">
      <c r="A364" s="14">
        <v>555</v>
      </c>
      <c r="B364" s="14" t="s">
        <v>379</v>
      </c>
      <c r="C364" s="14" t="s">
        <v>530</v>
      </c>
      <c r="D364" s="14" t="s">
        <v>97</v>
      </c>
      <c r="F364" s="254">
        <v>0</v>
      </c>
      <c r="G364" s="65"/>
      <c r="H364" s="49">
        <f>IF(VLOOKUP($D364,$C$5:$AA$496,6,)=0,0,((VLOOKUP($D364,$C$5:$AA$496,6,)/VLOOKUP($D364,$C$5:$AA$496,4,))*$F364))</f>
        <v>0</v>
      </c>
      <c r="I364" s="49">
        <f>IF(VLOOKUP($D364,$C$5:$AA$496,7,)=0,0,((VLOOKUP($D364,$C$5:$AA$496,7,)/VLOOKUP($D364,$C$5:$AA$496,4,))*$F364))</f>
        <v>0</v>
      </c>
      <c r="J364" s="49"/>
      <c r="K364" s="49">
        <f>IF(VLOOKUP($D364,$C$5:$AA$496,9,)=0,0,((VLOOKUP($D364,$C$5:$AA$496,9,)/VLOOKUP($D364,$C$5:$AA$496,4,))*$F364))</f>
        <v>0</v>
      </c>
      <c r="L364" s="49"/>
      <c r="M364" s="49">
        <f>IF(VLOOKUP($D364,$C$5:$AA$496,11,)=0,0,((VLOOKUP($D364,$C$5:$AA$496,11,)/VLOOKUP($D364,$C$5:$AA$496,4,))*$F364))</f>
        <v>0</v>
      </c>
      <c r="N364" s="49"/>
      <c r="O364" s="49">
        <f>IF(VLOOKUP($D364,$C$5:$AA$496,13,)=0,0,((VLOOKUP($D364,$C$5:$AA$496,13,)/VLOOKUP($D364,$C$5:$AA$496,4,))*$F364))</f>
        <v>0</v>
      </c>
      <c r="P364" s="49">
        <f>IF(VLOOKUP($D364,$C$5:$AA$496,14,)=0,0,((VLOOKUP($D364,$C$5:$AA$496,14,)/VLOOKUP($D364,$C$5:$AA$496,4,))*$F364))</f>
        <v>0</v>
      </c>
      <c r="Q364" s="49"/>
      <c r="R364" s="49">
        <f>IF(VLOOKUP($D364,$C$5:$AA$496,16,)=0,0,((VLOOKUP($D364,$C$5:$AA$496,16,)/VLOOKUP($D364,$C$5:$AA$496,4,))*$F364))</f>
        <v>0</v>
      </c>
      <c r="S364" s="49">
        <f>IF(VLOOKUP($D364,$C$5:$AA$496,17,)=0,0,((VLOOKUP($D364,$C$5:$AA$496,17,)/VLOOKUP($D364,$C$5:$AA$496,4,))*$F364))</f>
        <v>0</v>
      </c>
      <c r="T364" s="49"/>
      <c r="U364" s="49">
        <f>IF(VLOOKUP($D364,$C$5:$AA$496,19,)=0,0,((VLOOKUP($D364,$C$5:$AA$496,19,)/VLOOKUP($D364,$C$5:$AA$496,4,))*$F364))</f>
        <v>0</v>
      </c>
      <c r="V364" s="49"/>
      <c r="W364" s="49">
        <f>IF(VLOOKUP($D364,$C$5:$AA$496,21,)=0,0,((VLOOKUP($D364,$C$5:$AA$496,21,)/VLOOKUP($D364,$C$5:$AA$496,4,))*$F364))</f>
        <v>0</v>
      </c>
      <c r="X364" s="49"/>
      <c r="Y364" s="49">
        <f>IF(VLOOKUP($D364,$C$5:$AA$496,23,)=0,0,((VLOOKUP($D364,$C$5:$AA$496,23,)/VLOOKUP($D364,$C$5:$AA$496,4,))*$F364))</f>
        <v>0</v>
      </c>
      <c r="Z364" s="49"/>
      <c r="AA364" s="49">
        <f>IF(VLOOKUP($D364,$C$5:$AA$496,25,)=0,0,((VLOOKUP($D364,$C$5:$AA$496,25,)/VLOOKUP($D364,$C$5:$AA$496,4,))*$F364))</f>
        <v>0</v>
      </c>
      <c r="AB364" s="49">
        <f>SUM(H364:AA364)</f>
        <v>0</v>
      </c>
      <c r="AC364" s="29" t="str">
        <f>IF(ABS(AB364-F364)&lt;1,"ok","err")</f>
        <v>ok</v>
      </c>
    </row>
    <row r="365" spans="1:29" x14ac:dyDescent="0.2">
      <c r="A365" s="14">
        <v>557</v>
      </c>
      <c r="B365" s="14" t="s">
        <v>398</v>
      </c>
      <c r="C365" s="14" t="s">
        <v>475</v>
      </c>
      <c r="D365" s="14" t="s">
        <v>97</v>
      </c>
      <c r="F365" s="255"/>
      <c r="G365" s="49"/>
      <c r="H365" s="49">
        <f>IF(VLOOKUP($D365,$C$5:$AA$496,6,)=0,0,((VLOOKUP($D365,$C$5:$AA$496,6,)/VLOOKUP($D365,$C$5:$AA$496,4,))*$F365))</f>
        <v>0</v>
      </c>
      <c r="I365" s="49">
        <f>IF(VLOOKUP($D365,$C$5:$AA$496,7,)=0,0,((VLOOKUP($D365,$C$5:$AA$496,7,)/VLOOKUP($D365,$C$5:$AA$496,4,))*$F365))</f>
        <v>0</v>
      </c>
      <c r="J365" s="49"/>
      <c r="K365" s="49">
        <f>IF(VLOOKUP($D365,$C$5:$AA$496,9,)=0,0,((VLOOKUP($D365,$C$5:$AA$496,9,)/VLOOKUP($D365,$C$5:$AA$496,4,))*$F365))</f>
        <v>0</v>
      </c>
      <c r="L365" s="49"/>
      <c r="M365" s="49">
        <f>IF(VLOOKUP($D365,$C$5:$AA$496,11,)=0,0,((VLOOKUP($D365,$C$5:$AA$496,11,)/VLOOKUP($D365,$C$5:$AA$496,4,))*$F365))</f>
        <v>0</v>
      </c>
      <c r="N365" s="49"/>
      <c r="O365" s="49">
        <f>IF(VLOOKUP($D365,$C$5:$AA$496,13,)=0,0,((VLOOKUP($D365,$C$5:$AA$496,13,)/VLOOKUP($D365,$C$5:$AA$496,4,))*$F365))</f>
        <v>0</v>
      </c>
      <c r="P365" s="49">
        <f>IF(VLOOKUP($D365,$C$5:$AA$496,14,)=0,0,((VLOOKUP($D365,$C$5:$AA$496,14,)/VLOOKUP($D365,$C$5:$AA$496,4,))*$F365))</f>
        <v>0</v>
      </c>
      <c r="Q365" s="49"/>
      <c r="R365" s="49">
        <f>IF(VLOOKUP($D365,$C$5:$AA$496,16,)=0,0,((VLOOKUP($D365,$C$5:$AA$496,16,)/VLOOKUP($D365,$C$5:$AA$496,4,))*$F365))</f>
        <v>0</v>
      </c>
      <c r="S365" s="49">
        <f>IF(VLOOKUP($D365,$C$5:$AA$496,17,)=0,0,((VLOOKUP($D365,$C$5:$AA$496,17,)/VLOOKUP($D365,$C$5:$AA$496,4,))*$F365))</f>
        <v>0</v>
      </c>
      <c r="T365" s="49"/>
      <c r="U365" s="49">
        <f>IF(VLOOKUP($D365,$C$5:$AA$496,19,)=0,0,((VLOOKUP($D365,$C$5:$AA$496,19,)/VLOOKUP($D365,$C$5:$AA$496,4,))*$F365))</f>
        <v>0</v>
      </c>
      <c r="V365" s="49"/>
      <c r="W365" s="49">
        <f>IF(VLOOKUP($D365,$C$5:$AA$496,21,)=0,0,((VLOOKUP($D365,$C$5:$AA$496,21,)/VLOOKUP($D365,$C$5:$AA$496,4,))*$F365))</f>
        <v>0</v>
      </c>
      <c r="X365" s="49"/>
      <c r="Y365" s="49">
        <f>IF(VLOOKUP($D365,$C$5:$AA$496,23,)=0,0,((VLOOKUP($D365,$C$5:$AA$496,23,)/VLOOKUP($D365,$C$5:$AA$496,4,))*$F365))</f>
        <v>0</v>
      </c>
      <c r="Z365" s="49"/>
      <c r="AA365" s="49">
        <f>IF(VLOOKUP($D365,$C$5:$AA$496,25,)=0,0,((VLOOKUP($D365,$C$5:$AA$496,25,)/VLOOKUP($D365,$C$5:$AA$496,4,))*$F365))</f>
        <v>0</v>
      </c>
      <c r="AB365" s="49">
        <f>SUM(H365:AA365)</f>
        <v>0</v>
      </c>
      <c r="AC365" s="29" t="str">
        <f>IF(ABS(AB365-F365)&lt;1,"ok","err")</f>
        <v>ok</v>
      </c>
    </row>
    <row r="366" spans="1:29" x14ac:dyDescent="0.2">
      <c r="F366" s="255"/>
      <c r="G366" s="4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49"/>
      <c r="AC366" s="29"/>
    </row>
    <row r="367" spans="1:29" x14ac:dyDescent="0.2">
      <c r="B367" s="14" t="s">
        <v>532</v>
      </c>
      <c r="C367" s="14" t="s">
        <v>474</v>
      </c>
      <c r="F367" s="254">
        <f>SUM(F364:F366)</f>
        <v>0</v>
      </c>
      <c r="G367" s="65"/>
      <c r="H367" s="65">
        <f>SUM(H364:H366)</f>
        <v>0</v>
      </c>
      <c r="I367" s="65">
        <f>SUM(I364:I366)</f>
        <v>0</v>
      </c>
      <c r="J367" s="65"/>
      <c r="K367" s="65">
        <f>SUM(K364:K366)</f>
        <v>0</v>
      </c>
      <c r="L367" s="65"/>
      <c r="M367" s="65">
        <f>SUM(M364:M366)</f>
        <v>0</v>
      </c>
      <c r="N367" s="65"/>
      <c r="O367" s="65">
        <f>SUM(O364:O366)</f>
        <v>0</v>
      </c>
      <c r="P367" s="65">
        <f>SUM(P364:P366)</f>
        <v>0</v>
      </c>
      <c r="Q367" s="65"/>
      <c r="R367" s="65">
        <f>SUM(R364:R366)</f>
        <v>0</v>
      </c>
      <c r="S367" s="65">
        <f>SUM(S364:S366)</f>
        <v>0</v>
      </c>
      <c r="T367" s="65"/>
      <c r="U367" s="65">
        <f>SUM(U364:U366)</f>
        <v>0</v>
      </c>
      <c r="V367" s="65"/>
      <c r="W367" s="65">
        <f>SUM(W364:W366)</f>
        <v>0</v>
      </c>
      <c r="X367" s="65"/>
      <c r="Y367" s="65">
        <f>SUM(Y364:Y366)</f>
        <v>0</v>
      </c>
      <c r="Z367" s="65"/>
      <c r="AA367" s="65">
        <f>SUM(AA364:AA366)</f>
        <v>0</v>
      </c>
      <c r="AB367" s="49">
        <f>SUM(H367:AA367)</f>
        <v>0</v>
      </c>
      <c r="AC367" s="29" t="str">
        <f>IF(ABS(AB367-F367)&lt;1,"ok","err")</f>
        <v>ok</v>
      </c>
    </row>
    <row r="368" spans="1:29" x14ac:dyDescent="0.2">
      <c r="F368" s="254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49"/>
      <c r="AC368" s="29"/>
    </row>
    <row r="369" spans="1:29" x14ac:dyDescent="0.2">
      <c r="A369" s="13" t="s">
        <v>534</v>
      </c>
      <c r="F369" s="254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49"/>
      <c r="AC369" s="29"/>
    </row>
    <row r="370" spans="1:29" x14ac:dyDescent="0.2">
      <c r="A370" s="14">
        <v>560</v>
      </c>
      <c r="B370" s="14" t="s">
        <v>374</v>
      </c>
      <c r="C370" s="14" t="s">
        <v>531</v>
      </c>
      <c r="D370" s="14" t="s">
        <v>390</v>
      </c>
      <c r="F370" s="254">
        <v>0</v>
      </c>
      <c r="G370" s="65"/>
      <c r="H370" s="49">
        <f t="shared" ref="H370:H377" si="203">IF((VLOOKUP($D370,$C$5:$AA$496,6,)=0),0,((VLOOKUP($D370,$C$5:$AA$496,6,)/VLOOKUP($D370,$C$5:$AA$496,4,))*$F370))</f>
        <v>0</v>
      </c>
      <c r="I370" s="49">
        <f t="shared" ref="I370:I377" si="204">IF((VLOOKUP($D370,$C$5:$AA$496,7,)=0),0,((VLOOKUP($D370,$C$5:$AA$496,7,)/VLOOKUP($D370,$C$5:$AA$496,4,))*$F370))</f>
        <v>0</v>
      </c>
      <c r="J370" s="49"/>
      <c r="K370" s="49">
        <f t="shared" ref="K370:K377" si="205">IF((VLOOKUP($D370,$C$5:$AA$496,9,)=0),0,((VLOOKUP($D370,$C$5:$AA$496,9,)/VLOOKUP($D370,$C$5:$AA$496,4,))*$F370))</f>
        <v>0</v>
      </c>
      <c r="L370" s="49"/>
      <c r="M370" s="49">
        <f t="shared" ref="M370:M377" si="206">IF((VLOOKUP($D370,$C$5:$AA$496,11,)=0),0,((VLOOKUP($D370,$C$5:$AA$496,11,)/VLOOKUP($D370,$C$5:$AA$496,4,))*$F370))</f>
        <v>0</v>
      </c>
      <c r="N370" s="49"/>
      <c r="O370" s="49">
        <f t="shared" ref="O370:O377" si="207">IF((VLOOKUP($D370,$C$5:$AA$496,13,)=0),0,((VLOOKUP($D370,$C$5:$AA$496,13,)/VLOOKUP($D370,$C$5:$AA$496,4,))*$F370))</f>
        <v>0</v>
      </c>
      <c r="P370" s="49">
        <f t="shared" ref="P370:P377" si="208">IF((VLOOKUP($D370,$C$5:$AA$496,14,)=0),0,((VLOOKUP($D370,$C$5:$AA$496,14,)/VLOOKUP($D370,$C$5:$AA$496,4,))*$F370))</f>
        <v>0</v>
      </c>
      <c r="Q370" s="49"/>
      <c r="R370" s="49">
        <f t="shared" ref="R370:R377" si="209">IF((VLOOKUP($D370,$C$5:$AA$496,16,)=0),0,((VLOOKUP($D370,$C$5:$AA$496,16,)/VLOOKUP($D370,$C$5:$AA$496,4,))*$F370))</f>
        <v>0</v>
      </c>
      <c r="S370" s="49">
        <f t="shared" ref="S370:S377" si="210">IF((VLOOKUP($D370,$C$5:$AA$496,17,)=0),0,((VLOOKUP($D370,$C$5:$AA$496,17,)/VLOOKUP($D370,$C$5:$AA$496,4,))*$F370))</f>
        <v>0</v>
      </c>
      <c r="T370" s="49"/>
      <c r="U370" s="49">
        <f t="shared" ref="U370:U377" si="211">IF((VLOOKUP($D370,$C$5:$AA$496,19,)=0),0,((VLOOKUP($D370,$C$5:$AA$496,19,)/VLOOKUP($D370,$C$5:$AA$496,4,))*$F370))</f>
        <v>0</v>
      </c>
      <c r="V370" s="49"/>
      <c r="W370" s="49">
        <f t="shared" ref="W370:W377" si="212">IF((VLOOKUP($D370,$C$5:$AA$496,21,)=0),0,((VLOOKUP($D370,$C$5:$AA$496,21,)/VLOOKUP($D370,$C$5:$AA$496,4,))*$F370))</f>
        <v>0</v>
      </c>
      <c r="X370" s="49"/>
      <c r="Y370" s="49">
        <f t="shared" ref="Y370:Y377" si="213">IF((VLOOKUP($D370,$C$5:$AA$496,23,)=0),0,((VLOOKUP($D370,$C$5:$AA$496,23,)/VLOOKUP($D370,$C$5:$AA$496,4,))*$F370))</f>
        <v>0</v>
      </c>
      <c r="Z370" s="49"/>
      <c r="AA370" s="49">
        <f t="shared" ref="AA370:AA377" si="214">IF((VLOOKUP($D370,$C$5:$AA$496,25,)=0),0,((VLOOKUP($D370,$C$5:$AA$496,25,)/VLOOKUP($D370,$C$5:$AA$496,4,))*$F370))</f>
        <v>0</v>
      </c>
      <c r="AB370" s="49">
        <f t="shared" ref="AB370:AB377" si="215">SUM(H370:AA370)</f>
        <v>0</v>
      </c>
      <c r="AC370" s="29" t="str">
        <f t="shared" ref="AC370:AC377" si="216">IF(ABS(AB370-F370)&lt;1,"ok","err")</f>
        <v>ok</v>
      </c>
    </row>
    <row r="371" spans="1:29" x14ac:dyDescent="0.2">
      <c r="A371" s="14">
        <v>561</v>
      </c>
      <c r="B371" s="14" t="s">
        <v>101</v>
      </c>
      <c r="C371" s="14" t="s">
        <v>476</v>
      </c>
      <c r="D371" s="14" t="s">
        <v>390</v>
      </c>
      <c r="F371" s="255">
        <v>0</v>
      </c>
      <c r="G371" s="49"/>
      <c r="H371" s="49">
        <f t="shared" si="203"/>
        <v>0</v>
      </c>
      <c r="I371" s="49">
        <f t="shared" si="204"/>
        <v>0</v>
      </c>
      <c r="J371" s="49"/>
      <c r="K371" s="49">
        <f t="shared" si="205"/>
        <v>0</v>
      </c>
      <c r="L371" s="49"/>
      <c r="M371" s="49">
        <f t="shared" si="206"/>
        <v>0</v>
      </c>
      <c r="N371" s="49"/>
      <c r="O371" s="49">
        <f t="shared" si="207"/>
        <v>0</v>
      </c>
      <c r="P371" s="49">
        <f t="shared" si="208"/>
        <v>0</v>
      </c>
      <c r="Q371" s="49"/>
      <c r="R371" s="49">
        <f t="shared" si="209"/>
        <v>0</v>
      </c>
      <c r="S371" s="49">
        <f t="shared" si="210"/>
        <v>0</v>
      </c>
      <c r="T371" s="49"/>
      <c r="U371" s="49">
        <f t="shared" si="211"/>
        <v>0</v>
      </c>
      <c r="V371" s="49"/>
      <c r="W371" s="49">
        <f t="shared" si="212"/>
        <v>0</v>
      </c>
      <c r="X371" s="49"/>
      <c r="Y371" s="49">
        <f t="shared" si="213"/>
        <v>0</v>
      </c>
      <c r="Z371" s="49"/>
      <c r="AA371" s="49">
        <f t="shared" si="214"/>
        <v>0</v>
      </c>
      <c r="AB371" s="49">
        <f t="shared" si="215"/>
        <v>0</v>
      </c>
      <c r="AC371" s="29" t="str">
        <f t="shared" si="216"/>
        <v>ok</v>
      </c>
    </row>
    <row r="372" spans="1:29" x14ac:dyDescent="0.2">
      <c r="A372" s="14">
        <v>562</v>
      </c>
      <c r="B372" s="14" t="s">
        <v>372</v>
      </c>
      <c r="C372" s="14" t="s">
        <v>477</v>
      </c>
      <c r="D372" s="14" t="s">
        <v>390</v>
      </c>
      <c r="F372" s="255">
        <v>0</v>
      </c>
      <c r="G372" s="49"/>
      <c r="H372" s="49">
        <f t="shared" si="203"/>
        <v>0</v>
      </c>
      <c r="I372" s="49">
        <f t="shared" si="204"/>
        <v>0</v>
      </c>
      <c r="J372" s="49"/>
      <c r="K372" s="49">
        <f t="shared" si="205"/>
        <v>0</v>
      </c>
      <c r="L372" s="49"/>
      <c r="M372" s="49">
        <f t="shared" si="206"/>
        <v>0</v>
      </c>
      <c r="N372" s="49"/>
      <c r="O372" s="49">
        <f t="shared" si="207"/>
        <v>0</v>
      </c>
      <c r="P372" s="49">
        <f t="shared" si="208"/>
        <v>0</v>
      </c>
      <c r="Q372" s="49"/>
      <c r="R372" s="49">
        <f t="shared" si="209"/>
        <v>0</v>
      </c>
      <c r="S372" s="49">
        <f t="shared" si="210"/>
        <v>0</v>
      </c>
      <c r="T372" s="49"/>
      <c r="U372" s="49">
        <f t="shared" si="211"/>
        <v>0</v>
      </c>
      <c r="V372" s="49"/>
      <c r="W372" s="49">
        <f t="shared" si="212"/>
        <v>0</v>
      </c>
      <c r="X372" s="49"/>
      <c r="Y372" s="49">
        <f t="shared" si="213"/>
        <v>0</v>
      </c>
      <c r="Z372" s="49"/>
      <c r="AA372" s="49">
        <f t="shared" si="214"/>
        <v>0</v>
      </c>
      <c r="AB372" s="49">
        <f t="shared" si="215"/>
        <v>0</v>
      </c>
      <c r="AC372" s="29" t="str">
        <f t="shared" si="216"/>
        <v>ok</v>
      </c>
    </row>
    <row r="373" spans="1:29" x14ac:dyDescent="0.2">
      <c r="A373" s="14">
        <v>563</v>
      </c>
      <c r="B373" s="14" t="s">
        <v>103</v>
      </c>
      <c r="C373" s="14" t="s">
        <v>478</v>
      </c>
      <c r="D373" s="14" t="s">
        <v>390</v>
      </c>
      <c r="F373" s="255">
        <v>0</v>
      </c>
      <c r="G373" s="49"/>
      <c r="H373" s="49">
        <f t="shared" si="203"/>
        <v>0</v>
      </c>
      <c r="I373" s="49">
        <f t="shared" si="204"/>
        <v>0</v>
      </c>
      <c r="J373" s="49"/>
      <c r="K373" s="49">
        <f t="shared" si="205"/>
        <v>0</v>
      </c>
      <c r="L373" s="49"/>
      <c r="M373" s="49">
        <f t="shared" si="206"/>
        <v>0</v>
      </c>
      <c r="N373" s="49"/>
      <c r="O373" s="49">
        <f t="shared" si="207"/>
        <v>0</v>
      </c>
      <c r="P373" s="49">
        <f t="shared" si="208"/>
        <v>0</v>
      </c>
      <c r="Q373" s="49"/>
      <c r="R373" s="49">
        <f t="shared" si="209"/>
        <v>0</v>
      </c>
      <c r="S373" s="49">
        <f t="shared" si="210"/>
        <v>0</v>
      </c>
      <c r="T373" s="49"/>
      <c r="U373" s="49">
        <f t="shared" si="211"/>
        <v>0</v>
      </c>
      <c r="V373" s="49"/>
      <c r="W373" s="49">
        <f t="shared" si="212"/>
        <v>0</v>
      </c>
      <c r="X373" s="49"/>
      <c r="Y373" s="49">
        <f t="shared" si="213"/>
        <v>0</v>
      </c>
      <c r="Z373" s="49"/>
      <c r="AA373" s="49">
        <f t="shared" si="214"/>
        <v>0</v>
      </c>
      <c r="AB373" s="49">
        <f t="shared" si="215"/>
        <v>0</v>
      </c>
      <c r="AC373" s="29" t="str">
        <f t="shared" si="216"/>
        <v>ok</v>
      </c>
    </row>
    <row r="374" spans="1:29" x14ac:dyDescent="0.2">
      <c r="A374" s="14">
        <v>566</v>
      </c>
      <c r="B374" s="14" t="s">
        <v>585</v>
      </c>
      <c r="C374" s="14" t="s">
        <v>589</v>
      </c>
      <c r="D374" s="14" t="s">
        <v>390</v>
      </c>
      <c r="F374" s="255">
        <v>0</v>
      </c>
      <c r="G374" s="49"/>
      <c r="H374" s="49">
        <f t="shared" si="203"/>
        <v>0</v>
      </c>
      <c r="I374" s="49">
        <f t="shared" si="204"/>
        <v>0</v>
      </c>
      <c r="J374" s="49"/>
      <c r="K374" s="49">
        <f t="shared" si="205"/>
        <v>0</v>
      </c>
      <c r="L374" s="49"/>
      <c r="M374" s="49">
        <f t="shared" si="206"/>
        <v>0</v>
      </c>
      <c r="N374" s="49"/>
      <c r="O374" s="49">
        <f t="shared" si="207"/>
        <v>0</v>
      </c>
      <c r="P374" s="49">
        <f t="shared" si="208"/>
        <v>0</v>
      </c>
      <c r="Q374" s="49"/>
      <c r="R374" s="49">
        <f t="shared" si="209"/>
        <v>0</v>
      </c>
      <c r="S374" s="49">
        <f t="shared" si="210"/>
        <v>0</v>
      </c>
      <c r="T374" s="49"/>
      <c r="U374" s="49">
        <f t="shared" si="211"/>
        <v>0</v>
      </c>
      <c r="V374" s="49"/>
      <c r="W374" s="49">
        <f t="shared" si="212"/>
        <v>0</v>
      </c>
      <c r="X374" s="49"/>
      <c r="Y374" s="49">
        <f t="shared" si="213"/>
        <v>0</v>
      </c>
      <c r="Z374" s="49"/>
      <c r="AA374" s="49">
        <f t="shared" si="214"/>
        <v>0</v>
      </c>
      <c r="AB374" s="49">
        <f>SUM(H374:AA374)</f>
        <v>0</v>
      </c>
      <c r="AC374" s="29" t="str">
        <f>IF(ABS(AB374-F374)&lt;1,"ok","err")</f>
        <v>ok</v>
      </c>
    </row>
    <row r="375" spans="1:29" x14ac:dyDescent="0.2">
      <c r="A375" s="14">
        <v>568</v>
      </c>
      <c r="B375" s="14" t="s">
        <v>373</v>
      </c>
      <c r="C375" s="14" t="s">
        <v>479</v>
      </c>
      <c r="D375" s="14" t="s">
        <v>390</v>
      </c>
      <c r="F375" s="255">
        <v>0</v>
      </c>
      <c r="G375" s="49"/>
      <c r="H375" s="49">
        <f t="shared" si="203"/>
        <v>0</v>
      </c>
      <c r="I375" s="49">
        <f t="shared" si="204"/>
        <v>0</v>
      </c>
      <c r="J375" s="49"/>
      <c r="K375" s="49">
        <f t="shared" si="205"/>
        <v>0</v>
      </c>
      <c r="L375" s="49"/>
      <c r="M375" s="49">
        <f t="shared" si="206"/>
        <v>0</v>
      </c>
      <c r="N375" s="49"/>
      <c r="O375" s="49">
        <f t="shared" si="207"/>
        <v>0</v>
      </c>
      <c r="P375" s="49">
        <f t="shared" si="208"/>
        <v>0</v>
      </c>
      <c r="Q375" s="49"/>
      <c r="R375" s="49">
        <f t="shared" si="209"/>
        <v>0</v>
      </c>
      <c r="S375" s="49">
        <f t="shared" si="210"/>
        <v>0</v>
      </c>
      <c r="T375" s="49"/>
      <c r="U375" s="49">
        <f t="shared" si="211"/>
        <v>0</v>
      </c>
      <c r="V375" s="49"/>
      <c r="W375" s="49">
        <f t="shared" si="212"/>
        <v>0</v>
      </c>
      <c r="X375" s="49"/>
      <c r="Y375" s="49">
        <f t="shared" si="213"/>
        <v>0</v>
      </c>
      <c r="Z375" s="49"/>
      <c r="AA375" s="49">
        <f t="shared" si="214"/>
        <v>0</v>
      </c>
      <c r="AB375" s="49">
        <f t="shared" si="215"/>
        <v>0</v>
      </c>
      <c r="AC375" s="29" t="str">
        <f t="shared" si="216"/>
        <v>ok</v>
      </c>
    </row>
    <row r="376" spans="1:29" x14ac:dyDescent="0.2">
      <c r="A376" s="14">
        <v>570</v>
      </c>
      <c r="B376" s="14" t="s">
        <v>375</v>
      </c>
      <c r="C376" s="14" t="s">
        <v>480</v>
      </c>
      <c r="D376" s="14" t="s">
        <v>390</v>
      </c>
      <c r="F376" s="255">
        <v>0</v>
      </c>
      <c r="G376" s="49"/>
      <c r="H376" s="49">
        <f t="shared" si="203"/>
        <v>0</v>
      </c>
      <c r="I376" s="49">
        <f t="shared" si="204"/>
        <v>0</v>
      </c>
      <c r="J376" s="49"/>
      <c r="K376" s="49">
        <f t="shared" si="205"/>
        <v>0</v>
      </c>
      <c r="L376" s="49"/>
      <c r="M376" s="49">
        <f t="shared" si="206"/>
        <v>0</v>
      </c>
      <c r="N376" s="49"/>
      <c r="O376" s="49">
        <f t="shared" si="207"/>
        <v>0</v>
      </c>
      <c r="P376" s="49">
        <f t="shared" si="208"/>
        <v>0</v>
      </c>
      <c r="Q376" s="49"/>
      <c r="R376" s="49">
        <f t="shared" si="209"/>
        <v>0</v>
      </c>
      <c r="S376" s="49">
        <f t="shared" si="210"/>
        <v>0</v>
      </c>
      <c r="T376" s="49"/>
      <c r="U376" s="49">
        <f t="shared" si="211"/>
        <v>0</v>
      </c>
      <c r="V376" s="49"/>
      <c r="W376" s="49">
        <f t="shared" si="212"/>
        <v>0</v>
      </c>
      <c r="X376" s="49"/>
      <c r="Y376" s="49">
        <f t="shared" si="213"/>
        <v>0</v>
      </c>
      <c r="Z376" s="49"/>
      <c r="AA376" s="49">
        <f t="shared" si="214"/>
        <v>0</v>
      </c>
      <c r="AB376" s="49">
        <f t="shared" si="215"/>
        <v>0</v>
      </c>
      <c r="AC376" s="29" t="str">
        <f t="shared" si="216"/>
        <v>ok</v>
      </c>
    </row>
    <row r="377" spans="1:29" x14ac:dyDescent="0.2">
      <c r="A377" s="14">
        <v>571</v>
      </c>
      <c r="B377" s="14" t="s">
        <v>376</v>
      </c>
      <c r="C377" s="14" t="s">
        <v>481</v>
      </c>
      <c r="D377" s="14" t="s">
        <v>390</v>
      </c>
      <c r="F377" s="255">
        <v>0</v>
      </c>
      <c r="G377" s="49"/>
      <c r="H377" s="49">
        <f t="shared" si="203"/>
        <v>0</v>
      </c>
      <c r="I377" s="49">
        <f t="shared" si="204"/>
        <v>0</v>
      </c>
      <c r="J377" s="49"/>
      <c r="K377" s="49">
        <f t="shared" si="205"/>
        <v>0</v>
      </c>
      <c r="L377" s="49"/>
      <c r="M377" s="49">
        <f t="shared" si="206"/>
        <v>0</v>
      </c>
      <c r="N377" s="49"/>
      <c r="O377" s="49">
        <f t="shared" si="207"/>
        <v>0</v>
      </c>
      <c r="P377" s="49">
        <f t="shared" si="208"/>
        <v>0</v>
      </c>
      <c r="Q377" s="49"/>
      <c r="R377" s="49">
        <f t="shared" si="209"/>
        <v>0</v>
      </c>
      <c r="S377" s="49">
        <f t="shared" si="210"/>
        <v>0</v>
      </c>
      <c r="T377" s="49"/>
      <c r="U377" s="49">
        <f t="shared" si="211"/>
        <v>0</v>
      </c>
      <c r="V377" s="49"/>
      <c r="W377" s="49">
        <f t="shared" si="212"/>
        <v>0</v>
      </c>
      <c r="X377" s="49"/>
      <c r="Y377" s="49">
        <f t="shared" si="213"/>
        <v>0</v>
      </c>
      <c r="Z377" s="49"/>
      <c r="AA377" s="49">
        <f t="shared" si="214"/>
        <v>0</v>
      </c>
      <c r="AB377" s="49">
        <f t="shared" si="215"/>
        <v>0</v>
      </c>
      <c r="AC377" s="29" t="str">
        <f t="shared" si="216"/>
        <v>ok</v>
      </c>
    </row>
    <row r="378" spans="1:29" x14ac:dyDescent="0.2">
      <c r="F378" s="254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49"/>
      <c r="AC378" s="29"/>
    </row>
    <row r="379" spans="1:29" x14ac:dyDescent="0.2">
      <c r="A379" s="14" t="s">
        <v>533</v>
      </c>
      <c r="F379" s="256">
        <f>SUM(F370:F377)</f>
        <v>0</v>
      </c>
      <c r="G379" s="90"/>
      <c r="H379" s="90">
        <f>SUM(H370:H377)</f>
        <v>0</v>
      </c>
      <c r="I379" s="90">
        <f>SUM(I370:I377)</f>
        <v>0</v>
      </c>
      <c r="J379" s="90"/>
      <c r="K379" s="90">
        <f>SUM(K370:K377)</f>
        <v>0</v>
      </c>
      <c r="L379" s="90"/>
      <c r="M379" s="90">
        <f>SUM(M370:M377)</f>
        <v>0</v>
      </c>
      <c r="N379" s="90"/>
      <c r="O379" s="90">
        <f>SUM(O370:O377)</f>
        <v>0</v>
      </c>
      <c r="P379" s="90">
        <f>SUM(P370:P377)</f>
        <v>0</v>
      </c>
      <c r="Q379" s="90"/>
      <c r="R379" s="90">
        <f>SUM(R370:R377)</f>
        <v>0</v>
      </c>
      <c r="S379" s="90">
        <f>SUM(S370:S377)</f>
        <v>0</v>
      </c>
      <c r="T379" s="90"/>
      <c r="U379" s="90">
        <f>SUM(U370:U377)</f>
        <v>0</v>
      </c>
      <c r="V379" s="90"/>
      <c r="W379" s="90">
        <f>SUM(W370:W377)</f>
        <v>0</v>
      </c>
      <c r="X379" s="90"/>
      <c r="Y379" s="90">
        <f>SUM(Y370:Y377)</f>
        <v>0</v>
      </c>
      <c r="Z379" s="90"/>
      <c r="AA379" s="90">
        <f>SUM(AA370:AA377)</f>
        <v>0</v>
      </c>
      <c r="AB379" s="65">
        <f>SUM(H379:AA379)</f>
        <v>0</v>
      </c>
      <c r="AC379" s="29" t="str">
        <f>IF(ABS(AB379-F379)&lt;1,"ok","err")</f>
        <v>ok</v>
      </c>
    </row>
    <row r="380" spans="1:29" x14ac:dyDescent="0.2">
      <c r="Q380" s="14"/>
      <c r="AC380" s="29"/>
    </row>
    <row r="381" spans="1:29" x14ac:dyDescent="0.2">
      <c r="A381" s="13" t="s">
        <v>535</v>
      </c>
      <c r="Q381" s="14"/>
      <c r="AC381" s="29"/>
    </row>
    <row r="382" spans="1:29" x14ac:dyDescent="0.2">
      <c r="A382" s="14">
        <v>580</v>
      </c>
      <c r="B382" s="14" t="s">
        <v>99</v>
      </c>
      <c r="C382" s="14" t="s">
        <v>482</v>
      </c>
      <c r="D382" s="14" t="s">
        <v>16</v>
      </c>
      <c r="F382" s="254">
        <v>240358.2</v>
      </c>
      <c r="G382" s="190"/>
      <c r="H382" s="49">
        <f t="shared" ref="H382:H392" si="217">IF(VLOOKUP($D382,$C$5:$AA$496,6,)=0,0,((VLOOKUP($D382,$C$5:$AA$496,6,)/VLOOKUP($D382,$C$5:$AA$496,4,))*$F382))</f>
        <v>0</v>
      </c>
      <c r="I382" s="49">
        <f t="shared" ref="I382:I392" si="218">IF(VLOOKUP($D382,$C$5:$AA$496,7,)=0,0,((VLOOKUP($D382,$C$5:$AA$496,7,)/VLOOKUP($D382,$C$5:$AA$496,4,))*$F382))</f>
        <v>0</v>
      </c>
      <c r="J382" s="49"/>
      <c r="K382" s="49">
        <f t="shared" ref="K382:K392" si="219">IF(VLOOKUP($D382,$C$5:$AA$496,9,)=0,0,((VLOOKUP($D382,$C$5:$AA$496,9,)/VLOOKUP($D382,$C$5:$AA$496,4,))*$F382))</f>
        <v>0</v>
      </c>
      <c r="L382" s="49"/>
      <c r="M382" s="49">
        <f t="shared" ref="M382:M392" si="220">IF(VLOOKUP($D382,$C$5:$AA$496,11,)=0,0,((VLOOKUP($D382,$C$5:$AA$496,11,)/VLOOKUP($D382,$C$5:$AA$496,4,))*$F382))</f>
        <v>30953.848959081271</v>
      </c>
      <c r="N382" s="49"/>
      <c r="O382" s="49">
        <f t="shared" ref="O382:O392" si="221">IF(VLOOKUP($D382,$C$5:$AA$496,13,)=0,0,((VLOOKUP($D382,$C$5:$AA$496,13,)/VLOOKUP($D382,$C$5:$AA$496,4,))*$F382))</f>
        <v>67304.114809909399</v>
      </c>
      <c r="P382" s="49">
        <f t="shared" ref="P382:P392" si="222">IF(VLOOKUP($D382,$C$5:$AA$496,14,)=0,0,((VLOOKUP($D382,$C$5:$AA$496,14,)/VLOOKUP($D382,$C$5:$AA$496,4,))*$F382))</f>
        <v>114699.96501554533</v>
      </c>
      <c r="Q382" s="49"/>
      <c r="R382" s="49">
        <f t="shared" ref="R382:R392" si="223">IF(VLOOKUP($D382,$C$5:$AA$496,16,)=0,0,((VLOOKUP($D382,$C$5:$AA$496,16,)/VLOOKUP($D382,$C$5:$AA$496,4,))*$F382))</f>
        <v>0</v>
      </c>
      <c r="S382" s="49">
        <f t="shared" ref="S382:S392" si="224">IF(VLOOKUP($D382,$C$5:$AA$496,17,)=0,0,((VLOOKUP($D382,$C$5:$AA$496,17,)/VLOOKUP($D382,$C$5:$AA$496,4,))*$F382))</f>
        <v>9259.9233225977332</v>
      </c>
      <c r="T382" s="49"/>
      <c r="U382" s="49">
        <f t="shared" ref="U382:U392" si="225">IF(VLOOKUP($D382,$C$5:$AA$496,19,)=0,0,((VLOOKUP($D382,$C$5:$AA$496,19,)/VLOOKUP($D382,$C$5:$AA$496,4,))*$F382))</f>
        <v>9147.5696780983144</v>
      </c>
      <c r="V382" s="49"/>
      <c r="W382" s="49">
        <f t="shared" ref="W382:W392" si="226">IF(VLOOKUP($D382,$C$5:$AA$496,21,)=0,0,((VLOOKUP($D382,$C$5:$AA$496,21,)/VLOOKUP($D382,$C$5:$AA$496,4,))*$F382))</f>
        <v>8992.7782147679773</v>
      </c>
      <c r="X382" s="49"/>
      <c r="Y382" s="49">
        <f t="shared" ref="Y382:Y392" si="227">IF(VLOOKUP($D382,$C$5:$AA$496,23,)=0,0,((VLOOKUP($D382,$C$5:$AA$496,23,)/VLOOKUP($D382,$C$5:$AA$496,4,))*$F382))</f>
        <v>0</v>
      </c>
      <c r="Z382" s="49"/>
      <c r="AA382" s="49">
        <f t="shared" ref="AA382:AA392" si="228">IF(VLOOKUP($D382,$C$5:$AA$496,25,)=0,0,((VLOOKUP($D382,$C$5:$AA$496,25,)/VLOOKUP($D382,$C$5:$AA$496,4,))*$F382))</f>
        <v>0</v>
      </c>
      <c r="AB382" s="49">
        <f t="shared" ref="AB382:AB392" si="229">SUM(H382:AA382)</f>
        <v>240358.2</v>
      </c>
      <c r="AC382" s="29" t="str">
        <f t="shared" ref="AC382:AC392" si="230">IF(ABS(AB382-F382)&lt;1,"ok","err")</f>
        <v>ok</v>
      </c>
    </row>
    <row r="383" spans="1:29" x14ac:dyDescent="0.2">
      <c r="A383" s="14">
        <v>581</v>
      </c>
      <c r="B383" s="14" t="s">
        <v>101</v>
      </c>
      <c r="C383" s="14" t="s">
        <v>483</v>
      </c>
      <c r="D383" s="14" t="s">
        <v>23</v>
      </c>
      <c r="F383" s="255">
        <v>0</v>
      </c>
      <c r="G383" s="191"/>
      <c r="H383" s="49">
        <f t="shared" si="217"/>
        <v>0</v>
      </c>
      <c r="I383" s="49">
        <f t="shared" si="218"/>
        <v>0</v>
      </c>
      <c r="J383" s="49"/>
      <c r="K383" s="49">
        <f t="shared" si="219"/>
        <v>0</v>
      </c>
      <c r="L383" s="49"/>
      <c r="M383" s="49">
        <f t="shared" si="220"/>
        <v>0</v>
      </c>
      <c r="N383" s="49"/>
      <c r="O383" s="49">
        <f t="shared" si="221"/>
        <v>0</v>
      </c>
      <c r="P383" s="49">
        <f t="shared" si="222"/>
        <v>0</v>
      </c>
      <c r="Q383" s="49"/>
      <c r="R383" s="49">
        <f t="shared" si="223"/>
        <v>0</v>
      </c>
      <c r="S383" s="49">
        <f t="shared" si="224"/>
        <v>0</v>
      </c>
      <c r="T383" s="49"/>
      <c r="U383" s="49">
        <f t="shared" si="225"/>
        <v>0</v>
      </c>
      <c r="V383" s="49"/>
      <c r="W383" s="49">
        <f t="shared" si="226"/>
        <v>0</v>
      </c>
      <c r="X383" s="49"/>
      <c r="Y383" s="49">
        <f t="shared" si="227"/>
        <v>0</v>
      </c>
      <c r="Z383" s="49"/>
      <c r="AA383" s="49">
        <f t="shared" si="228"/>
        <v>0</v>
      </c>
      <c r="AB383" s="49">
        <f t="shared" si="229"/>
        <v>0</v>
      </c>
      <c r="AC383" s="29" t="str">
        <f t="shared" si="230"/>
        <v>ok</v>
      </c>
    </row>
    <row r="384" spans="1:29" x14ac:dyDescent="0.2">
      <c r="A384" s="14">
        <v>582</v>
      </c>
      <c r="B384" s="14" t="s">
        <v>372</v>
      </c>
      <c r="C384" s="14" t="s">
        <v>484</v>
      </c>
      <c r="D384" s="14" t="s">
        <v>23</v>
      </c>
      <c r="F384" s="255">
        <v>0</v>
      </c>
      <c r="G384" s="191"/>
      <c r="H384" s="49">
        <f t="shared" si="217"/>
        <v>0</v>
      </c>
      <c r="I384" s="49">
        <f t="shared" si="218"/>
        <v>0</v>
      </c>
      <c r="J384" s="49"/>
      <c r="K384" s="49">
        <f t="shared" si="219"/>
        <v>0</v>
      </c>
      <c r="L384" s="49"/>
      <c r="M384" s="49">
        <f t="shared" si="220"/>
        <v>0</v>
      </c>
      <c r="N384" s="49"/>
      <c r="O384" s="49">
        <f t="shared" si="221"/>
        <v>0</v>
      </c>
      <c r="P384" s="49">
        <f t="shared" si="222"/>
        <v>0</v>
      </c>
      <c r="Q384" s="49"/>
      <c r="R384" s="49">
        <f t="shared" si="223"/>
        <v>0</v>
      </c>
      <c r="S384" s="49">
        <f t="shared" si="224"/>
        <v>0</v>
      </c>
      <c r="T384" s="49"/>
      <c r="U384" s="49">
        <f t="shared" si="225"/>
        <v>0</v>
      </c>
      <c r="V384" s="49"/>
      <c r="W384" s="49">
        <f t="shared" si="226"/>
        <v>0</v>
      </c>
      <c r="X384" s="49"/>
      <c r="Y384" s="49">
        <f t="shared" si="227"/>
        <v>0</v>
      </c>
      <c r="Z384" s="49"/>
      <c r="AA384" s="49">
        <f t="shared" si="228"/>
        <v>0</v>
      </c>
      <c r="AB384" s="49">
        <f t="shared" si="229"/>
        <v>0</v>
      </c>
      <c r="AC384" s="29" t="str">
        <f t="shared" si="230"/>
        <v>ok</v>
      </c>
    </row>
    <row r="385" spans="1:29" x14ac:dyDescent="0.2">
      <c r="A385" s="14">
        <v>583</v>
      </c>
      <c r="B385" s="14" t="s">
        <v>103</v>
      </c>
      <c r="C385" s="14" t="s">
        <v>485</v>
      </c>
      <c r="D385" s="14" t="s">
        <v>29</v>
      </c>
      <c r="F385" s="255">
        <v>221784.11</v>
      </c>
      <c r="G385" s="191"/>
      <c r="H385" s="49">
        <f t="shared" si="217"/>
        <v>0</v>
      </c>
      <c r="I385" s="49">
        <f t="shared" si="218"/>
        <v>0</v>
      </c>
      <c r="J385" s="49"/>
      <c r="K385" s="49">
        <f t="shared" si="219"/>
        <v>0</v>
      </c>
      <c r="L385" s="49"/>
      <c r="M385" s="49">
        <f t="shared" si="220"/>
        <v>0</v>
      </c>
      <c r="N385" s="49"/>
      <c r="O385" s="49">
        <f t="shared" si="221"/>
        <v>79712.029521125631</v>
      </c>
      <c r="P385" s="49">
        <f t="shared" si="222"/>
        <v>142072.08047887436</v>
      </c>
      <c r="Q385" s="49"/>
      <c r="R385" s="49">
        <f t="shared" si="223"/>
        <v>0</v>
      </c>
      <c r="S385" s="49">
        <f t="shared" si="224"/>
        <v>0</v>
      </c>
      <c r="T385" s="49"/>
      <c r="U385" s="49">
        <f t="shared" si="225"/>
        <v>0</v>
      </c>
      <c r="V385" s="49"/>
      <c r="W385" s="49">
        <f t="shared" si="226"/>
        <v>0</v>
      </c>
      <c r="X385" s="49"/>
      <c r="Y385" s="49">
        <f t="shared" si="227"/>
        <v>0</v>
      </c>
      <c r="Z385" s="49"/>
      <c r="AA385" s="49">
        <f t="shared" si="228"/>
        <v>0</v>
      </c>
      <c r="AB385" s="49">
        <f t="shared" si="229"/>
        <v>221784.11</v>
      </c>
      <c r="AC385" s="29" t="str">
        <f t="shared" si="230"/>
        <v>ok</v>
      </c>
    </row>
    <row r="386" spans="1:29" x14ac:dyDescent="0.2">
      <c r="A386" s="14">
        <v>584</v>
      </c>
      <c r="B386" s="14" t="s">
        <v>105</v>
      </c>
      <c r="C386" s="14" t="s">
        <v>486</v>
      </c>
      <c r="D386" s="14" t="s">
        <v>35</v>
      </c>
      <c r="F386" s="255">
        <v>0</v>
      </c>
      <c r="G386" s="191"/>
      <c r="H386" s="49">
        <f t="shared" si="217"/>
        <v>0</v>
      </c>
      <c r="I386" s="49">
        <f t="shared" si="218"/>
        <v>0</v>
      </c>
      <c r="J386" s="49"/>
      <c r="K386" s="49">
        <f t="shared" si="219"/>
        <v>0</v>
      </c>
      <c r="L386" s="49"/>
      <c r="M386" s="49">
        <f t="shared" si="220"/>
        <v>0</v>
      </c>
      <c r="N386" s="49"/>
      <c r="O386" s="49">
        <f t="shared" si="221"/>
        <v>0</v>
      </c>
      <c r="P386" s="49">
        <f t="shared" si="222"/>
        <v>0</v>
      </c>
      <c r="Q386" s="49"/>
      <c r="R386" s="49">
        <f t="shared" si="223"/>
        <v>0</v>
      </c>
      <c r="S386" s="49">
        <f t="shared" si="224"/>
        <v>0</v>
      </c>
      <c r="T386" s="49"/>
      <c r="U386" s="49">
        <f t="shared" si="225"/>
        <v>0</v>
      </c>
      <c r="V386" s="49"/>
      <c r="W386" s="49">
        <f t="shared" si="226"/>
        <v>0</v>
      </c>
      <c r="X386" s="49"/>
      <c r="Y386" s="49">
        <f t="shared" si="227"/>
        <v>0</v>
      </c>
      <c r="Z386" s="49"/>
      <c r="AA386" s="49">
        <f t="shared" si="228"/>
        <v>0</v>
      </c>
      <c r="AB386" s="49">
        <f t="shared" si="229"/>
        <v>0</v>
      </c>
      <c r="AC386" s="29" t="str">
        <f t="shared" si="230"/>
        <v>ok</v>
      </c>
    </row>
    <row r="387" spans="1:29" x14ac:dyDescent="0.2">
      <c r="A387" s="14">
        <v>585</v>
      </c>
      <c r="B387" s="14" t="s">
        <v>107</v>
      </c>
      <c r="C387" s="14" t="s">
        <v>487</v>
      </c>
      <c r="D387" s="14" t="s">
        <v>46</v>
      </c>
      <c r="F387" s="255">
        <v>0</v>
      </c>
      <c r="G387" s="191"/>
      <c r="H387" s="49">
        <f t="shared" si="217"/>
        <v>0</v>
      </c>
      <c r="I387" s="49">
        <f t="shared" si="218"/>
        <v>0</v>
      </c>
      <c r="J387" s="49"/>
      <c r="K387" s="49">
        <f t="shared" si="219"/>
        <v>0</v>
      </c>
      <c r="L387" s="49"/>
      <c r="M387" s="49">
        <f t="shared" si="220"/>
        <v>0</v>
      </c>
      <c r="N387" s="49"/>
      <c r="O387" s="49">
        <f t="shared" si="221"/>
        <v>0</v>
      </c>
      <c r="P387" s="49">
        <f t="shared" si="222"/>
        <v>0</v>
      </c>
      <c r="Q387" s="49"/>
      <c r="R387" s="49">
        <f t="shared" si="223"/>
        <v>0</v>
      </c>
      <c r="S387" s="49">
        <f t="shared" si="224"/>
        <v>0</v>
      </c>
      <c r="T387" s="49"/>
      <c r="U387" s="49">
        <f t="shared" si="225"/>
        <v>0</v>
      </c>
      <c r="V387" s="49"/>
      <c r="W387" s="49">
        <f t="shared" si="226"/>
        <v>0</v>
      </c>
      <c r="X387" s="49"/>
      <c r="Y387" s="49">
        <f t="shared" si="227"/>
        <v>0</v>
      </c>
      <c r="Z387" s="49"/>
      <c r="AA387" s="49">
        <f t="shared" si="228"/>
        <v>0</v>
      </c>
      <c r="AB387" s="49">
        <f t="shared" si="229"/>
        <v>0</v>
      </c>
      <c r="AC387" s="29" t="str">
        <f t="shared" si="230"/>
        <v>ok</v>
      </c>
    </row>
    <row r="388" spans="1:29" x14ac:dyDescent="0.2">
      <c r="A388" s="14">
        <v>586</v>
      </c>
      <c r="B388" s="14" t="s">
        <v>109</v>
      </c>
      <c r="C388" s="14" t="s">
        <v>488</v>
      </c>
      <c r="D388" s="14" t="s">
        <v>43</v>
      </c>
      <c r="F388" s="255">
        <v>126986.62</v>
      </c>
      <c r="G388" s="191"/>
      <c r="H388" s="49">
        <f t="shared" si="217"/>
        <v>0</v>
      </c>
      <c r="I388" s="49">
        <f t="shared" si="218"/>
        <v>0</v>
      </c>
      <c r="J388" s="49"/>
      <c r="K388" s="49">
        <f t="shared" si="219"/>
        <v>0</v>
      </c>
      <c r="L388" s="49"/>
      <c r="M388" s="49">
        <f t="shared" si="220"/>
        <v>0</v>
      </c>
      <c r="N388" s="49"/>
      <c r="O388" s="49">
        <f t="shared" si="221"/>
        <v>0</v>
      </c>
      <c r="P388" s="49">
        <f t="shared" si="222"/>
        <v>0</v>
      </c>
      <c r="Q388" s="49"/>
      <c r="R388" s="49">
        <f t="shared" si="223"/>
        <v>0</v>
      </c>
      <c r="S388" s="49">
        <f t="shared" si="224"/>
        <v>0</v>
      </c>
      <c r="T388" s="49"/>
      <c r="U388" s="49">
        <f t="shared" si="225"/>
        <v>126986.62</v>
      </c>
      <c r="V388" s="49"/>
      <c r="W388" s="49">
        <f t="shared" si="226"/>
        <v>0</v>
      </c>
      <c r="X388" s="49"/>
      <c r="Y388" s="49">
        <f t="shared" si="227"/>
        <v>0</v>
      </c>
      <c r="Z388" s="49"/>
      <c r="AA388" s="49">
        <f t="shared" si="228"/>
        <v>0</v>
      </c>
      <c r="AB388" s="49">
        <f t="shared" si="229"/>
        <v>126986.62</v>
      </c>
      <c r="AC388" s="29" t="str">
        <f t="shared" si="230"/>
        <v>ok</v>
      </c>
    </row>
    <row r="389" spans="1:29" x14ac:dyDescent="0.2">
      <c r="A389" s="14">
        <v>586</v>
      </c>
      <c r="B389" s="14" t="s">
        <v>450</v>
      </c>
      <c r="C389" s="14" t="s">
        <v>489</v>
      </c>
      <c r="D389" s="14" t="s">
        <v>471</v>
      </c>
      <c r="F389" s="255">
        <v>0</v>
      </c>
      <c r="G389" s="191"/>
      <c r="H389" s="49">
        <f t="shared" si="217"/>
        <v>0</v>
      </c>
      <c r="I389" s="49">
        <f t="shared" si="218"/>
        <v>0</v>
      </c>
      <c r="J389" s="49"/>
      <c r="K389" s="49">
        <f t="shared" si="219"/>
        <v>0</v>
      </c>
      <c r="L389" s="49"/>
      <c r="M389" s="49">
        <f t="shared" si="220"/>
        <v>0</v>
      </c>
      <c r="N389" s="49"/>
      <c r="O389" s="49">
        <f t="shared" si="221"/>
        <v>0</v>
      </c>
      <c r="P389" s="49">
        <f t="shared" si="222"/>
        <v>0</v>
      </c>
      <c r="Q389" s="49"/>
      <c r="R389" s="49">
        <f t="shared" si="223"/>
        <v>0</v>
      </c>
      <c r="S389" s="49">
        <f t="shared" si="224"/>
        <v>0</v>
      </c>
      <c r="T389" s="49"/>
      <c r="U389" s="49">
        <f t="shared" si="225"/>
        <v>0</v>
      </c>
      <c r="V389" s="49"/>
      <c r="W389" s="49">
        <f t="shared" si="226"/>
        <v>0</v>
      </c>
      <c r="X389" s="49"/>
      <c r="Y389" s="49">
        <f t="shared" si="227"/>
        <v>0</v>
      </c>
      <c r="Z389" s="49"/>
      <c r="AA389" s="49">
        <f t="shared" si="228"/>
        <v>0</v>
      </c>
      <c r="AB389" s="49">
        <f t="shared" si="229"/>
        <v>0</v>
      </c>
      <c r="AC389" s="29" t="str">
        <f t="shared" si="230"/>
        <v>ok</v>
      </c>
    </row>
    <row r="390" spans="1:29" x14ac:dyDescent="0.2">
      <c r="A390" s="14">
        <v>587</v>
      </c>
      <c r="B390" s="14" t="s">
        <v>111</v>
      </c>
      <c r="C390" s="14" t="s">
        <v>490</v>
      </c>
      <c r="D390" s="14" t="s">
        <v>40</v>
      </c>
      <c r="F390" s="255">
        <v>24716.98</v>
      </c>
      <c r="G390" s="191"/>
      <c r="H390" s="49">
        <f t="shared" si="217"/>
        <v>0</v>
      </c>
      <c r="I390" s="49">
        <f t="shared" si="218"/>
        <v>0</v>
      </c>
      <c r="J390" s="49"/>
      <c r="K390" s="49">
        <f t="shared" si="219"/>
        <v>0</v>
      </c>
      <c r="L390" s="49"/>
      <c r="M390" s="49">
        <f t="shared" si="220"/>
        <v>0</v>
      </c>
      <c r="N390" s="49"/>
      <c r="O390" s="49">
        <f t="shared" si="221"/>
        <v>0</v>
      </c>
      <c r="P390" s="49">
        <f t="shared" si="222"/>
        <v>0</v>
      </c>
      <c r="Q390" s="49"/>
      <c r="R390" s="49">
        <f t="shared" si="223"/>
        <v>0</v>
      </c>
      <c r="S390" s="49">
        <f t="shared" si="224"/>
        <v>24716.98</v>
      </c>
      <c r="T390" s="49"/>
      <c r="U390" s="49">
        <f t="shared" si="225"/>
        <v>0</v>
      </c>
      <c r="V390" s="49"/>
      <c r="W390" s="49">
        <f t="shared" si="226"/>
        <v>0</v>
      </c>
      <c r="X390" s="49"/>
      <c r="Y390" s="49">
        <f t="shared" si="227"/>
        <v>0</v>
      </c>
      <c r="Z390" s="49"/>
      <c r="AA390" s="49">
        <f t="shared" si="228"/>
        <v>0</v>
      </c>
      <c r="AB390" s="49">
        <f t="shared" si="229"/>
        <v>24716.98</v>
      </c>
      <c r="AC390" s="29" t="str">
        <f t="shared" si="230"/>
        <v>ok</v>
      </c>
    </row>
    <row r="391" spans="1:29" x14ac:dyDescent="0.2">
      <c r="A391" s="14">
        <v>588</v>
      </c>
      <c r="B391" s="14" t="s">
        <v>113</v>
      </c>
      <c r="C391" s="14" t="s">
        <v>491</v>
      </c>
      <c r="D391" s="14" t="s">
        <v>16</v>
      </c>
      <c r="F391" s="255">
        <v>429536.21</v>
      </c>
      <c r="G391" s="191"/>
      <c r="H391" s="49">
        <f t="shared" si="217"/>
        <v>0</v>
      </c>
      <c r="I391" s="49">
        <f t="shared" si="218"/>
        <v>0</v>
      </c>
      <c r="J391" s="49"/>
      <c r="K391" s="49">
        <f t="shared" si="219"/>
        <v>0</v>
      </c>
      <c r="L391" s="49"/>
      <c r="M391" s="49">
        <f t="shared" si="220"/>
        <v>55316.602332669383</v>
      </c>
      <c r="N391" s="49"/>
      <c r="O391" s="49">
        <f t="shared" si="221"/>
        <v>120276.96326920969</v>
      </c>
      <c r="P391" s="49">
        <f t="shared" si="222"/>
        <v>204976.52362145303</v>
      </c>
      <c r="Q391" s="49"/>
      <c r="R391" s="49">
        <f t="shared" si="223"/>
        <v>0</v>
      </c>
      <c r="S391" s="49">
        <f t="shared" si="224"/>
        <v>16548.103492534214</v>
      </c>
      <c r="T391" s="49"/>
      <c r="U391" s="49">
        <f t="shared" si="225"/>
        <v>16347.320000903943</v>
      </c>
      <c r="V391" s="49"/>
      <c r="W391" s="49">
        <f t="shared" si="226"/>
        <v>16070.697283229792</v>
      </c>
      <c r="X391" s="49"/>
      <c r="Y391" s="49">
        <f t="shared" si="227"/>
        <v>0</v>
      </c>
      <c r="Z391" s="49"/>
      <c r="AA391" s="49">
        <f t="shared" si="228"/>
        <v>0</v>
      </c>
      <c r="AB391" s="49">
        <f t="shared" si="229"/>
        <v>429536.21000000008</v>
      </c>
      <c r="AC391" s="29" t="str">
        <f t="shared" si="230"/>
        <v>ok</v>
      </c>
    </row>
    <row r="392" spans="1:29" x14ac:dyDescent="0.2">
      <c r="A392" s="14">
        <v>589</v>
      </c>
      <c r="B392" s="14" t="s">
        <v>115</v>
      </c>
      <c r="C392" s="14" t="s">
        <v>492</v>
      </c>
      <c r="D392" s="14" t="s">
        <v>16</v>
      </c>
      <c r="F392" s="255">
        <v>226714.12</v>
      </c>
      <c r="G392" s="191"/>
      <c r="H392" s="49">
        <f t="shared" si="217"/>
        <v>0</v>
      </c>
      <c r="I392" s="49">
        <f t="shared" si="218"/>
        <v>0</v>
      </c>
      <c r="J392" s="49"/>
      <c r="K392" s="49">
        <f t="shared" si="219"/>
        <v>0</v>
      </c>
      <c r="L392" s="49"/>
      <c r="M392" s="49">
        <f t="shared" si="220"/>
        <v>29196.73482065944</v>
      </c>
      <c r="N392" s="49"/>
      <c r="O392" s="49">
        <f t="shared" si="221"/>
        <v>63483.555632832897</v>
      </c>
      <c r="P392" s="49">
        <f t="shared" si="222"/>
        <v>108188.95145882331</v>
      </c>
      <c r="Q392" s="49"/>
      <c r="R392" s="49">
        <f t="shared" si="223"/>
        <v>0</v>
      </c>
      <c r="S392" s="49">
        <f t="shared" si="224"/>
        <v>8734.2781205310275</v>
      </c>
      <c r="T392" s="49"/>
      <c r="U392" s="49">
        <f t="shared" si="225"/>
        <v>8628.3022992714323</v>
      </c>
      <c r="V392" s="49"/>
      <c r="W392" s="49">
        <f t="shared" si="226"/>
        <v>8482.2976678819068</v>
      </c>
      <c r="X392" s="49"/>
      <c r="Y392" s="49">
        <f t="shared" si="227"/>
        <v>0</v>
      </c>
      <c r="Z392" s="49"/>
      <c r="AA392" s="49">
        <f t="shared" si="228"/>
        <v>0</v>
      </c>
      <c r="AB392" s="49">
        <f t="shared" si="229"/>
        <v>226714.12000000002</v>
      </c>
      <c r="AC392" s="29" t="str">
        <f t="shared" si="230"/>
        <v>ok</v>
      </c>
    </row>
    <row r="393" spans="1:29" x14ac:dyDescent="0.2">
      <c r="F393" s="255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C393" s="29"/>
    </row>
    <row r="394" spans="1:29" x14ac:dyDescent="0.2">
      <c r="A394" s="14" t="s">
        <v>536</v>
      </c>
      <c r="C394" s="14" t="s">
        <v>493</v>
      </c>
      <c r="F394" s="254">
        <f>SUM(F382:F393)</f>
        <v>1270096.2399999998</v>
      </c>
      <c r="G394" s="65"/>
      <c r="H394" s="65">
        <f>SUM(H382:H393)</f>
        <v>0</v>
      </c>
      <c r="I394" s="65">
        <f>SUM(I382:I393)</f>
        <v>0</v>
      </c>
      <c r="J394" s="65"/>
      <c r="K394" s="65">
        <f>SUM(K382:K393)</f>
        <v>0</v>
      </c>
      <c r="L394" s="65"/>
      <c r="M394" s="65">
        <f>SUM(M382:M393)</f>
        <v>115467.1861124101</v>
      </c>
      <c r="N394" s="65"/>
      <c r="O394" s="65">
        <f>SUM(O382:O393)</f>
        <v>330776.66323307762</v>
      </c>
      <c r="P394" s="65">
        <f>SUM(P382:P393)</f>
        <v>569937.52057469601</v>
      </c>
      <c r="Q394" s="65"/>
      <c r="R394" s="65">
        <f>SUM(R382:R393)</f>
        <v>0</v>
      </c>
      <c r="S394" s="65">
        <f>SUM(S382:S393)</f>
        <v>59259.284935662974</v>
      </c>
      <c r="T394" s="65"/>
      <c r="U394" s="65">
        <f>SUM(U382:U393)</f>
        <v>161109.81197827368</v>
      </c>
      <c r="V394" s="65"/>
      <c r="W394" s="65">
        <f>SUM(W382:W393)</f>
        <v>33545.773165879677</v>
      </c>
      <c r="X394" s="65"/>
      <c r="Y394" s="65">
        <f>SUM(Y382:Y393)</f>
        <v>0</v>
      </c>
      <c r="Z394" s="65"/>
      <c r="AA394" s="65">
        <f>SUM(AA382:AA393)</f>
        <v>0</v>
      </c>
      <c r="AB394" s="49">
        <f>SUM(H394:AA394)</f>
        <v>1270096.2400000002</v>
      </c>
      <c r="AC394" s="29" t="str">
        <f>IF(ABS(AB394-F394)&lt;1,"ok","err")</f>
        <v>ok</v>
      </c>
    </row>
    <row r="395" spans="1:29" x14ac:dyDescent="0.2">
      <c r="F395" s="254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49"/>
      <c r="AC395" s="29"/>
    </row>
    <row r="396" spans="1:29" x14ac:dyDescent="0.2">
      <c r="F396" s="254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49"/>
      <c r="AC396" s="29"/>
    </row>
    <row r="397" spans="1:29" x14ac:dyDescent="0.2">
      <c r="A397" s="13"/>
      <c r="F397" s="255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C397" s="29"/>
    </row>
    <row r="398" spans="1:29" x14ac:dyDescent="0.2">
      <c r="A398" s="27" t="s">
        <v>473</v>
      </c>
      <c r="F398" s="255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C398" s="29"/>
    </row>
    <row r="399" spans="1:29" x14ac:dyDescent="0.2">
      <c r="F399" s="255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C399" s="29"/>
    </row>
    <row r="400" spans="1:29" x14ac:dyDescent="0.2">
      <c r="A400" s="13" t="s">
        <v>537</v>
      </c>
      <c r="F400" s="255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C400" s="29"/>
    </row>
    <row r="401" spans="1:29" x14ac:dyDescent="0.2">
      <c r="A401" s="14">
        <v>590</v>
      </c>
      <c r="B401" s="14" t="s">
        <v>120</v>
      </c>
      <c r="C401" s="14" t="s">
        <v>494</v>
      </c>
      <c r="D401" s="14" t="s">
        <v>16</v>
      </c>
      <c r="F401" s="254">
        <v>0</v>
      </c>
      <c r="G401" s="190"/>
      <c r="H401" s="49">
        <f t="shared" ref="H401:H408" si="231">IF(VLOOKUP($D401,$C$5:$AA$496,6,)=0,0,((VLOOKUP($D401,$C$5:$AA$496,6,)/VLOOKUP($D401,$C$5:$AA$496,4,))*$F401))</f>
        <v>0</v>
      </c>
      <c r="I401" s="49">
        <f t="shared" ref="I401:I408" si="232">IF(VLOOKUP($D401,$C$5:$AA$496,7,)=0,0,((VLOOKUP($D401,$C$5:$AA$496,7,)/VLOOKUP($D401,$C$5:$AA$496,4,))*$F401))</f>
        <v>0</v>
      </c>
      <c r="J401" s="49"/>
      <c r="K401" s="49">
        <f t="shared" ref="K401:K408" si="233">IF(VLOOKUP($D401,$C$5:$AA$496,9,)=0,0,((VLOOKUP($D401,$C$5:$AA$496,9,)/VLOOKUP($D401,$C$5:$AA$496,4,))*$F401))</f>
        <v>0</v>
      </c>
      <c r="L401" s="49"/>
      <c r="M401" s="49">
        <f t="shared" ref="M401:M408" si="234">IF(VLOOKUP($D401,$C$5:$AA$496,11,)=0,0,((VLOOKUP($D401,$C$5:$AA$496,11,)/VLOOKUP($D401,$C$5:$AA$496,4,))*$F401))</f>
        <v>0</v>
      </c>
      <c r="N401" s="49"/>
      <c r="O401" s="49">
        <f t="shared" ref="O401:O408" si="235">IF(VLOOKUP($D401,$C$5:$AA$496,13,)=0,0,((VLOOKUP($D401,$C$5:$AA$496,13,)/VLOOKUP($D401,$C$5:$AA$496,4,))*$F401))</f>
        <v>0</v>
      </c>
      <c r="P401" s="49">
        <f t="shared" ref="P401:P408" si="236">IF(VLOOKUP($D401,$C$5:$AA$496,14,)=0,0,((VLOOKUP($D401,$C$5:$AA$496,14,)/VLOOKUP($D401,$C$5:$AA$496,4,))*$F401))</f>
        <v>0</v>
      </c>
      <c r="Q401" s="49"/>
      <c r="R401" s="49">
        <f t="shared" ref="R401:R408" si="237">IF(VLOOKUP($D401,$C$5:$AA$496,16,)=0,0,((VLOOKUP($D401,$C$5:$AA$496,16,)/VLOOKUP($D401,$C$5:$AA$496,4,))*$F401))</f>
        <v>0</v>
      </c>
      <c r="S401" s="49">
        <f t="shared" ref="S401:S408" si="238">IF(VLOOKUP($D401,$C$5:$AA$496,17,)=0,0,((VLOOKUP($D401,$C$5:$AA$496,17,)/VLOOKUP($D401,$C$5:$AA$496,4,))*$F401))</f>
        <v>0</v>
      </c>
      <c r="T401" s="49"/>
      <c r="U401" s="49">
        <f t="shared" ref="U401:U408" si="239">IF(VLOOKUP($D401,$C$5:$AA$496,19,)=0,0,((VLOOKUP($D401,$C$5:$AA$496,19,)/VLOOKUP($D401,$C$5:$AA$496,4,))*$F401))</f>
        <v>0</v>
      </c>
      <c r="V401" s="49"/>
      <c r="W401" s="49">
        <f t="shared" ref="W401:W408" si="240">IF(VLOOKUP($D401,$C$5:$AA$496,21,)=0,0,((VLOOKUP($D401,$C$5:$AA$496,21,)/VLOOKUP($D401,$C$5:$AA$496,4,))*$F401))</f>
        <v>0</v>
      </c>
      <c r="X401" s="49"/>
      <c r="Y401" s="49">
        <f t="shared" ref="Y401:Y408" si="241">IF(VLOOKUP($D401,$C$5:$AA$496,23,)=0,0,((VLOOKUP($D401,$C$5:$AA$496,23,)/VLOOKUP($D401,$C$5:$AA$496,4,))*$F401))</f>
        <v>0</v>
      </c>
      <c r="Z401" s="49"/>
      <c r="AA401" s="49">
        <f t="shared" ref="AA401:AA408" si="242">IF(VLOOKUP($D401,$C$5:$AA$496,25,)=0,0,((VLOOKUP($D401,$C$5:$AA$496,25,)/VLOOKUP($D401,$C$5:$AA$496,4,))*$F401))</f>
        <v>0</v>
      </c>
      <c r="AB401" s="49">
        <f t="shared" ref="AB401:AB408" si="243">SUM(H401:AA401)</f>
        <v>0</v>
      </c>
      <c r="AC401" s="29" t="str">
        <f t="shared" ref="AC401:AC408" si="244">IF(ABS(AB401-F401)&lt;1,"ok","err")</f>
        <v>ok</v>
      </c>
    </row>
    <row r="402" spans="1:29" x14ac:dyDescent="0.2">
      <c r="A402" s="14">
        <v>592</v>
      </c>
      <c r="B402" s="14" t="s">
        <v>122</v>
      </c>
      <c r="C402" s="14" t="s">
        <v>495</v>
      </c>
      <c r="D402" s="14" t="s">
        <v>23</v>
      </c>
      <c r="F402" s="255">
        <v>40126.269999999997</v>
      </c>
      <c r="G402" s="191"/>
      <c r="H402" s="49">
        <f t="shared" si="231"/>
        <v>0</v>
      </c>
      <c r="I402" s="49">
        <f t="shared" si="232"/>
        <v>0</v>
      </c>
      <c r="J402" s="49"/>
      <c r="K402" s="49">
        <f t="shared" si="233"/>
        <v>0</v>
      </c>
      <c r="L402" s="49"/>
      <c r="M402" s="49">
        <f t="shared" si="234"/>
        <v>40126.269999999997</v>
      </c>
      <c r="N402" s="49"/>
      <c r="O402" s="49">
        <f t="shared" si="235"/>
        <v>0</v>
      </c>
      <c r="P402" s="49">
        <f t="shared" si="236"/>
        <v>0</v>
      </c>
      <c r="Q402" s="49"/>
      <c r="R402" s="49">
        <f t="shared" si="237"/>
        <v>0</v>
      </c>
      <c r="S402" s="49">
        <f t="shared" si="238"/>
        <v>0</v>
      </c>
      <c r="T402" s="49"/>
      <c r="U402" s="49">
        <f t="shared" si="239"/>
        <v>0</v>
      </c>
      <c r="V402" s="49"/>
      <c r="W402" s="49">
        <f t="shared" si="240"/>
        <v>0</v>
      </c>
      <c r="X402" s="49"/>
      <c r="Y402" s="49">
        <f t="shared" si="241"/>
        <v>0</v>
      </c>
      <c r="Z402" s="49"/>
      <c r="AA402" s="49">
        <f t="shared" si="242"/>
        <v>0</v>
      </c>
      <c r="AB402" s="49">
        <f t="shared" si="243"/>
        <v>40126.269999999997</v>
      </c>
      <c r="AC402" s="29" t="str">
        <f t="shared" si="244"/>
        <v>ok</v>
      </c>
    </row>
    <row r="403" spans="1:29" x14ac:dyDescent="0.2">
      <c r="A403" s="14">
        <v>593</v>
      </c>
      <c r="B403" s="14" t="s">
        <v>124</v>
      </c>
      <c r="C403" s="14" t="s">
        <v>496</v>
      </c>
      <c r="D403" s="14" t="s">
        <v>29</v>
      </c>
      <c r="F403" s="255">
        <v>0</v>
      </c>
      <c r="G403" s="191"/>
      <c r="H403" s="49">
        <f t="shared" si="231"/>
        <v>0</v>
      </c>
      <c r="I403" s="49">
        <f t="shared" si="232"/>
        <v>0</v>
      </c>
      <c r="J403" s="49"/>
      <c r="K403" s="49">
        <f t="shared" si="233"/>
        <v>0</v>
      </c>
      <c r="L403" s="49"/>
      <c r="M403" s="49">
        <f t="shared" si="234"/>
        <v>0</v>
      </c>
      <c r="N403" s="49"/>
      <c r="O403" s="49">
        <f t="shared" si="235"/>
        <v>0</v>
      </c>
      <c r="P403" s="49">
        <f t="shared" si="236"/>
        <v>0</v>
      </c>
      <c r="Q403" s="49"/>
      <c r="R403" s="49">
        <f t="shared" si="237"/>
        <v>0</v>
      </c>
      <c r="S403" s="49">
        <f t="shared" si="238"/>
        <v>0</v>
      </c>
      <c r="T403" s="49"/>
      <c r="U403" s="49">
        <f t="shared" si="239"/>
        <v>0</v>
      </c>
      <c r="V403" s="49"/>
      <c r="W403" s="49">
        <f t="shared" si="240"/>
        <v>0</v>
      </c>
      <c r="X403" s="49"/>
      <c r="Y403" s="49">
        <f t="shared" si="241"/>
        <v>0</v>
      </c>
      <c r="Z403" s="49"/>
      <c r="AA403" s="49">
        <f t="shared" si="242"/>
        <v>0</v>
      </c>
      <c r="AB403" s="49">
        <f t="shared" si="243"/>
        <v>0</v>
      </c>
      <c r="AC403" s="29" t="str">
        <f t="shared" si="244"/>
        <v>ok</v>
      </c>
    </row>
    <row r="404" spans="1:29" x14ac:dyDescent="0.2">
      <c r="A404" s="14">
        <v>594</v>
      </c>
      <c r="B404" s="14" t="s">
        <v>126</v>
      </c>
      <c r="C404" s="14" t="s">
        <v>497</v>
      </c>
      <c r="D404" s="14" t="s">
        <v>35</v>
      </c>
      <c r="F404" s="255">
        <v>0</v>
      </c>
      <c r="G404" s="191"/>
      <c r="H404" s="49">
        <f t="shared" si="231"/>
        <v>0</v>
      </c>
      <c r="I404" s="49">
        <f t="shared" si="232"/>
        <v>0</v>
      </c>
      <c r="J404" s="49"/>
      <c r="K404" s="49">
        <f t="shared" si="233"/>
        <v>0</v>
      </c>
      <c r="L404" s="49"/>
      <c r="M404" s="49">
        <f t="shared" si="234"/>
        <v>0</v>
      </c>
      <c r="N404" s="49"/>
      <c r="O404" s="49">
        <f t="shared" si="235"/>
        <v>0</v>
      </c>
      <c r="P404" s="49">
        <f t="shared" si="236"/>
        <v>0</v>
      </c>
      <c r="Q404" s="49"/>
      <c r="R404" s="49">
        <f t="shared" si="237"/>
        <v>0</v>
      </c>
      <c r="S404" s="49">
        <f t="shared" si="238"/>
        <v>0</v>
      </c>
      <c r="T404" s="49"/>
      <c r="U404" s="49">
        <f t="shared" si="239"/>
        <v>0</v>
      </c>
      <c r="V404" s="49"/>
      <c r="W404" s="49">
        <f t="shared" si="240"/>
        <v>0</v>
      </c>
      <c r="X404" s="49"/>
      <c r="Y404" s="49">
        <f t="shared" si="241"/>
        <v>0</v>
      </c>
      <c r="Z404" s="49"/>
      <c r="AA404" s="49">
        <f t="shared" si="242"/>
        <v>0</v>
      </c>
      <c r="AB404" s="49">
        <f t="shared" si="243"/>
        <v>0</v>
      </c>
      <c r="AC404" s="29" t="str">
        <f t="shared" si="244"/>
        <v>ok</v>
      </c>
    </row>
    <row r="405" spans="1:29" x14ac:dyDescent="0.2">
      <c r="A405" s="14">
        <v>595</v>
      </c>
      <c r="B405" s="14" t="s">
        <v>128</v>
      </c>
      <c r="C405" s="14" t="s">
        <v>498</v>
      </c>
      <c r="D405" s="14" t="s">
        <v>37</v>
      </c>
      <c r="F405" s="255">
        <v>952152.72</v>
      </c>
      <c r="G405" s="191"/>
      <c r="H405" s="49">
        <f t="shared" si="231"/>
        <v>0</v>
      </c>
      <c r="I405" s="49">
        <f t="shared" si="232"/>
        <v>0</v>
      </c>
      <c r="J405" s="49"/>
      <c r="K405" s="49">
        <f t="shared" si="233"/>
        <v>0</v>
      </c>
      <c r="L405" s="49"/>
      <c r="M405" s="49">
        <f t="shared" si="234"/>
        <v>0</v>
      </c>
      <c r="N405" s="49"/>
      <c r="O405" s="49">
        <f t="shared" si="235"/>
        <v>405391.2693210076</v>
      </c>
      <c r="P405" s="49">
        <f t="shared" si="236"/>
        <v>546761.45067899243</v>
      </c>
      <c r="Q405" s="49"/>
      <c r="R405" s="49">
        <f t="shared" si="237"/>
        <v>0</v>
      </c>
      <c r="S405" s="49">
        <f t="shared" si="238"/>
        <v>0</v>
      </c>
      <c r="T405" s="49"/>
      <c r="U405" s="49">
        <f t="shared" si="239"/>
        <v>0</v>
      </c>
      <c r="V405" s="49"/>
      <c r="W405" s="49">
        <f t="shared" si="240"/>
        <v>0</v>
      </c>
      <c r="X405" s="49"/>
      <c r="Y405" s="49">
        <f t="shared" si="241"/>
        <v>0</v>
      </c>
      <c r="Z405" s="49"/>
      <c r="AA405" s="49">
        <f t="shared" si="242"/>
        <v>0</v>
      </c>
      <c r="AB405" s="49">
        <f t="shared" si="243"/>
        <v>952152.72</v>
      </c>
      <c r="AC405" s="29" t="str">
        <f t="shared" si="244"/>
        <v>ok</v>
      </c>
    </row>
    <row r="406" spans="1:29" x14ac:dyDescent="0.2">
      <c r="A406" s="14">
        <v>596</v>
      </c>
      <c r="B406" s="14" t="s">
        <v>380</v>
      </c>
      <c r="C406" s="14" t="s">
        <v>499</v>
      </c>
      <c r="D406" s="14" t="s">
        <v>48</v>
      </c>
      <c r="F406" s="255">
        <v>0</v>
      </c>
      <c r="G406" s="191"/>
      <c r="H406" s="49">
        <f t="shared" si="231"/>
        <v>0</v>
      </c>
      <c r="I406" s="49">
        <f t="shared" si="232"/>
        <v>0</v>
      </c>
      <c r="J406" s="49"/>
      <c r="K406" s="49">
        <f t="shared" si="233"/>
        <v>0</v>
      </c>
      <c r="L406" s="49"/>
      <c r="M406" s="49">
        <f t="shared" si="234"/>
        <v>0</v>
      </c>
      <c r="N406" s="49"/>
      <c r="O406" s="49">
        <f t="shared" si="235"/>
        <v>0</v>
      </c>
      <c r="P406" s="49">
        <f t="shared" si="236"/>
        <v>0</v>
      </c>
      <c r="Q406" s="49"/>
      <c r="R406" s="49">
        <f t="shared" si="237"/>
        <v>0</v>
      </c>
      <c r="S406" s="49">
        <f t="shared" si="238"/>
        <v>0</v>
      </c>
      <c r="T406" s="49"/>
      <c r="U406" s="49">
        <f t="shared" si="239"/>
        <v>0</v>
      </c>
      <c r="V406" s="49"/>
      <c r="W406" s="49">
        <f t="shared" si="240"/>
        <v>0</v>
      </c>
      <c r="X406" s="49"/>
      <c r="Y406" s="49">
        <f t="shared" si="241"/>
        <v>0</v>
      </c>
      <c r="Z406" s="49"/>
      <c r="AA406" s="49">
        <f t="shared" si="242"/>
        <v>0</v>
      </c>
      <c r="AB406" s="49">
        <f t="shared" si="243"/>
        <v>0</v>
      </c>
      <c r="AC406" s="29" t="str">
        <f t="shared" si="244"/>
        <v>ok</v>
      </c>
    </row>
    <row r="407" spans="1:29" x14ac:dyDescent="0.2">
      <c r="A407" s="14">
        <v>597</v>
      </c>
      <c r="B407" s="14" t="s">
        <v>130</v>
      </c>
      <c r="C407" s="14" t="s">
        <v>500</v>
      </c>
      <c r="D407" s="14" t="s">
        <v>43</v>
      </c>
      <c r="F407" s="255">
        <v>0</v>
      </c>
      <c r="G407" s="191"/>
      <c r="H407" s="49">
        <f t="shared" si="231"/>
        <v>0</v>
      </c>
      <c r="I407" s="49">
        <f t="shared" si="232"/>
        <v>0</v>
      </c>
      <c r="J407" s="49"/>
      <c r="K407" s="49">
        <f t="shared" si="233"/>
        <v>0</v>
      </c>
      <c r="L407" s="49"/>
      <c r="M407" s="49">
        <f t="shared" si="234"/>
        <v>0</v>
      </c>
      <c r="N407" s="49"/>
      <c r="O407" s="49">
        <f t="shared" si="235"/>
        <v>0</v>
      </c>
      <c r="P407" s="49">
        <f t="shared" si="236"/>
        <v>0</v>
      </c>
      <c r="Q407" s="49"/>
      <c r="R407" s="49">
        <f t="shared" si="237"/>
        <v>0</v>
      </c>
      <c r="S407" s="49">
        <f t="shared" si="238"/>
        <v>0</v>
      </c>
      <c r="T407" s="49"/>
      <c r="U407" s="49">
        <f t="shared" si="239"/>
        <v>0</v>
      </c>
      <c r="V407" s="49"/>
      <c r="W407" s="49">
        <f t="shared" si="240"/>
        <v>0</v>
      </c>
      <c r="X407" s="49"/>
      <c r="Y407" s="49">
        <f t="shared" si="241"/>
        <v>0</v>
      </c>
      <c r="Z407" s="49"/>
      <c r="AA407" s="49">
        <f t="shared" si="242"/>
        <v>0</v>
      </c>
      <c r="AB407" s="49">
        <f t="shared" si="243"/>
        <v>0</v>
      </c>
      <c r="AC407" s="29" t="str">
        <f t="shared" si="244"/>
        <v>ok</v>
      </c>
    </row>
    <row r="408" spans="1:29" x14ac:dyDescent="0.2">
      <c r="A408" s="14">
        <v>598</v>
      </c>
      <c r="B408" s="14" t="s">
        <v>384</v>
      </c>
      <c r="C408" s="14" t="s">
        <v>501</v>
      </c>
      <c r="D408" s="14" t="s">
        <v>16</v>
      </c>
      <c r="F408" s="255">
        <v>45879.73</v>
      </c>
      <c r="G408" s="191"/>
      <c r="H408" s="49">
        <f t="shared" si="231"/>
        <v>0</v>
      </c>
      <c r="I408" s="49">
        <f t="shared" si="232"/>
        <v>0</v>
      </c>
      <c r="J408" s="49"/>
      <c r="K408" s="49">
        <f t="shared" si="233"/>
        <v>0</v>
      </c>
      <c r="L408" s="49"/>
      <c r="M408" s="49">
        <f t="shared" si="234"/>
        <v>5908.4908802921218</v>
      </c>
      <c r="N408" s="49"/>
      <c r="O408" s="49">
        <f t="shared" si="235"/>
        <v>12847.05333692649</v>
      </c>
      <c r="P408" s="49">
        <f t="shared" si="236"/>
        <v>21894.004140165245</v>
      </c>
      <c r="Q408" s="49"/>
      <c r="R408" s="49">
        <f t="shared" si="237"/>
        <v>0</v>
      </c>
      <c r="S408" s="49">
        <f t="shared" si="238"/>
        <v>1767.5402040017227</v>
      </c>
      <c r="T408" s="49"/>
      <c r="U408" s="49">
        <f t="shared" si="239"/>
        <v>1746.0940670521647</v>
      </c>
      <c r="V408" s="49"/>
      <c r="W408" s="49">
        <f t="shared" si="240"/>
        <v>1716.5473715622634</v>
      </c>
      <c r="X408" s="49"/>
      <c r="Y408" s="49">
        <f t="shared" si="241"/>
        <v>0</v>
      </c>
      <c r="Z408" s="49"/>
      <c r="AA408" s="49">
        <f t="shared" si="242"/>
        <v>0</v>
      </c>
      <c r="AB408" s="49">
        <f t="shared" si="243"/>
        <v>45879.73000000001</v>
      </c>
      <c r="AC408" s="29" t="str">
        <f t="shared" si="244"/>
        <v>ok</v>
      </c>
    </row>
    <row r="409" spans="1:29" x14ac:dyDescent="0.2">
      <c r="F409" s="255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29"/>
    </row>
    <row r="410" spans="1:29" x14ac:dyDescent="0.2">
      <c r="A410" s="14" t="s">
        <v>538</v>
      </c>
      <c r="C410" s="14" t="s">
        <v>502</v>
      </c>
      <c r="F410" s="254">
        <f>SUM(F401:F409)</f>
        <v>1038158.72</v>
      </c>
      <c r="G410" s="65"/>
      <c r="H410" s="65">
        <f>SUM(H401:H409)</f>
        <v>0</v>
      </c>
      <c r="I410" s="65">
        <f>SUM(I401:I409)</f>
        <v>0</v>
      </c>
      <c r="J410" s="65"/>
      <c r="K410" s="65">
        <f>SUM(K401:K409)</f>
        <v>0</v>
      </c>
      <c r="L410" s="65"/>
      <c r="M410" s="65">
        <f>SUM(M401:M409)</f>
        <v>46034.760880292117</v>
      </c>
      <c r="N410" s="65"/>
      <c r="O410" s="65">
        <f>SUM(O401:O409)</f>
        <v>418238.3226579341</v>
      </c>
      <c r="P410" s="65">
        <f>SUM(P401:P409)</f>
        <v>568655.45481915772</v>
      </c>
      <c r="Q410" s="65"/>
      <c r="R410" s="65">
        <f>SUM(R401:R409)</f>
        <v>0</v>
      </c>
      <c r="S410" s="65">
        <f>SUM(S401:S409)</f>
        <v>1767.5402040017227</v>
      </c>
      <c r="T410" s="65"/>
      <c r="U410" s="65">
        <f>SUM(U401:U409)</f>
        <v>1746.0940670521647</v>
      </c>
      <c r="V410" s="65"/>
      <c r="W410" s="65">
        <f>SUM(W401:W409)</f>
        <v>1716.5473715622634</v>
      </c>
      <c r="X410" s="65"/>
      <c r="Y410" s="65">
        <f>SUM(Y401:Y409)</f>
        <v>0</v>
      </c>
      <c r="Z410" s="65"/>
      <c r="AA410" s="65">
        <f>SUM(AA401:AA409)</f>
        <v>0</v>
      </c>
      <c r="AB410" s="49">
        <f>SUM(H410:AA410)</f>
        <v>1038158.72</v>
      </c>
      <c r="AC410" s="29" t="str">
        <f>IF(ABS(AB410-F410)&lt;1,"ok","err")</f>
        <v>ok</v>
      </c>
    </row>
    <row r="411" spans="1:29" x14ac:dyDescent="0.2">
      <c r="F411" s="255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C411" s="29"/>
    </row>
    <row r="412" spans="1:29" x14ac:dyDescent="0.2">
      <c r="A412" s="14" t="s">
        <v>539</v>
      </c>
      <c r="F412" s="255">
        <f>F394+F410</f>
        <v>2308254.96</v>
      </c>
      <c r="G412" s="49"/>
      <c r="H412" s="49">
        <f>H394+H410</f>
        <v>0</v>
      </c>
      <c r="I412" s="49">
        <f>I394+I410</f>
        <v>0</v>
      </c>
      <c r="J412" s="49"/>
      <c r="K412" s="49">
        <f>K394+K410</f>
        <v>0</v>
      </c>
      <c r="L412" s="49"/>
      <c r="M412" s="49">
        <f>M394+M410</f>
        <v>161501.9469927022</v>
      </c>
      <c r="N412" s="49"/>
      <c r="O412" s="49">
        <f>O394+O410</f>
        <v>749014.98589101178</v>
      </c>
      <c r="P412" s="49">
        <f>P394+P410</f>
        <v>1138592.9753938536</v>
      </c>
      <c r="Q412" s="49"/>
      <c r="R412" s="49">
        <f>R394+R410</f>
        <v>0</v>
      </c>
      <c r="S412" s="49">
        <f>S394+S410</f>
        <v>61026.825139664696</v>
      </c>
      <c r="T412" s="49"/>
      <c r="U412" s="49">
        <f>U394+U410</f>
        <v>162855.90604532583</v>
      </c>
      <c r="V412" s="49"/>
      <c r="W412" s="49">
        <f>W394+W410</f>
        <v>35262.320537441941</v>
      </c>
      <c r="X412" s="49"/>
      <c r="Y412" s="49">
        <f>Y394+Y410</f>
        <v>0</v>
      </c>
      <c r="Z412" s="49"/>
      <c r="AA412" s="49">
        <f>AA394+AA410</f>
        <v>0</v>
      </c>
      <c r="AB412" s="49">
        <f>SUM(H412:AA412)</f>
        <v>2308254.96</v>
      </c>
      <c r="AC412" s="29" t="str">
        <f>IF(ABS(AB412-F412)&lt;1,"ok","err")</f>
        <v>ok</v>
      </c>
    </row>
    <row r="413" spans="1:29" x14ac:dyDescent="0.2">
      <c r="F413" s="255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C413" s="29"/>
    </row>
    <row r="414" spans="1:29" x14ac:dyDescent="0.2">
      <c r="A414" s="14" t="s">
        <v>540</v>
      </c>
      <c r="F414" s="255">
        <f>F412+F379</f>
        <v>2308254.96</v>
      </c>
      <c r="G414" s="49"/>
      <c r="H414" s="49">
        <f>H412+H379</f>
        <v>0</v>
      </c>
      <c r="I414" s="49">
        <f>I412+I379</f>
        <v>0</v>
      </c>
      <c r="J414" s="49"/>
      <c r="K414" s="49">
        <f>K412+K379</f>
        <v>0</v>
      </c>
      <c r="L414" s="49"/>
      <c r="M414" s="49">
        <f>M412+M379</f>
        <v>161501.9469927022</v>
      </c>
      <c r="N414" s="49"/>
      <c r="O414" s="49">
        <f>O412+O379</f>
        <v>749014.98589101178</v>
      </c>
      <c r="P414" s="49">
        <f>P412+P379</f>
        <v>1138592.9753938536</v>
      </c>
      <c r="Q414" s="49"/>
      <c r="R414" s="49">
        <f>R412+R379</f>
        <v>0</v>
      </c>
      <c r="S414" s="49">
        <f>S412+S379</f>
        <v>61026.825139664696</v>
      </c>
      <c r="T414" s="49"/>
      <c r="U414" s="49">
        <f>U412+U379</f>
        <v>162855.90604532583</v>
      </c>
      <c r="V414" s="49"/>
      <c r="W414" s="49">
        <f>W412+W379</f>
        <v>35262.320537441941</v>
      </c>
      <c r="X414" s="49"/>
      <c r="Y414" s="49">
        <f>Y412+Y379</f>
        <v>0</v>
      </c>
      <c r="Z414" s="49"/>
      <c r="AA414" s="49">
        <f>AA412+AA379</f>
        <v>0</v>
      </c>
      <c r="AB414" s="49">
        <f>SUM(H414:AA414)</f>
        <v>2308254.96</v>
      </c>
      <c r="AC414" s="29" t="str">
        <f>IF(ABS(AB414-F414)&lt;1,"ok","err")</f>
        <v>ok</v>
      </c>
    </row>
    <row r="415" spans="1:29" x14ac:dyDescent="0.2">
      <c r="F415" s="255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C415" s="29"/>
    </row>
    <row r="416" spans="1:29" x14ac:dyDescent="0.2">
      <c r="A416" s="14" t="s">
        <v>541</v>
      </c>
      <c r="C416" s="14" t="s">
        <v>503</v>
      </c>
      <c r="F416" s="254">
        <f>F414+F367</f>
        <v>2308254.96</v>
      </c>
      <c r="G416" s="65"/>
      <c r="H416" s="65">
        <f>H414+H367</f>
        <v>0</v>
      </c>
      <c r="I416" s="65">
        <f>I414+I367</f>
        <v>0</v>
      </c>
      <c r="J416" s="65"/>
      <c r="K416" s="65">
        <f>K414+K367</f>
        <v>0</v>
      </c>
      <c r="L416" s="65"/>
      <c r="M416" s="65">
        <f>M414+M367</f>
        <v>161501.9469927022</v>
      </c>
      <c r="N416" s="65"/>
      <c r="O416" s="65">
        <f>O414+O367</f>
        <v>749014.98589101178</v>
      </c>
      <c r="P416" s="65">
        <f>P414+P367</f>
        <v>1138592.9753938536</v>
      </c>
      <c r="Q416" s="65"/>
      <c r="R416" s="65">
        <f>R414+R367</f>
        <v>0</v>
      </c>
      <c r="S416" s="65">
        <f>S414+S367</f>
        <v>61026.825139664696</v>
      </c>
      <c r="T416" s="65"/>
      <c r="U416" s="65">
        <f>U414+U367</f>
        <v>162855.90604532583</v>
      </c>
      <c r="V416" s="65"/>
      <c r="W416" s="65">
        <f>W414+W367</f>
        <v>35262.320537441941</v>
      </c>
      <c r="X416" s="65"/>
      <c r="Y416" s="65">
        <f>Y414+Y367</f>
        <v>0</v>
      </c>
      <c r="Z416" s="65"/>
      <c r="AA416" s="65">
        <f>AA414+AA367</f>
        <v>0</v>
      </c>
      <c r="AB416" s="49">
        <f>SUM(H416:AA416)</f>
        <v>2308254.96</v>
      </c>
      <c r="AC416" s="29" t="str">
        <f>IF(ABS(AB416-F416)&lt;1,"ok","err")</f>
        <v>ok</v>
      </c>
    </row>
    <row r="417" spans="1:29" x14ac:dyDescent="0.2">
      <c r="A417" s="13"/>
      <c r="F417" s="255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C417" s="29"/>
    </row>
    <row r="418" spans="1:29" x14ac:dyDescent="0.2">
      <c r="A418" s="13" t="s">
        <v>137</v>
      </c>
      <c r="F418" s="255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C418" s="29"/>
    </row>
    <row r="419" spans="1:29" x14ac:dyDescent="0.2">
      <c r="A419" s="14">
        <v>901</v>
      </c>
      <c r="B419" s="14" t="s">
        <v>138</v>
      </c>
      <c r="C419" s="14" t="s">
        <v>504</v>
      </c>
      <c r="D419" s="14" t="s">
        <v>140</v>
      </c>
      <c r="F419" s="254">
        <v>124539.56</v>
      </c>
      <c r="G419" s="190"/>
      <c r="H419" s="49">
        <f>IF(VLOOKUP($D419,$C$5:$AA$496,6,)=0,0,((VLOOKUP($D419,$C$5:$AA$496,6,)/VLOOKUP($D419,$C$5:$AA$496,4,))*$F419))</f>
        <v>0</v>
      </c>
      <c r="I419" s="49">
        <f>IF(VLOOKUP($D419,$C$5:$AA$496,7,)=0,0,((VLOOKUP($D419,$C$5:$AA$496,7,)/VLOOKUP($D419,$C$5:$AA$496,4,))*$F419))</f>
        <v>0</v>
      </c>
      <c r="J419" s="49"/>
      <c r="K419" s="49">
        <f>IF(VLOOKUP($D419,$C$5:$AA$496,9,)=0,0,((VLOOKUP($D419,$C$5:$AA$496,9,)/VLOOKUP($D419,$C$5:$AA$496,4,))*$F419))</f>
        <v>0</v>
      </c>
      <c r="L419" s="49"/>
      <c r="M419" s="49">
        <f>IF(VLOOKUP($D419,$C$5:$AA$496,11,)=0,0,((VLOOKUP($D419,$C$5:$AA$496,11,)/VLOOKUP($D419,$C$5:$AA$496,4,))*$F419))</f>
        <v>0</v>
      </c>
      <c r="N419" s="49"/>
      <c r="O419" s="49">
        <f>IF(VLOOKUP($D419,$C$5:$AA$496,13,)=0,0,((VLOOKUP($D419,$C$5:$AA$496,13,)/VLOOKUP($D419,$C$5:$AA$496,4,))*$F419))</f>
        <v>0</v>
      </c>
      <c r="P419" s="49">
        <f>IF(VLOOKUP($D419,$C$5:$AA$496,14,)=0,0,((VLOOKUP($D419,$C$5:$AA$496,14,)/VLOOKUP($D419,$C$5:$AA$496,4,))*$F419))</f>
        <v>0</v>
      </c>
      <c r="Q419" s="49"/>
      <c r="R419" s="49">
        <f>IF(VLOOKUP($D419,$C$5:$AA$496,16,)=0,0,((VLOOKUP($D419,$C$5:$AA$496,16,)/VLOOKUP($D419,$C$5:$AA$496,4,))*$F419))</f>
        <v>0</v>
      </c>
      <c r="S419" s="49">
        <f>IF(VLOOKUP($D419,$C$5:$AA$496,17,)=0,0,((VLOOKUP($D419,$C$5:$AA$496,17,)/VLOOKUP($D419,$C$5:$AA$496,4,))*$F419))</f>
        <v>0</v>
      </c>
      <c r="T419" s="49"/>
      <c r="U419" s="49">
        <f>IF(VLOOKUP($D419,$C$5:$AA$496,19,)=0,0,((VLOOKUP($D419,$C$5:$AA$496,19,)/VLOOKUP($D419,$C$5:$AA$496,4,))*$F419))</f>
        <v>0</v>
      </c>
      <c r="V419" s="49"/>
      <c r="W419" s="49">
        <f>IF(VLOOKUP($D419,$C$5:$AA$496,21,)=0,0,((VLOOKUP($D419,$C$5:$AA$496,21,)/VLOOKUP($D419,$C$5:$AA$496,4,))*$F419))</f>
        <v>0</v>
      </c>
      <c r="X419" s="49"/>
      <c r="Y419" s="49">
        <f>IF(VLOOKUP($D419,$C$5:$AA$496,23,)=0,0,((VLOOKUP($D419,$C$5:$AA$496,23,)/VLOOKUP($D419,$C$5:$AA$496,4,))*$F419))</f>
        <v>124539.56</v>
      </c>
      <c r="Z419" s="49"/>
      <c r="AA419" s="49">
        <f>IF(VLOOKUP($D419,$C$5:$AA$496,25,)=0,0,((VLOOKUP($D419,$C$5:$AA$496,25,)/VLOOKUP($D419,$C$5:$AA$496,4,))*$F419))</f>
        <v>0</v>
      </c>
      <c r="AB419" s="49">
        <f>SUM(H419:AA419)</f>
        <v>124539.56</v>
      </c>
      <c r="AC419" s="29" t="str">
        <f>IF(ABS(AB419-F419)&lt;1,"ok","err")</f>
        <v>ok</v>
      </c>
    </row>
    <row r="420" spans="1:29" x14ac:dyDescent="0.2">
      <c r="A420" s="14">
        <v>902</v>
      </c>
      <c r="B420" s="14" t="s">
        <v>141</v>
      </c>
      <c r="C420" s="14" t="s">
        <v>505</v>
      </c>
      <c r="D420" s="14" t="s">
        <v>140</v>
      </c>
      <c r="F420" s="255">
        <v>16492.400000000001</v>
      </c>
      <c r="G420" s="191"/>
      <c r="H420" s="49">
        <f>IF(VLOOKUP($D420,$C$5:$AA$496,6,)=0,0,((VLOOKUP($D420,$C$5:$AA$496,6,)/VLOOKUP($D420,$C$5:$AA$496,4,))*$F420))</f>
        <v>0</v>
      </c>
      <c r="I420" s="49">
        <f>IF(VLOOKUP($D420,$C$5:$AA$496,7,)=0,0,((VLOOKUP($D420,$C$5:$AA$496,7,)/VLOOKUP($D420,$C$5:$AA$496,4,))*$F420))</f>
        <v>0</v>
      </c>
      <c r="J420" s="49"/>
      <c r="K420" s="49">
        <f>IF(VLOOKUP($D420,$C$5:$AA$496,9,)=0,0,((VLOOKUP($D420,$C$5:$AA$496,9,)/VLOOKUP($D420,$C$5:$AA$496,4,))*$F420))</f>
        <v>0</v>
      </c>
      <c r="L420" s="49"/>
      <c r="M420" s="49">
        <f>IF(VLOOKUP($D420,$C$5:$AA$496,11,)=0,0,((VLOOKUP($D420,$C$5:$AA$496,11,)/VLOOKUP($D420,$C$5:$AA$496,4,))*$F420))</f>
        <v>0</v>
      </c>
      <c r="N420" s="49"/>
      <c r="O420" s="49">
        <f>IF(VLOOKUP($D420,$C$5:$AA$496,13,)=0,0,((VLOOKUP($D420,$C$5:$AA$496,13,)/VLOOKUP($D420,$C$5:$AA$496,4,))*$F420))</f>
        <v>0</v>
      </c>
      <c r="P420" s="49">
        <f>IF(VLOOKUP($D420,$C$5:$AA$496,14,)=0,0,((VLOOKUP($D420,$C$5:$AA$496,14,)/VLOOKUP($D420,$C$5:$AA$496,4,))*$F420))</f>
        <v>0</v>
      </c>
      <c r="Q420" s="49"/>
      <c r="R420" s="49">
        <f>IF(VLOOKUP($D420,$C$5:$AA$496,16,)=0,0,((VLOOKUP($D420,$C$5:$AA$496,16,)/VLOOKUP($D420,$C$5:$AA$496,4,))*$F420))</f>
        <v>0</v>
      </c>
      <c r="S420" s="49">
        <f>IF(VLOOKUP($D420,$C$5:$AA$496,17,)=0,0,((VLOOKUP($D420,$C$5:$AA$496,17,)/VLOOKUP($D420,$C$5:$AA$496,4,))*$F420))</f>
        <v>0</v>
      </c>
      <c r="T420" s="49"/>
      <c r="U420" s="49">
        <f>IF(VLOOKUP($D420,$C$5:$AA$496,19,)=0,0,((VLOOKUP($D420,$C$5:$AA$496,19,)/VLOOKUP($D420,$C$5:$AA$496,4,))*$F420))</f>
        <v>0</v>
      </c>
      <c r="V420" s="49"/>
      <c r="W420" s="49">
        <f>IF(VLOOKUP($D420,$C$5:$AA$496,21,)=0,0,((VLOOKUP($D420,$C$5:$AA$496,21,)/VLOOKUP($D420,$C$5:$AA$496,4,))*$F420))</f>
        <v>0</v>
      </c>
      <c r="X420" s="49"/>
      <c r="Y420" s="49">
        <f>IF(VLOOKUP($D420,$C$5:$AA$496,23,)=0,0,((VLOOKUP($D420,$C$5:$AA$496,23,)/VLOOKUP($D420,$C$5:$AA$496,4,))*$F420))</f>
        <v>16492.400000000001</v>
      </c>
      <c r="Z420" s="49"/>
      <c r="AA420" s="49">
        <f>IF(VLOOKUP($D420,$C$5:$AA$496,25,)=0,0,((VLOOKUP($D420,$C$5:$AA$496,25,)/VLOOKUP($D420,$C$5:$AA$496,4,))*$F420))</f>
        <v>0</v>
      </c>
      <c r="AB420" s="49">
        <f>SUM(H420:AA420)</f>
        <v>16492.400000000001</v>
      </c>
      <c r="AC420" s="29" t="str">
        <f>IF(ABS(AB420-F420)&lt;1,"ok","err")</f>
        <v>ok</v>
      </c>
    </row>
    <row r="421" spans="1:29" x14ac:dyDescent="0.2">
      <c r="A421" s="14">
        <v>903</v>
      </c>
      <c r="B421" s="14" t="s">
        <v>452</v>
      </c>
      <c r="C421" s="14" t="s">
        <v>506</v>
      </c>
      <c r="D421" s="14" t="s">
        <v>140</v>
      </c>
      <c r="F421" s="255">
        <v>616534.04</v>
      </c>
      <c r="G421" s="191"/>
      <c r="H421" s="49">
        <f>IF(VLOOKUP($D421,$C$5:$AA$496,6,)=0,0,((VLOOKUP($D421,$C$5:$AA$496,6,)/VLOOKUP($D421,$C$5:$AA$496,4,))*$F421))</f>
        <v>0</v>
      </c>
      <c r="I421" s="49">
        <f>IF(VLOOKUP($D421,$C$5:$AA$496,7,)=0,0,((VLOOKUP($D421,$C$5:$AA$496,7,)/VLOOKUP($D421,$C$5:$AA$496,4,))*$F421))</f>
        <v>0</v>
      </c>
      <c r="J421" s="49"/>
      <c r="K421" s="49">
        <f>IF(VLOOKUP($D421,$C$5:$AA$496,9,)=0,0,((VLOOKUP($D421,$C$5:$AA$496,9,)/VLOOKUP($D421,$C$5:$AA$496,4,))*$F421))</f>
        <v>0</v>
      </c>
      <c r="L421" s="49"/>
      <c r="M421" s="49">
        <f>IF(VLOOKUP($D421,$C$5:$AA$496,11,)=0,0,((VLOOKUP($D421,$C$5:$AA$496,11,)/VLOOKUP($D421,$C$5:$AA$496,4,))*$F421))</f>
        <v>0</v>
      </c>
      <c r="N421" s="49"/>
      <c r="O421" s="49">
        <f>IF(VLOOKUP($D421,$C$5:$AA$496,13,)=0,0,((VLOOKUP($D421,$C$5:$AA$496,13,)/VLOOKUP($D421,$C$5:$AA$496,4,))*$F421))</f>
        <v>0</v>
      </c>
      <c r="P421" s="49">
        <f>IF(VLOOKUP($D421,$C$5:$AA$496,14,)=0,0,((VLOOKUP($D421,$C$5:$AA$496,14,)/VLOOKUP($D421,$C$5:$AA$496,4,))*$F421))</f>
        <v>0</v>
      </c>
      <c r="Q421" s="49"/>
      <c r="R421" s="49">
        <f>IF(VLOOKUP($D421,$C$5:$AA$496,16,)=0,0,((VLOOKUP($D421,$C$5:$AA$496,16,)/VLOOKUP($D421,$C$5:$AA$496,4,))*$F421))</f>
        <v>0</v>
      </c>
      <c r="S421" s="49">
        <f>IF(VLOOKUP($D421,$C$5:$AA$496,17,)=0,0,((VLOOKUP($D421,$C$5:$AA$496,17,)/VLOOKUP($D421,$C$5:$AA$496,4,))*$F421))</f>
        <v>0</v>
      </c>
      <c r="T421" s="49"/>
      <c r="U421" s="49">
        <f>IF(VLOOKUP($D421,$C$5:$AA$496,19,)=0,0,((VLOOKUP($D421,$C$5:$AA$496,19,)/VLOOKUP($D421,$C$5:$AA$496,4,))*$F421))</f>
        <v>0</v>
      </c>
      <c r="V421" s="49"/>
      <c r="W421" s="49">
        <f>IF(VLOOKUP($D421,$C$5:$AA$496,21,)=0,0,((VLOOKUP($D421,$C$5:$AA$496,21,)/VLOOKUP($D421,$C$5:$AA$496,4,))*$F421))</f>
        <v>0</v>
      </c>
      <c r="X421" s="49"/>
      <c r="Y421" s="49">
        <f>IF(VLOOKUP($D421,$C$5:$AA$496,23,)=0,0,((VLOOKUP($D421,$C$5:$AA$496,23,)/VLOOKUP($D421,$C$5:$AA$496,4,))*$F421))</f>
        <v>616534.04</v>
      </c>
      <c r="Z421" s="49"/>
      <c r="AA421" s="49">
        <f>IF(VLOOKUP($D421,$C$5:$AA$496,25,)=0,0,((VLOOKUP($D421,$C$5:$AA$496,25,)/VLOOKUP($D421,$C$5:$AA$496,4,))*$F421))</f>
        <v>0</v>
      </c>
      <c r="AB421" s="49">
        <f>SUM(H421:AA421)</f>
        <v>616534.04</v>
      </c>
      <c r="AC421" s="29" t="str">
        <f>IF(ABS(AB421-F421)&lt;1,"ok","err")</f>
        <v>ok</v>
      </c>
    </row>
    <row r="422" spans="1:29" x14ac:dyDescent="0.2">
      <c r="A422" s="14">
        <v>904</v>
      </c>
      <c r="B422" s="14" t="s">
        <v>144</v>
      </c>
      <c r="C422" s="14" t="s">
        <v>507</v>
      </c>
      <c r="D422" s="14" t="s">
        <v>140</v>
      </c>
      <c r="F422" s="255">
        <v>0</v>
      </c>
      <c r="G422" s="191"/>
      <c r="H422" s="49">
        <f>IF(VLOOKUP($D422,$C$5:$AA$496,6,)=0,0,((VLOOKUP($D422,$C$5:$AA$496,6,)/VLOOKUP($D422,$C$5:$AA$496,4,))*$F422))</f>
        <v>0</v>
      </c>
      <c r="I422" s="49">
        <f>IF(VLOOKUP($D422,$C$5:$AA$496,7,)=0,0,((VLOOKUP($D422,$C$5:$AA$496,7,)/VLOOKUP($D422,$C$5:$AA$496,4,))*$F422))</f>
        <v>0</v>
      </c>
      <c r="J422" s="49"/>
      <c r="K422" s="49">
        <f>IF(VLOOKUP($D422,$C$5:$AA$496,9,)=0,0,((VLOOKUP($D422,$C$5:$AA$496,9,)/VLOOKUP($D422,$C$5:$AA$496,4,))*$F422))</f>
        <v>0</v>
      </c>
      <c r="L422" s="49"/>
      <c r="M422" s="49">
        <f>IF(VLOOKUP($D422,$C$5:$AA$496,11,)=0,0,((VLOOKUP($D422,$C$5:$AA$496,11,)/VLOOKUP($D422,$C$5:$AA$496,4,))*$F422))</f>
        <v>0</v>
      </c>
      <c r="N422" s="49"/>
      <c r="O422" s="49">
        <f>IF(VLOOKUP($D422,$C$5:$AA$496,13,)=0,0,((VLOOKUP($D422,$C$5:$AA$496,13,)/VLOOKUP($D422,$C$5:$AA$496,4,))*$F422))</f>
        <v>0</v>
      </c>
      <c r="P422" s="49">
        <f>IF(VLOOKUP($D422,$C$5:$AA$496,14,)=0,0,((VLOOKUP($D422,$C$5:$AA$496,14,)/VLOOKUP($D422,$C$5:$AA$496,4,))*$F422))</f>
        <v>0</v>
      </c>
      <c r="Q422" s="49"/>
      <c r="R422" s="49">
        <f>IF(VLOOKUP($D422,$C$5:$AA$496,16,)=0,0,((VLOOKUP($D422,$C$5:$AA$496,16,)/VLOOKUP($D422,$C$5:$AA$496,4,))*$F422))</f>
        <v>0</v>
      </c>
      <c r="S422" s="49">
        <f>IF(VLOOKUP($D422,$C$5:$AA$496,17,)=0,0,((VLOOKUP($D422,$C$5:$AA$496,17,)/VLOOKUP($D422,$C$5:$AA$496,4,))*$F422))</f>
        <v>0</v>
      </c>
      <c r="T422" s="49"/>
      <c r="U422" s="49">
        <f>IF(VLOOKUP($D422,$C$5:$AA$496,19,)=0,0,((VLOOKUP($D422,$C$5:$AA$496,19,)/VLOOKUP($D422,$C$5:$AA$496,4,))*$F422))</f>
        <v>0</v>
      </c>
      <c r="V422" s="49"/>
      <c r="W422" s="49">
        <f>IF(VLOOKUP($D422,$C$5:$AA$496,21,)=0,0,((VLOOKUP($D422,$C$5:$AA$496,21,)/VLOOKUP($D422,$C$5:$AA$496,4,))*$F422))</f>
        <v>0</v>
      </c>
      <c r="X422" s="49"/>
      <c r="Y422" s="49">
        <f>IF(VLOOKUP($D422,$C$5:$AA$496,23,)=0,0,((VLOOKUP($D422,$C$5:$AA$496,23,)/VLOOKUP($D422,$C$5:$AA$496,4,))*$F422))</f>
        <v>0</v>
      </c>
      <c r="Z422" s="49"/>
      <c r="AA422" s="49">
        <f>IF(VLOOKUP($D422,$C$5:$AA$496,25,)=0,0,((VLOOKUP($D422,$C$5:$AA$496,25,)/VLOOKUP($D422,$C$5:$AA$496,4,))*$F422))</f>
        <v>0</v>
      </c>
      <c r="AB422" s="49">
        <f>SUM(H422:AA422)</f>
        <v>0</v>
      </c>
      <c r="AC422" s="29" t="str">
        <f>IF(ABS(AB422-F422)&lt;1,"ok","err")</f>
        <v>ok</v>
      </c>
    </row>
    <row r="423" spans="1:29" x14ac:dyDescent="0.2">
      <c r="A423" s="14">
        <v>905</v>
      </c>
      <c r="B423" s="14" t="s">
        <v>453</v>
      </c>
      <c r="C423" s="14" t="s">
        <v>506</v>
      </c>
      <c r="D423" s="14" t="s">
        <v>140</v>
      </c>
      <c r="F423" s="255">
        <v>0</v>
      </c>
      <c r="G423" s="191"/>
      <c r="H423" s="49">
        <f>IF(VLOOKUP($D423,$C$5:$AA$496,6,)=0,0,((VLOOKUP($D423,$C$5:$AA$496,6,)/VLOOKUP($D423,$C$5:$AA$496,4,))*$F423))</f>
        <v>0</v>
      </c>
      <c r="I423" s="49">
        <f>IF(VLOOKUP($D423,$C$5:$AA$496,7,)=0,0,((VLOOKUP($D423,$C$5:$AA$496,7,)/VLOOKUP($D423,$C$5:$AA$496,4,))*$F423))</f>
        <v>0</v>
      </c>
      <c r="J423" s="49"/>
      <c r="K423" s="49">
        <f>IF(VLOOKUP($D423,$C$5:$AA$496,9,)=0,0,((VLOOKUP($D423,$C$5:$AA$496,9,)/VLOOKUP($D423,$C$5:$AA$496,4,))*$F423))</f>
        <v>0</v>
      </c>
      <c r="L423" s="49"/>
      <c r="M423" s="49">
        <f>IF(VLOOKUP($D423,$C$5:$AA$496,11,)=0,0,((VLOOKUP($D423,$C$5:$AA$496,11,)/VLOOKUP($D423,$C$5:$AA$496,4,))*$F423))</f>
        <v>0</v>
      </c>
      <c r="N423" s="49"/>
      <c r="O423" s="49">
        <f>IF(VLOOKUP($D423,$C$5:$AA$496,13,)=0,0,((VLOOKUP($D423,$C$5:$AA$496,13,)/VLOOKUP($D423,$C$5:$AA$496,4,))*$F423))</f>
        <v>0</v>
      </c>
      <c r="P423" s="49">
        <f>IF(VLOOKUP($D423,$C$5:$AA$496,14,)=0,0,((VLOOKUP($D423,$C$5:$AA$496,14,)/VLOOKUP($D423,$C$5:$AA$496,4,))*$F423))</f>
        <v>0</v>
      </c>
      <c r="Q423" s="49"/>
      <c r="R423" s="49">
        <f>IF(VLOOKUP($D423,$C$5:$AA$496,16,)=0,0,((VLOOKUP($D423,$C$5:$AA$496,16,)/VLOOKUP($D423,$C$5:$AA$496,4,))*$F423))</f>
        <v>0</v>
      </c>
      <c r="S423" s="49">
        <f>IF(VLOOKUP($D423,$C$5:$AA$496,17,)=0,0,((VLOOKUP($D423,$C$5:$AA$496,17,)/VLOOKUP($D423,$C$5:$AA$496,4,))*$F423))</f>
        <v>0</v>
      </c>
      <c r="T423" s="49"/>
      <c r="U423" s="49">
        <f>IF(VLOOKUP($D423,$C$5:$AA$496,19,)=0,0,((VLOOKUP($D423,$C$5:$AA$496,19,)/VLOOKUP($D423,$C$5:$AA$496,4,))*$F423))</f>
        <v>0</v>
      </c>
      <c r="V423" s="49"/>
      <c r="W423" s="49">
        <f>IF(VLOOKUP($D423,$C$5:$AA$496,21,)=0,0,((VLOOKUP($D423,$C$5:$AA$496,21,)/VLOOKUP($D423,$C$5:$AA$496,4,))*$F423))</f>
        <v>0</v>
      </c>
      <c r="X423" s="49"/>
      <c r="Y423" s="49">
        <f>IF(VLOOKUP($D423,$C$5:$AA$496,23,)=0,0,((VLOOKUP($D423,$C$5:$AA$496,23,)/VLOOKUP($D423,$C$5:$AA$496,4,))*$F423))</f>
        <v>0</v>
      </c>
      <c r="Z423" s="49"/>
      <c r="AA423" s="49">
        <f>IF(VLOOKUP($D423,$C$5:$AA$496,25,)=0,0,((VLOOKUP($D423,$C$5:$AA$496,25,)/VLOOKUP($D423,$C$5:$AA$496,4,))*$F423))</f>
        <v>0</v>
      </c>
      <c r="AB423" s="49">
        <f>SUM(H423:AA423)</f>
        <v>0</v>
      </c>
      <c r="AC423" s="29" t="str">
        <f>IF(ABS(AB423-F423)&lt;1,"ok","err")</f>
        <v>ok</v>
      </c>
    </row>
    <row r="424" spans="1:29" x14ac:dyDescent="0.2">
      <c r="A424" s="13"/>
      <c r="F424" s="255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29"/>
    </row>
    <row r="425" spans="1:29" x14ac:dyDescent="0.2">
      <c r="A425" s="14" t="s">
        <v>542</v>
      </c>
      <c r="C425" s="14" t="s">
        <v>508</v>
      </c>
      <c r="F425" s="254">
        <f>SUM(F419:F424)</f>
        <v>757566</v>
      </c>
      <c r="G425" s="65"/>
      <c r="H425" s="65">
        <f>SUM(H419:H424)</f>
        <v>0</v>
      </c>
      <c r="I425" s="65">
        <f>SUM(I419:I424)</f>
        <v>0</v>
      </c>
      <c r="J425" s="65"/>
      <c r="K425" s="65">
        <f>SUM(K419:K424)</f>
        <v>0</v>
      </c>
      <c r="L425" s="65"/>
      <c r="M425" s="65">
        <f>SUM(M419:M424)</f>
        <v>0</v>
      </c>
      <c r="N425" s="65"/>
      <c r="O425" s="65">
        <f>SUM(O419:O424)</f>
        <v>0</v>
      </c>
      <c r="P425" s="65">
        <f>SUM(P419:P424)</f>
        <v>0</v>
      </c>
      <c r="Q425" s="65"/>
      <c r="R425" s="65">
        <f>SUM(R419:R424)</f>
        <v>0</v>
      </c>
      <c r="S425" s="65">
        <f>SUM(S419:S424)</f>
        <v>0</v>
      </c>
      <c r="T425" s="65"/>
      <c r="U425" s="65">
        <f>SUM(U419:U424)</f>
        <v>0</v>
      </c>
      <c r="V425" s="65"/>
      <c r="W425" s="65">
        <f>SUM(W419:W424)</f>
        <v>0</v>
      </c>
      <c r="X425" s="65"/>
      <c r="Y425" s="65">
        <f>SUM(Y419:Y424)</f>
        <v>757566</v>
      </c>
      <c r="Z425" s="65"/>
      <c r="AA425" s="65">
        <f>SUM(AA419:AA424)</f>
        <v>0</v>
      </c>
      <c r="AB425" s="49">
        <f>SUM(H425:AA425)</f>
        <v>757566</v>
      </c>
      <c r="AC425" s="29" t="str">
        <f>IF(ABS(AB425-F425)&lt;1,"ok","err")</f>
        <v>ok</v>
      </c>
    </row>
    <row r="426" spans="1:29" x14ac:dyDescent="0.2">
      <c r="F426" s="255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C426" s="29"/>
    </row>
    <row r="427" spans="1:29" x14ac:dyDescent="0.2">
      <c r="A427" s="13" t="s">
        <v>148</v>
      </c>
      <c r="F427" s="255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C427" s="29"/>
    </row>
    <row r="428" spans="1:29" x14ac:dyDescent="0.2">
      <c r="A428" s="14">
        <v>907</v>
      </c>
      <c r="B428" s="14" t="s">
        <v>385</v>
      </c>
      <c r="C428" s="14" t="s">
        <v>509</v>
      </c>
      <c r="D428" s="14" t="s">
        <v>150</v>
      </c>
      <c r="F428" s="254">
        <v>0</v>
      </c>
      <c r="G428" s="190"/>
      <c r="H428" s="49">
        <f t="shared" ref="H428:H438" si="245">IF(VLOOKUP($D428,$C$5:$AA$496,6,)=0,0,((VLOOKUP($D428,$C$5:$AA$496,6,)/VLOOKUP($D428,$C$5:$AA$496,4,))*$F428))</f>
        <v>0</v>
      </c>
      <c r="I428" s="49">
        <f t="shared" ref="I428:I438" si="246">IF(VLOOKUP($D428,$C$5:$AA$496,7,)=0,0,((VLOOKUP($D428,$C$5:$AA$496,7,)/VLOOKUP($D428,$C$5:$AA$496,4,))*$F428))</f>
        <v>0</v>
      </c>
      <c r="J428" s="49"/>
      <c r="K428" s="49">
        <f t="shared" ref="K428:K438" si="247">IF(VLOOKUP($D428,$C$5:$AA$496,9,)=0,0,((VLOOKUP($D428,$C$5:$AA$496,9,)/VLOOKUP($D428,$C$5:$AA$496,4,))*$F428))</f>
        <v>0</v>
      </c>
      <c r="L428" s="49"/>
      <c r="M428" s="49">
        <f t="shared" ref="M428:M438" si="248">IF(VLOOKUP($D428,$C$5:$AA$496,11,)=0,0,((VLOOKUP($D428,$C$5:$AA$496,11,)/VLOOKUP($D428,$C$5:$AA$496,4,))*$F428))</f>
        <v>0</v>
      </c>
      <c r="N428" s="49"/>
      <c r="O428" s="49">
        <f t="shared" ref="O428:O438" si="249">IF(VLOOKUP($D428,$C$5:$AA$496,13,)=0,0,((VLOOKUP($D428,$C$5:$AA$496,13,)/VLOOKUP($D428,$C$5:$AA$496,4,))*$F428))</f>
        <v>0</v>
      </c>
      <c r="P428" s="49">
        <f t="shared" ref="P428:P438" si="250">IF(VLOOKUP($D428,$C$5:$AA$496,14,)=0,0,((VLOOKUP($D428,$C$5:$AA$496,14,)/VLOOKUP($D428,$C$5:$AA$496,4,))*$F428))</f>
        <v>0</v>
      </c>
      <c r="Q428" s="49"/>
      <c r="R428" s="49">
        <f t="shared" ref="R428:R438" si="251">IF(VLOOKUP($D428,$C$5:$AA$496,16,)=0,0,((VLOOKUP($D428,$C$5:$AA$496,16,)/VLOOKUP($D428,$C$5:$AA$496,4,))*$F428))</f>
        <v>0</v>
      </c>
      <c r="S428" s="49">
        <f t="shared" ref="S428:S438" si="252">IF(VLOOKUP($D428,$C$5:$AA$496,17,)=0,0,((VLOOKUP($D428,$C$5:$AA$496,17,)/VLOOKUP($D428,$C$5:$AA$496,4,))*$F428))</f>
        <v>0</v>
      </c>
      <c r="T428" s="49"/>
      <c r="U428" s="49">
        <f t="shared" ref="U428:U438" si="253">IF(VLOOKUP($D428,$C$5:$AA$496,19,)=0,0,((VLOOKUP($D428,$C$5:$AA$496,19,)/VLOOKUP($D428,$C$5:$AA$496,4,))*$F428))</f>
        <v>0</v>
      </c>
      <c r="V428" s="49"/>
      <c r="W428" s="49">
        <f t="shared" ref="W428:W438" si="254">IF(VLOOKUP($D428,$C$5:$AA$496,21,)=0,0,((VLOOKUP($D428,$C$5:$AA$496,21,)/VLOOKUP($D428,$C$5:$AA$496,4,))*$F428))</f>
        <v>0</v>
      </c>
      <c r="X428" s="49"/>
      <c r="Y428" s="49">
        <f t="shared" ref="Y428:Y438" si="255">IF(VLOOKUP($D428,$C$5:$AA$496,23,)=0,0,((VLOOKUP($D428,$C$5:$AA$496,23,)/VLOOKUP($D428,$C$5:$AA$496,4,))*$F428))</f>
        <v>0</v>
      </c>
      <c r="Z428" s="49"/>
      <c r="AA428" s="49">
        <f t="shared" ref="AA428:AA438" si="256">IF(VLOOKUP($D428,$C$5:$AA$496,25,)=0,0,((VLOOKUP($D428,$C$5:$AA$496,25,)/VLOOKUP($D428,$C$5:$AA$496,4,))*$F428))</f>
        <v>0</v>
      </c>
      <c r="AB428" s="49">
        <f t="shared" ref="AB428:AB438" si="257">SUM(H428:AA428)</f>
        <v>0</v>
      </c>
      <c r="AC428" s="29" t="str">
        <f t="shared" ref="AC428:AC438" si="258">IF(ABS(AB428-F428)&lt;1,"ok","err")</f>
        <v>ok</v>
      </c>
    </row>
    <row r="429" spans="1:29" x14ac:dyDescent="0.2">
      <c r="A429" s="14">
        <v>908</v>
      </c>
      <c r="B429" s="14" t="s">
        <v>151</v>
      </c>
      <c r="C429" s="14" t="s">
        <v>510</v>
      </c>
      <c r="D429" s="14" t="s">
        <v>150</v>
      </c>
      <c r="F429" s="255">
        <v>54305.69</v>
      </c>
      <c r="G429" s="191"/>
      <c r="H429" s="49">
        <f t="shared" si="245"/>
        <v>0</v>
      </c>
      <c r="I429" s="49">
        <f t="shared" si="246"/>
        <v>0</v>
      </c>
      <c r="J429" s="49"/>
      <c r="K429" s="49">
        <f t="shared" si="247"/>
        <v>0</v>
      </c>
      <c r="L429" s="49"/>
      <c r="M429" s="49">
        <f t="shared" si="248"/>
        <v>0</v>
      </c>
      <c r="N429" s="49"/>
      <c r="O429" s="49">
        <f t="shared" si="249"/>
        <v>0</v>
      </c>
      <c r="P429" s="49">
        <f t="shared" si="250"/>
        <v>0</v>
      </c>
      <c r="Q429" s="49"/>
      <c r="R429" s="49">
        <f t="shared" si="251"/>
        <v>0</v>
      </c>
      <c r="S429" s="49">
        <f t="shared" si="252"/>
        <v>0</v>
      </c>
      <c r="T429" s="49"/>
      <c r="U429" s="49">
        <f t="shared" si="253"/>
        <v>0</v>
      </c>
      <c r="V429" s="49"/>
      <c r="W429" s="49">
        <f t="shared" si="254"/>
        <v>0</v>
      </c>
      <c r="X429" s="49"/>
      <c r="Y429" s="49">
        <f t="shared" si="255"/>
        <v>54305.69</v>
      </c>
      <c r="Z429" s="49"/>
      <c r="AA429" s="49">
        <f t="shared" si="256"/>
        <v>0</v>
      </c>
      <c r="AB429" s="49">
        <f t="shared" si="257"/>
        <v>54305.69</v>
      </c>
      <c r="AC429" s="29" t="str">
        <f t="shared" si="258"/>
        <v>ok</v>
      </c>
    </row>
    <row r="430" spans="1:29" x14ac:dyDescent="0.2">
      <c r="A430" s="14">
        <v>908</v>
      </c>
      <c r="B430" s="14" t="s">
        <v>454</v>
      </c>
      <c r="C430" s="14" t="s">
        <v>511</v>
      </c>
      <c r="D430" s="14" t="s">
        <v>471</v>
      </c>
      <c r="F430" s="255">
        <v>0</v>
      </c>
      <c r="G430" s="191"/>
      <c r="H430" s="49">
        <f t="shared" si="245"/>
        <v>0</v>
      </c>
      <c r="I430" s="49">
        <f t="shared" si="246"/>
        <v>0</v>
      </c>
      <c r="J430" s="49"/>
      <c r="K430" s="49">
        <f t="shared" si="247"/>
        <v>0</v>
      </c>
      <c r="L430" s="49"/>
      <c r="M430" s="49">
        <f t="shared" si="248"/>
        <v>0</v>
      </c>
      <c r="N430" s="49"/>
      <c r="O430" s="49">
        <f t="shared" si="249"/>
        <v>0</v>
      </c>
      <c r="P430" s="49">
        <f t="shared" si="250"/>
        <v>0</v>
      </c>
      <c r="Q430" s="49"/>
      <c r="R430" s="49">
        <f t="shared" si="251"/>
        <v>0</v>
      </c>
      <c r="S430" s="49">
        <f t="shared" si="252"/>
        <v>0</v>
      </c>
      <c r="T430" s="49"/>
      <c r="U430" s="49">
        <f t="shared" si="253"/>
        <v>0</v>
      </c>
      <c r="V430" s="49"/>
      <c r="W430" s="49">
        <f t="shared" si="254"/>
        <v>0</v>
      </c>
      <c r="X430" s="49"/>
      <c r="Y430" s="49">
        <f t="shared" si="255"/>
        <v>0</v>
      </c>
      <c r="Z430" s="49"/>
      <c r="AA430" s="49">
        <f t="shared" si="256"/>
        <v>0</v>
      </c>
      <c r="AB430" s="49">
        <f t="shared" si="257"/>
        <v>0</v>
      </c>
      <c r="AC430" s="29" t="str">
        <f t="shared" si="258"/>
        <v>ok</v>
      </c>
    </row>
    <row r="431" spans="1:29" x14ac:dyDescent="0.2">
      <c r="A431" s="14">
        <v>909</v>
      </c>
      <c r="B431" s="14" t="s">
        <v>153</v>
      </c>
      <c r="C431" s="14" t="s">
        <v>512</v>
      </c>
      <c r="D431" s="14" t="s">
        <v>150</v>
      </c>
      <c r="F431" s="255">
        <v>28190.2</v>
      </c>
      <c r="G431" s="191"/>
      <c r="H431" s="49">
        <f t="shared" si="245"/>
        <v>0</v>
      </c>
      <c r="I431" s="49">
        <f t="shared" si="246"/>
        <v>0</v>
      </c>
      <c r="J431" s="49"/>
      <c r="K431" s="49">
        <f t="shared" si="247"/>
        <v>0</v>
      </c>
      <c r="L431" s="49"/>
      <c r="M431" s="49">
        <f t="shared" si="248"/>
        <v>0</v>
      </c>
      <c r="N431" s="49"/>
      <c r="O431" s="49">
        <f t="shared" si="249"/>
        <v>0</v>
      </c>
      <c r="P431" s="49">
        <f t="shared" si="250"/>
        <v>0</v>
      </c>
      <c r="Q431" s="49"/>
      <c r="R431" s="49">
        <f t="shared" si="251"/>
        <v>0</v>
      </c>
      <c r="S431" s="49">
        <f t="shared" si="252"/>
        <v>0</v>
      </c>
      <c r="T431" s="49"/>
      <c r="U431" s="49">
        <f t="shared" si="253"/>
        <v>0</v>
      </c>
      <c r="V431" s="49"/>
      <c r="W431" s="49">
        <f t="shared" si="254"/>
        <v>0</v>
      </c>
      <c r="X431" s="49"/>
      <c r="Y431" s="49">
        <f t="shared" si="255"/>
        <v>28190.2</v>
      </c>
      <c r="Z431" s="49"/>
      <c r="AA431" s="49">
        <f t="shared" si="256"/>
        <v>0</v>
      </c>
      <c r="AB431" s="49">
        <f t="shared" si="257"/>
        <v>28190.2</v>
      </c>
      <c r="AC431" s="29" t="str">
        <f t="shared" si="258"/>
        <v>ok</v>
      </c>
    </row>
    <row r="432" spans="1:29" x14ac:dyDescent="0.2">
      <c r="A432" s="14">
        <v>909</v>
      </c>
      <c r="B432" s="14" t="s">
        <v>456</v>
      </c>
      <c r="C432" s="14" t="s">
        <v>513</v>
      </c>
      <c r="D432" s="14" t="s">
        <v>471</v>
      </c>
      <c r="F432" s="255">
        <v>0</v>
      </c>
      <c r="G432" s="191"/>
      <c r="H432" s="49">
        <f t="shared" si="245"/>
        <v>0</v>
      </c>
      <c r="I432" s="49">
        <f t="shared" si="246"/>
        <v>0</v>
      </c>
      <c r="J432" s="49"/>
      <c r="K432" s="49">
        <f t="shared" si="247"/>
        <v>0</v>
      </c>
      <c r="L432" s="49"/>
      <c r="M432" s="49">
        <f t="shared" si="248"/>
        <v>0</v>
      </c>
      <c r="N432" s="49"/>
      <c r="O432" s="49">
        <f t="shared" si="249"/>
        <v>0</v>
      </c>
      <c r="P432" s="49">
        <f t="shared" si="250"/>
        <v>0</v>
      </c>
      <c r="Q432" s="49"/>
      <c r="R432" s="49">
        <f t="shared" si="251"/>
        <v>0</v>
      </c>
      <c r="S432" s="49">
        <f t="shared" si="252"/>
        <v>0</v>
      </c>
      <c r="T432" s="49"/>
      <c r="U432" s="49">
        <f t="shared" si="253"/>
        <v>0</v>
      </c>
      <c r="V432" s="49"/>
      <c r="W432" s="49">
        <f t="shared" si="254"/>
        <v>0</v>
      </c>
      <c r="X432" s="49"/>
      <c r="Y432" s="49">
        <f t="shared" si="255"/>
        <v>0</v>
      </c>
      <c r="Z432" s="49"/>
      <c r="AA432" s="49">
        <f t="shared" si="256"/>
        <v>0</v>
      </c>
      <c r="AB432" s="49">
        <f t="shared" si="257"/>
        <v>0</v>
      </c>
      <c r="AC432" s="29" t="str">
        <f t="shared" si="258"/>
        <v>ok</v>
      </c>
    </row>
    <row r="433" spans="1:29" x14ac:dyDescent="0.2">
      <c r="A433" s="14">
        <v>910</v>
      </c>
      <c r="B433" s="14" t="s">
        <v>155</v>
      </c>
      <c r="C433" s="14" t="s">
        <v>514</v>
      </c>
      <c r="D433" s="14" t="s">
        <v>150</v>
      </c>
      <c r="F433" s="255">
        <v>0</v>
      </c>
      <c r="G433" s="191"/>
      <c r="H433" s="49">
        <f t="shared" si="245"/>
        <v>0</v>
      </c>
      <c r="I433" s="49">
        <f t="shared" si="246"/>
        <v>0</v>
      </c>
      <c r="J433" s="49"/>
      <c r="K433" s="49">
        <f t="shared" si="247"/>
        <v>0</v>
      </c>
      <c r="L433" s="49"/>
      <c r="M433" s="49">
        <f t="shared" si="248"/>
        <v>0</v>
      </c>
      <c r="N433" s="49"/>
      <c r="O433" s="49">
        <f t="shared" si="249"/>
        <v>0</v>
      </c>
      <c r="P433" s="49">
        <f t="shared" si="250"/>
        <v>0</v>
      </c>
      <c r="Q433" s="49"/>
      <c r="R433" s="49">
        <f t="shared" si="251"/>
        <v>0</v>
      </c>
      <c r="S433" s="49">
        <f t="shared" si="252"/>
        <v>0</v>
      </c>
      <c r="T433" s="49"/>
      <c r="U433" s="49">
        <f t="shared" si="253"/>
        <v>0</v>
      </c>
      <c r="V433" s="49"/>
      <c r="W433" s="49">
        <f t="shared" si="254"/>
        <v>0</v>
      </c>
      <c r="X433" s="49"/>
      <c r="Y433" s="49">
        <f t="shared" si="255"/>
        <v>0</v>
      </c>
      <c r="Z433" s="49"/>
      <c r="AA433" s="49">
        <f t="shared" si="256"/>
        <v>0</v>
      </c>
      <c r="AB433" s="49">
        <f t="shared" si="257"/>
        <v>0</v>
      </c>
      <c r="AC433" s="29" t="str">
        <f t="shared" si="258"/>
        <v>ok</v>
      </c>
    </row>
    <row r="434" spans="1:29" x14ac:dyDescent="0.2">
      <c r="A434" s="14">
        <v>911</v>
      </c>
      <c r="B434" s="14" t="s">
        <v>385</v>
      </c>
      <c r="C434" s="14" t="s">
        <v>712</v>
      </c>
      <c r="D434" s="14" t="s">
        <v>150</v>
      </c>
      <c r="F434" s="255">
        <v>0</v>
      </c>
      <c r="G434" s="191"/>
      <c r="H434" s="49">
        <f t="shared" si="245"/>
        <v>0</v>
      </c>
      <c r="I434" s="49">
        <f t="shared" si="246"/>
        <v>0</v>
      </c>
      <c r="J434" s="49"/>
      <c r="K434" s="49">
        <f t="shared" si="247"/>
        <v>0</v>
      </c>
      <c r="L434" s="49"/>
      <c r="M434" s="49">
        <f t="shared" si="248"/>
        <v>0</v>
      </c>
      <c r="N434" s="49"/>
      <c r="O434" s="49">
        <f t="shared" si="249"/>
        <v>0</v>
      </c>
      <c r="P434" s="49">
        <f t="shared" si="250"/>
        <v>0</v>
      </c>
      <c r="Q434" s="49"/>
      <c r="R434" s="49">
        <f t="shared" si="251"/>
        <v>0</v>
      </c>
      <c r="S434" s="49">
        <f t="shared" si="252"/>
        <v>0</v>
      </c>
      <c r="T434" s="49"/>
      <c r="U434" s="49">
        <f t="shared" si="253"/>
        <v>0</v>
      </c>
      <c r="V434" s="49"/>
      <c r="W434" s="49">
        <f t="shared" si="254"/>
        <v>0</v>
      </c>
      <c r="X434" s="49"/>
      <c r="Y434" s="49">
        <f t="shared" si="255"/>
        <v>0</v>
      </c>
      <c r="Z434" s="49"/>
      <c r="AA434" s="49">
        <f t="shared" si="256"/>
        <v>0</v>
      </c>
      <c r="AB434" s="49">
        <f>SUM(H434:AA434)</f>
        <v>0</v>
      </c>
      <c r="AC434" s="29" t="str">
        <f>IF(ABS(AB434-F434)&lt;1,"ok","err")</f>
        <v>ok</v>
      </c>
    </row>
    <row r="435" spans="1:29" x14ac:dyDescent="0.2">
      <c r="A435" s="14">
        <v>912</v>
      </c>
      <c r="B435" s="14" t="s">
        <v>587</v>
      </c>
      <c r="C435" s="14" t="s">
        <v>590</v>
      </c>
      <c r="D435" s="14" t="s">
        <v>471</v>
      </c>
      <c r="F435" s="255">
        <v>0</v>
      </c>
      <c r="G435" s="191"/>
      <c r="H435" s="49">
        <f t="shared" si="245"/>
        <v>0</v>
      </c>
      <c r="I435" s="49">
        <f t="shared" si="246"/>
        <v>0</v>
      </c>
      <c r="J435" s="49"/>
      <c r="K435" s="49">
        <f t="shared" si="247"/>
        <v>0</v>
      </c>
      <c r="L435" s="49"/>
      <c r="M435" s="49">
        <f t="shared" si="248"/>
        <v>0</v>
      </c>
      <c r="N435" s="49"/>
      <c r="O435" s="49">
        <f t="shared" si="249"/>
        <v>0</v>
      </c>
      <c r="P435" s="49">
        <f t="shared" si="250"/>
        <v>0</v>
      </c>
      <c r="Q435" s="49"/>
      <c r="R435" s="49">
        <f t="shared" si="251"/>
        <v>0</v>
      </c>
      <c r="S435" s="49">
        <f t="shared" si="252"/>
        <v>0</v>
      </c>
      <c r="T435" s="49"/>
      <c r="U435" s="49">
        <f t="shared" si="253"/>
        <v>0</v>
      </c>
      <c r="V435" s="49"/>
      <c r="W435" s="49">
        <f t="shared" si="254"/>
        <v>0</v>
      </c>
      <c r="X435" s="49"/>
      <c r="Y435" s="49">
        <f t="shared" si="255"/>
        <v>0</v>
      </c>
      <c r="Z435" s="49"/>
      <c r="AA435" s="49">
        <f t="shared" si="256"/>
        <v>0</v>
      </c>
      <c r="AB435" s="49">
        <f t="shared" si="257"/>
        <v>0</v>
      </c>
      <c r="AC435" s="29" t="str">
        <f t="shared" si="258"/>
        <v>ok</v>
      </c>
    </row>
    <row r="436" spans="1:29" x14ac:dyDescent="0.2">
      <c r="A436" s="14">
        <v>913</v>
      </c>
      <c r="B436" s="14" t="s">
        <v>576</v>
      </c>
      <c r="C436" s="14" t="s">
        <v>591</v>
      </c>
      <c r="D436" s="14" t="s">
        <v>471</v>
      </c>
      <c r="F436" s="255">
        <v>0</v>
      </c>
      <c r="G436" s="191"/>
      <c r="H436" s="49">
        <f t="shared" si="245"/>
        <v>0</v>
      </c>
      <c r="I436" s="49">
        <f t="shared" si="246"/>
        <v>0</v>
      </c>
      <c r="J436" s="49"/>
      <c r="K436" s="49">
        <f t="shared" si="247"/>
        <v>0</v>
      </c>
      <c r="L436" s="49"/>
      <c r="M436" s="49">
        <f t="shared" si="248"/>
        <v>0</v>
      </c>
      <c r="N436" s="49"/>
      <c r="O436" s="49">
        <f t="shared" si="249"/>
        <v>0</v>
      </c>
      <c r="P436" s="49">
        <f t="shared" si="250"/>
        <v>0</v>
      </c>
      <c r="Q436" s="49"/>
      <c r="R436" s="49">
        <f t="shared" si="251"/>
        <v>0</v>
      </c>
      <c r="S436" s="49">
        <f t="shared" si="252"/>
        <v>0</v>
      </c>
      <c r="T436" s="49"/>
      <c r="U436" s="49">
        <f t="shared" si="253"/>
        <v>0</v>
      </c>
      <c r="V436" s="49"/>
      <c r="W436" s="49">
        <f t="shared" si="254"/>
        <v>0</v>
      </c>
      <c r="X436" s="49"/>
      <c r="Y436" s="49">
        <f t="shared" si="255"/>
        <v>0</v>
      </c>
      <c r="Z436" s="49"/>
      <c r="AA436" s="49">
        <f t="shared" si="256"/>
        <v>0</v>
      </c>
      <c r="AB436" s="49">
        <f t="shared" si="257"/>
        <v>0</v>
      </c>
      <c r="AC436" s="29" t="str">
        <f t="shared" si="258"/>
        <v>ok</v>
      </c>
    </row>
    <row r="437" spans="1:29" x14ac:dyDescent="0.2">
      <c r="A437" s="14">
        <v>915</v>
      </c>
      <c r="B437" s="14" t="s">
        <v>639</v>
      </c>
      <c r="C437" s="14" t="s">
        <v>642</v>
      </c>
      <c r="D437" s="14" t="s">
        <v>471</v>
      </c>
      <c r="F437" s="255">
        <v>0</v>
      </c>
      <c r="G437" s="191"/>
      <c r="H437" s="49">
        <f t="shared" si="245"/>
        <v>0</v>
      </c>
      <c r="I437" s="49">
        <f t="shared" si="246"/>
        <v>0</v>
      </c>
      <c r="J437" s="49"/>
      <c r="K437" s="49">
        <f t="shared" si="247"/>
        <v>0</v>
      </c>
      <c r="L437" s="49"/>
      <c r="M437" s="49">
        <f t="shared" si="248"/>
        <v>0</v>
      </c>
      <c r="N437" s="49"/>
      <c r="O437" s="49">
        <f t="shared" si="249"/>
        <v>0</v>
      </c>
      <c r="P437" s="49">
        <f t="shared" si="250"/>
        <v>0</v>
      </c>
      <c r="Q437" s="49"/>
      <c r="R437" s="49">
        <f t="shared" si="251"/>
        <v>0</v>
      </c>
      <c r="S437" s="49">
        <f t="shared" si="252"/>
        <v>0</v>
      </c>
      <c r="T437" s="49"/>
      <c r="U437" s="49">
        <f t="shared" si="253"/>
        <v>0</v>
      </c>
      <c r="V437" s="49"/>
      <c r="W437" s="49">
        <f t="shared" si="254"/>
        <v>0</v>
      </c>
      <c r="X437" s="49"/>
      <c r="Y437" s="49">
        <f t="shared" si="255"/>
        <v>0</v>
      </c>
      <c r="Z437" s="49"/>
      <c r="AA437" s="49">
        <f t="shared" si="256"/>
        <v>0</v>
      </c>
      <c r="AB437" s="49">
        <f t="shared" si="257"/>
        <v>0</v>
      </c>
      <c r="AC437" s="29" t="str">
        <f t="shared" si="258"/>
        <v>ok</v>
      </c>
    </row>
    <row r="438" spans="1:29" x14ac:dyDescent="0.2">
      <c r="A438" s="14">
        <v>916</v>
      </c>
      <c r="B438" s="14" t="s">
        <v>640</v>
      </c>
      <c r="C438" s="14" t="s">
        <v>643</v>
      </c>
      <c r="D438" s="14" t="s">
        <v>471</v>
      </c>
      <c r="F438" s="255">
        <v>0</v>
      </c>
      <c r="G438" s="191"/>
      <c r="H438" s="49">
        <f t="shared" si="245"/>
        <v>0</v>
      </c>
      <c r="I438" s="49">
        <f t="shared" si="246"/>
        <v>0</v>
      </c>
      <c r="J438" s="49"/>
      <c r="K438" s="49">
        <f t="shared" si="247"/>
        <v>0</v>
      </c>
      <c r="L438" s="49"/>
      <c r="M438" s="49">
        <f t="shared" si="248"/>
        <v>0</v>
      </c>
      <c r="N438" s="49"/>
      <c r="O438" s="49">
        <f t="shared" si="249"/>
        <v>0</v>
      </c>
      <c r="P438" s="49">
        <f t="shared" si="250"/>
        <v>0</v>
      </c>
      <c r="Q438" s="49"/>
      <c r="R438" s="49">
        <f t="shared" si="251"/>
        <v>0</v>
      </c>
      <c r="S438" s="49">
        <f t="shared" si="252"/>
        <v>0</v>
      </c>
      <c r="T438" s="49"/>
      <c r="U438" s="49">
        <f t="shared" si="253"/>
        <v>0</v>
      </c>
      <c r="V438" s="49"/>
      <c r="W438" s="49">
        <f t="shared" si="254"/>
        <v>0</v>
      </c>
      <c r="X438" s="49"/>
      <c r="Y438" s="49">
        <f t="shared" si="255"/>
        <v>0</v>
      </c>
      <c r="Z438" s="49"/>
      <c r="AA438" s="49">
        <f t="shared" si="256"/>
        <v>0</v>
      </c>
      <c r="AB438" s="49">
        <f t="shared" si="257"/>
        <v>0</v>
      </c>
      <c r="AC438" s="29" t="str">
        <f t="shared" si="258"/>
        <v>ok</v>
      </c>
    </row>
    <row r="439" spans="1:29" x14ac:dyDescent="0.2">
      <c r="F439" s="255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29"/>
    </row>
    <row r="440" spans="1:29" x14ac:dyDescent="0.2">
      <c r="A440" s="14" t="s">
        <v>543</v>
      </c>
      <c r="C440" s="14" t="s">
        <v>515</v>
      </c>
      <c r="F440" s="254">
        <f>SUM(F428:F439)</f>
        <v>82495.89</v>
      </c>
      <c r="G440" s="65"/>
      <c r="H440" s="65">
        <f>SUM(H428:H439)</f>
        <v>0</v>
      </c>
      <c r="I440" s="65">
        <f>SUM(I428:I439)</f>
        <v>0</v>
      </c>
      <c r="J440" s="65"/>
      <c r="K440" s="65">
        <f>SUM(K428:K439)</f>
        <v>0</v>
      </c>
      <c r="L440" s="65"/>
      <c r="M440" s="65">
        <f>SUM(M428:M439)</f>
        <v>0</v>
      </c>
      <c r="N440" s="65"/>
      <c r="O440" s="65">
        <f>SUM(O428:O439)</f>
        <v>0</v>
      </c>
      <c r="P440" s="65">
        <f>SUM(P428:P439)</f>
        <v>0</v>
      </c>
      <c r="Q440" s="65"/>
      <c r="R440" s="65">
        <f>SUM(R428:R439)</f>
        <v>0</v>
      </c>
      <c r="S440" s="65">
        <f>SUM(S428:S439)</f>
        <v>0</v>
      </c>
      <c r="T440" s="65"/>
      <c r="U440" s="65">
        <f>SUM(U428:U439)</f>
        <v>0</v>
      </c>
      <c r="V440" s="65"/>
      <c r="W440" s="65">
        <f>SUM(W428:W439)</f>
        <v>0</v>
      </c>
      <c r="X440" s="65"/>
      <c r="Y440" s="65">
        <f>SUM(Y428:Y439)</f>
        <v>82495.89</v>
      </c>
      <c r="Z440" s="65"/>
      <c r="AA440" s="65">
        <f>SUM(AA428:AA439)</f>
        <v>0</v>
      </c>
      <c r="AB440" s="49">
        <f>SUM(H440:AA440)</f>
        <v>82495.89</v>
      </c>
      <c r="AC440" s="29" t="str">
        <f>IF(ABS(AB440-F440)&lt;1,"ok","err")</f>
        <v>ok</v>
      </c>
    </row>
    <row r="441" spans="1:29" x14ac:dyDescent="0.2">
      <c r="F441" s="255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C441" s="29"/>
    </row>
    <row r="442" spans="1:29" x14ac:dyDescent="0.2">
      <c r="A442" s="14" t="s">
        <v>544</v>
      </c>
      <c r="C442" s="14" t="s">
        <v>516</v>
      </c>
      <c r="F442" s="255">
        <f>F414+F425+F440</f>
        <v>3148316.85</v>
      </c>
      <c r="G442" s="49"/>
      <c r="H442" s="49">
        <f>H414+H425+H440</f>
        <v>0</v>
      </c>
      <c r="I442" s="49">
        <f>I414+I425+I440</f>
        <v>0</v>
      </c>
      <c r="J442" s="49"/>
      <c r="K442" s="49">
        <f>K414+K425+K440</f>
        <v>0</v>
      </c>
      <c r="L442" s="49"/>
      <c r="M442" s="49">
        <f>M414+M425+M440</f>
        <v>161501.9469927022</v>
      </c>
      <c r="N442" s="49"/>
      <c r="O442" s="49">
        <f>O414+O425+O440</f>
        <v>749014.98589101178</v>
      </c>
      <c r="P442" s="49">
        <f>P414+P425+P440</f>
        <v>1138592.9753938536</v>
      </c>
      <c r="Q442" s="49"/>
      <c r="R442" s="49">
        <f>R414+R425+R440</f>
        <v>0</v>
      </c>
      <c r="S442" s="49">
        <f>S414+S425+S440</f>
        <v>61026.825139664696</v>
      </c>
      <c r="T442" s="49"/>
      <c r="U442" s="49">
        <f>U414+U425+U440</f>
        <v>162855.90604532583</v>
      </c>
      <c r="V442" s="49"/>
      <c r="W442" s="49">
        <f>W414+W425+W440</f>
        <v>35262.320537441941</v>
      </c>
      <c r="X442" s="49"/>
      <c r="Y442" s="49">
        <f>Y414+Y425+Y440</f>
        <v>840061.89</v>
      </c>
      <c r="Z442" s="49"/>
      <c r="AA442" s="49">
        <f>AA414+AA425+AA440</f>
        <v>0</v>
      </c>
      <c r="AB442" s="49">
        <f>SUM(H442:AA442)</f>
        <v>3148316.85</v>
      </c>
      <c r="AC442" s="29" t="str">
        <f>IF(ABS(AB442-F442)&lt;1,"ok","err")</f>
        <v>ok</v>
      </c>
    </row>
    <row r="443" spans="1:29" x14ac:dyDescent="0.2">
      <c r="F443" s="255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C443" s="29"/>
    </row>
    <row r="444" spans="1:29" x14ac:dyDescent="0.2">
      <c r="F444" s="255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C444" s="29"/>
    </row>
    <row r="445" spans="1:29" x14ac:dyDescent="0.2">
      <c r="A445" s="27" t="s">
        <v>473</v>
      </c>
      <c r="F445" s="255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C445" s="29"/>
    </row>
    <row r="446" spans="1:29" x14ac:dyDescent="0.2">
      <c r="F446" s="255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C446" s="29"/>
    </row>
    <row r="447" spans="1:29" x14ac:dyDescent="0.2">
      <c r="A447" s="13" t="s">
        <v>159</v>
      </c>
      <c r="F447" s="255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C447" s="29"/>
    </row>
    <row r="448" spans="1:29" x14ac:dyDescent="0.2">
      <c r="A448" s="14">
        <v>920</v>
      </c>
      <c r="B448" s="14" t="s">
        <v>160</v>
      </c>
      <c r="C448" s="14" t="s">
        <v>517</v>
      </c>
      <c r="D448" s="14" t="s">
        <v>411</v>
      </c>
      <c r="F448" s="254">
        <v>737334.32</v>
      </c>
      <c r="G448" s="190"/>
      <c r="H448" s="49">
        <f t="shared" ref="H448:H459" si="259">IF(VLOOKUP($D448,$C$5:$AA$496,6,)=0,0,((VLOOKUP($D448,$C$5:$AA$496,6,)/VLOOKUP($D448,$C$5:$AA$496,4,))*$F448))</f>
        <v>0</v>
      </c>
      <c r="I448" s="49">
        <f t="shared" ref="I448:I459" si="260">IF(VLOOKUP($D448,$C$5:$AA$496,7,)=0,0,((VLOOKUP($D448,$C$5:$AA$496,7,)/VLOOKUP($D448,$C$5:$AA$496,4,))*$F448))</f>
        <v>0</v>
      </c>
      <c r="J448" s="49"/>
      <c r="K448" s="49">
        <f t="shared" ref="K448:K459" si="261">IF(VLOOKUP($D448,$C$5:$AA$496,9,)=0,0,((VLOOKUP($D448,$C$5:$AA$496,9,)/VLOOKUP($D448,$C$5:$AA$496,4,))*$F448))</f>
        <v>0</v>
      </c>
      <c r="L448" s="49"/>
      <c r="M448" s="49">
        <f t="shared" ref="M448:M459" si="262">IF(VLOOKUP($D448,$C$5:$AA$496,11,)=0,0,((VLOOKUP($D448,$C$5:$AA$496,11,)/VLOOKUP($D448,$C$5:$AA$496,4,))*$F448))</f>
        <v>43965.926211144462</v>
      </c>
      <c r="N448" s="49"/>
      <c r="O448" s="49">
        <f t="shared" ref="O448:O459" si="263">IF(VLOOKUP($D448,$C$5:$AA$496,13,)=0,0,((VLOOKUP($D448,$C$5:$AA$496,13,)/VLOOKUP($D448,$C$5:$AA$496,4,))*$F448))</f>
        <v>187796.54260034009</v>
      </c>
      <c r="P448" s="49">
        <f t="shared" ref="P448:P459" si="264">IF(VLOOKUP($D448,$C$5:$AA$496,14,)=0,0,((VLOOKUP($D448,$C$5:$AA$496,14,)/VLOOKUP($D448,$C$5:$AA$496,4,))*$F448))</f>
        <v>329916.56387574802</v>
      </c>
      <c r="Q448" s="49"/>
      <c r="R448" s="49">
        <f t="shared" ref="R448:R459" si="265">IF(VLOOKUP($D448,$C$5:$AA$496,16,)=0,0,((VLOOKUP($D448,$C$5:$AA$496,16,)/VLOOKUP($D448,$C$5:$AA$496,4,))*$F448))</f>
        <v>0</v>
      </c>
      <c r="S448" s="49">
        <f t="shared" ref="S448:S459" si="266">IF(VLOOKUP($D448,$C$5:$AA$496,17,)=0,0,((VLOOKUP($D448,$C$5:$AA$496,17,)/VLOOKUP($D448,$C$5:$AA$496,4,))*$F448))</f>
        <v>13078.935692998653</v>
      </c>
      <c r="T448" s="49"/>
      <c r="U448" s="49">
        <f t="shared" ref="U448:U459" si="267">IF(VLOOKUP($D448,$C$5:$AA$496,19,)=0,0,((VLOOKUP($D448,$C$5:$AA$496,19,)/VLOOKUP($D448,$C$5:$AA$496,4,))*$F448))</f>
        <v>32288.355723120821</v>
      </c>
      <c r="V448" s="49"/>
      <c r="W448" s="49">
        <f t="shared" ref="W448:W459" si="268">IF(VLOOKUP($D448,$C$5:$AA$496,21,)=0,0,((VLOOKUP($D448,$C$5:$AA$496,21,)/VLOOKUP($D448,$C$5:$AA$496,4,))*$F448))</f>
        <v>8163.7352417280454</v>
      </c>
      <c r="X448" s="49"/>
      <c r="Y448" s="49">
        <f t="shared" ref="Y448:Y459" si="269">IF(VLOOKUP($D448,$C$5:$AA$496,23,)=0,0,((VLOOKUP($D448,$C$5:$AA$496,23,)/VLOOKUP($D448,$C$5:$AA$496,4,))*$F448))</f>
        <v>122599.75151400884</v>
      </c>
      <c r="Z448" s="49"/>
      <c r="AA448" s="49">
        <f t="shared" ref="AA448:AA459" si="270">IF(VLOOKUP($D448,$C$5:$AA$496,25,)=0,0,((VLOOKUP($D448,$C$5:$AA$496,25,)/VLOOKUP($D448,$C$5:$AA$496,4,))*$F448))</f>
        <v>-475.49085908899605</v>
      </c>
      <c r="AB448" s="49">
        <f t="shared" ref="AB448:AB459" si="271">SUM(H448:AA448)</f>
        <v>737334.32000000007</v>
      </c>
      <c r="AC448" s="29" t="str">
        <f t="shared" ref="AC448:AC459" si="272">IF(ABS(AB448-F448)&lt;1,"ok","err")</f>
        <v>ok</v>
      </c>
    </row>
    <row r="449" spans="1:29" x14ac:dyDescent="0.2">
      <c r="A449" s="14">
        <v>921</v>
      </c>
      <c r="B449" s="14" t="s">
        <v>162</v>
      </c>
      <c r="C449" s="14" t="s">
        <v>518</v>
      </c>
      <c r="D449" s="14" t="s">
        <v>516</v>
      </c>
      <c r="F449" s="255">
        <v>0</v>
      </c>
      <c r="G449" s="191"/>
      <c r="H449" s="49">
        <f t="shared" si="259"/>
        <v>0</v>
      </c>
      <c r="I449" s="49">
        <f t="shared" si="260"/>
        <v>0</v>
      </c>
      <c r="J449" s="49"/>
      <c r="K449" s="49">
        <f t="shared" si="261"/>
        <v>0</v>
      </c>
      <c r="L449" s="49"/>
      <c r="M449" s="49">
        <f t="shared" si="262"/>
        <v>0</v>
      </c>
      <c r="N449" s="49"/>
      <c r="O449" s="49">
        <f t="shared" si="263"/>
        <v>0</v>
      </c>
      <c r="P449" s="49">
        <f t="shared" si="264"/>
        <v>0</v>
      </c>
      <c r="Q449" s="49"/>
      <c r="R449" s="49">
        <f t="shared" si="265"/>
        <v>0</v>
      </c>
      <c r="S449" s="49">
        <f t="shared" si="266"/>
        <v>0</v>
      </c>
      <c r="T449" s="49"/>
      <c r="U449" s="49">
        <f t="shared" si="267"/>
        <v>0</v>
      </c>
      <c r="V449" s="49"/>
      <c r="W449" s="49">
        <f t="shared" si="268"/>
        <v>0</v>
      </c>
      <c r="X449" s="49"/>
      <c r="Y449" s="49">
        <f t="shared" si="269"/>
        <v>0</v>
      </c>
      <c r="Z449" s="49"/>
      <c r="AA449" s="49">
        <f t="shared" si="270"/>
        <v>0</v>
      </c>
      <c r="AB449" s="49">
        <f t="shared" si="271"/>
        <v>0</v>
      </c>
      <c r="AC449" s="29" t="str">
        <f t="shared" si="272"/>
        <v>ok</v>
      </c>
    </row>
    <row r="450" spans="1:29" x14ac:dyDescent="0.2">
      <c r="A450" s="14">
        <v>923</v>
      </c>
      <c r="B450" s="14" t="s">
        <v>164</v>
      </c>
      <c r="C450" s="14" t="s">
        <v>519</v>
      </c>
      <c r="D450" s="14" t="s">
        <v>411</v>
      </c>
      <c r="F450" s="255">
        <v>0</v>
      </c>
      <c r="G450" s="191"/>
      <c r="H450" s="49">
        <f t="shared" si="259"/>
        <v>0</v>
      </c>
      <c r="I450" s="49">
        <f t="shared" si="260"/>
        <v>0</v>
      </c>
      <c r="J450" s="49"/>
      <c r="K450" s="49">
        <f t="shared" si="261"/>
        <v>0</v>
      </c>
      <c r="L450" s="49"/>
      <c r="M450" s="49">
        <f t="shared" si="262"/>
        <v>0</v>
      </c>
      <c r="N450" s="49"/>
      <c r="O450" s="49">
        <f t="shared" si="263"/>
        <v>0</v>
      </c>
      <c r="P450" s="49">
        <f t="shared" si="264"/>
        <v>0</v>
      </c>
      <c r="Q450" s="49"/>
      <c r="R450" s="49">
        <f t="shared" si="265"/>
        <v>0</v>
      </c>
      <c r="S450" s="49">
        <f t="shared" si="266"/>
        <v>0</v>
      </c>
      <c r="T450" s="49"/>
      <c r="U450" s="49">
        <f t="shared" si="267"/>
        <v>0</v>
      </c>
      <c r="V450" s="49"/>
      <c r="W450" s="49">
        <f t="shared" si="268"/>
        <v>0</v>
      </c>
      <c r="X450" s="49"/>
      <c r="Y450" s="49">
        <f t="shared" si="269"/>
        <v>0</v>
      </c>
      <c r="Z450" s="49"/>
      <c r="AA450" s="49">
        <f t="shared" si="270"/>
        <v>0</v>
      </c>
      <c r="AB450" s="49">
        <f t="shared" si="271"/>
        <v>0</v>
      </c>
      <c r="AC450" s="29" t="str">
        <f t="shared" si="272"/>
        <v>ok</v>
      </c>
    </row>
    <row r="451" spans="1:29" x14ac:dyDescent="0.2">
      <c r="A451" s="14">
        <v>924</v>
      </c>
      <c r="B451" s="14" t="s">
        <v>166</v>
      </c>
      <c r="C451" s="14" t="s">
        <v>520</v>
      </c>
      <c r="D451" s="14" t="s">
        <v>84</v>
      </c>
      <c r="F451" s="255">
        <v>0</v>
      </c>
      <c r="G451" s="191"/>
      <c r="H451" s="49">
        <f t="shared" si="259"/>
        <v>0</v>
      </c>
      <c r="I451" s="49">
        <f t="shared" si="260"/>
        <v>0</v>
      </c>
      <c r="J451" s="49"/>
      <c r="K451" s="49">
        <f t="shared" si="261"/>
        <v>0</v>
      </c>
      <c r="L451" s="49"/>
      <c r="M451" s="49">
        <f t="shared" si="262"/>
        <v>0</v>
      </c>
      <c r="N451" s="49"/>
      <c r="O451" s="49">
        <f t="shared" si="263"/>
        <v>0</v>
      </c>
      <c r="P451" s="49">
        <f t="shared" si="264"/>
        <v>0</v>
      </c>
      <c r="Q451" s="49"/>
      <c r="R451" s="49">
        <f t="shared" si="265"/>
        <v>0</v>
      </c>
      <c r="S451" s="49">
        <f t="shared" si="266"/>
        <v>0</v>
      </c>
      <c r="T451" s="49"/>
      <c r="U451" s="49">
        <f t="shared" si="267"/>
        <v>0</v>
      </c>
      <c r="V451" s="49"/>
      <c r="W451" s="49">
        <f t="shared" si="268"/>
        <v>0</v>
      </c>
      <c r="X451" s="49"/>
      <c r="Y451" s="49">
        <f t="shared" si="269"/>
        <v>0</v>
      </c>
      <c r="Z451" s="49"/>
      <c r="AA451" s="49">
        <f t="shared" si="270"/>
        <v>0</v>
      </c>
      <c r="AB451" s="49">
        <f t="shared" si="271"/>
        <v>0</v>
      </c>
      <c r="AC451" s="29" t="str">
        <f t="shared" si="272"/>
        <v>ok</v>
      </c>
    </row>
    <row r="452" spans="1:29" x14ac:dyDescent="0.2">
      <c r="A452" s="14">
        <v>925</v>
      </c>
      <c r="B452" s="14" t="s">
        <v>168</v>
      </c>
      <c r="C452" s="14" t="s">
        <v>521</v>
      </c>
      <c r="D452" s="14" t="s">
        <v>516</v>
      </c>
      <c r="F452" s="255">
        <v>0</v>
      </c>
      <c r="G452" s="191"/>
      <c r="H452" s="49">
        <f t="shared" si="259"/>
        <v>0</v>
      </c>
      <c r="I452" s="49">
        <f t="shared" si="260"/>
        <v>0</v>
      </c>
      <c r="J452" s="49"/>
      <c r="K452" s="49">
        <f t="shared" si="261"/>
        <v>0</v>
      </c>
      <c r="L452" s="49"/>
      <c r="M452" s="49">
        <f t="shared" si="262"/>
        <v>0</v>
      </c>
      <c r="N452" s="49"/>
      <c r="O452" s="49">
        <f t="shared" si="263"/>
        <v>0</v>
      </c>
      <c r="P452" s="49">
        <f t="shared" si="264"/>
        <v>0</v>
      </c>
      <c r="Q452" s="49"/>
      <c r="R452" s="49">
        <f t="shared" si="265"/>
        <v>0</v>
      </c>
      <c r="S452" s="49">
        <f t="shared" si="266"/>
        <v>0</v>
      </c>
      <c r="T452" s="49"/>
      <c r="U452" s="49">
        <f t="shared" si="267"/>
        <v>0</v>
      </c>
      <c r="V452" s="49"/>
      <c r="W452" s="49">
        <f t="shared" si="268"/>
        <v>0</v>
      </c>
      <c r="X452" s="49"/>
      <c r="Y452" s="49">
        <f t="shared" si="269"/>
        <v>0</v>
      </c>
      <c r="Z452" s="49"/>
      <c r="AA452" s="49">
        <f t="shared" si="270"/>
        <v>0</v>
      </c>
      <c r="AB452" s="49">
        <f t="shared" si="271"/>
        <v>0</v>
      </c>
      <c r="AC452" s="29" t="str">
        <f t="shared" si="272"/>
        <v>ok</v>
      </c>
    </row>
    <row r="453" spans="1:29" x14ac:dyDescent="0.2">
      <c r="A453" s="14">
        <v>926</v>
      </c>
      <c r="B453" s="14" t="s">
        <v>170</v>
      </c>
      <c r="C453" s="14" t="s">
        <v>522</v>
      </c>
      <c r="D453" s="14" t="s">
        <v>516</v>
      </c>
      <c r="F453" s="255">
        <v>1055056.73</v>
      </c>
      <c r="G453" s="191"/>
      <c r="H453" s="49">
        <f t="shared" si="259"/>
        <v>0</v>
      </c>
      <c r="I453" s="49">
        <f t="shared" si="260"/>
        <v>0</v>
      </c>
      <c r="J453" s="49"/>
      <c r="K453" s="49">
        <f t="shared" si="261"/>
        <v>0</v>
      </c>
      <c r="L453" s="49"/>
      <c r="M453" s="49">
        <f t="shared" si="262"/>
        <v>54122.162476357393</v>
      </c>
      <c r="N453" s="49"/>
      <c r="O453" s="49">
        <f t="shared" si="263"/>
        <v>251008.1860836742</v>
      </c>
      <c r="P453" s="49">
        <f t="shared" si="264"/>
        <v>381562.66940540296</v>
      </c>
      <c r="Q453" s="49"/>
      <c r="R453" s="49">
        <f t="shared" si="265"/>
        <v>0</v>
      </c>
      <c r="S453" s="49">
        <f t="shared" si="266"/>
        <v>20451.16982877261</v>
      </c>
      <c r="T453" s="49"/>
      <c r="U453" s="49">
        <f t="shared" si="267"/>
        <v>54575.898132161856</v>
      </c>
      <c r="V453" s="49"/>
      <c r="W453" s="49">
        <f t="shared" si="268"/>
        <v>11817.028072776518</v>
      </c>
      <c r="X453" s="49"/>
      <c r="Y453" s="49">
        <f t="shared" si="269"/>
        <v>281519.61600085447</v>
      </c>
      <c r="Z453" s="49"/>
      <c r="AA453" s="49">
        <f t="shared" si="270"/>
        <v>0</v>
      </c>
      <c r="AB453" s="49">
        <f t="shared" si="271"/>
        <v>1055056.73</v>
      </c>
      <c r="AC453" s="29" t="str">
        <f t="shared" si="272"/>
        <v>ok</v>
      </c>
    </row>
    <row r="454" spans="1:29" x14ac:dyDescent="0.2">
      <c r="A454" s="14">
        <v>928</v>
      </c>
      <c r="B454" s="14" t="s">
        <v>172</v>
      </c>
      <c r="C454" s="14" t="s">
        <v>523</v>
      </c>
      <c r="D454" s="14" t="s">
        <v>411</v>
      </c>
      <c r="F454" s="255">
        <v>0</v>
      </c>
      <c r="G454" s="191"/>
      <c r="H454" s="49">
        <f t="shared" si="259"/>
        <v>0</v>
      </c>
      <c r="I454" s="49">
        <f t="shared" si="260"/>
        <v>0</v>
      </c>
      <c r="J454" s="49"/>
      <c r="K454" s="49">
        <f t="shared" si="261"/>
        <v>0</v>
      </c>
      <c r="L454" s="49"/>
      <c r="M454" s="49">
        <f t="shared" si="262"/>
        <v>0</v>
      </c>
      <c r="N454" s="49"/>
      <c r="O454" s="49">
        <f t="shared" si="263"/>
        <v>0</v>
      </c>
      <c r="P454" s="49">
        <f t="shared" si="264"/>
        <v>0</v>
      </c>
      <c r="Q454" s="49"/>
      <c r="R454" s="49">
        <f t="shared" si="265"/>
        <v>0</v>
      </c>
      <c r="S454" s="49">
        <f t="shared" si="266"/>
        <v>0</v>
      </c>
      <c r="T454" s="49"/>
      <c r="U454" s="49">
        <f t="shared" si="267"/>
        <v>0</v>
      </c>
      <c r="V454" s="49"/>
      <c r="W454" s="49">
        <f t="shared" si="268"/>
        <v>0</v>
      </c>
      <c r="X454" s="49"/>
      <c r="Y454" s="49">
        <f t="shared" si="269"/>
        <v>0</v>
      </c>
      <c r="Z454" s="49"/>
      <c r="AA454" s="49">
        <f t="shared" si="270"/>
        <v>0</v>
      </c>
      <c r="AB454" s="49">
        <f t="shared" si="271"/>
        <v>0</v>
      </c>
      <c r="AC454" s="29" t="str">
        <f t="shared" si="272"/>
        <v>ok</v>
      </c>
    </row>
    <row r="455" spans="1:29" x14ac:dyDescent="0.2">
      <c r="A455" s="14">
        <v>929</v>
      </c>
      <c r="B455" s="14" t="s">
        <v>386</v>
      </c>
      <c r="C455" s="14" t="s">
        <v>524</v>
      </c>
      <c r="D455" s="14" t="s">
        <v>411</v>
      </c>
      <c r="F455" s="255">
        <v>0</v>
      </c>
      <c r="G455" s="191"/>
      <c r="H455" s="49">
        <f t="shared" si="259"/>
        <v>0</v>
      </c>
      <c r="I455" s="49">
        <f t="shared" si="260"/>
        <v>0</v>
      </c>
      <c r="J455" s="49"/>
      <c r="K455" s="49">
        <f t="shared" si="261"/>
        <v>0</v>
      </c>
      <c r="L455" s="49"/>
      <c r="M455" s="49">
        <f t="shared" si="262"/>
        <v>0</v>
      </c>
      <c r="N455" s="49"/>
      <c r="O455" s="49">
        <f t="shared" si="263"/>
        <v>0</v>
      </c>
      <c r="P455" s="49">
        <f t="shared" si="264"/>
        <v>0</v>
      </c>
      <c r="Q455" s="49"/>
      <c r="R455" s="49">
        <f t="shared" si="265"/>
        <v>0</v>
      </c>
      <c r="S455" s="49">
        <f t="shared" si="266"/>
        <v>0</v>
      </c>
      <c r="T455" s="49"/>
      <c r="U455" s="49">
        <f t="shared" si="267"/>
        <v>0</v>
      </c>
      <c r="V455" s="49"/>
      <c r="W455" s="49">
        <f t="shared" si="268"/>
        <v>0</v>
      </c>
      <c r="X455" s="49"/>
      <c r="Y455" s="49">
        <f t="shared" si="269"/>
        <v>0</v>
      </c>
      <c r="Z455" s="49"/>
      <c r="AA455" s="49">
        <f t="shared" si="270"/>
        <v>0</v>
      </c>
      <c r="AB455" s="49">
        <f t="shared" si="271"/>
        <v>0</v>
      </c>
      <c r="AC455" s="29" t="str">
        <f t="shared" si="272"/>
        <v>ok</v>
      </c>
    </row>
    <row r="456" spans="1:29" x14ac:dyDescent="0.2">
      <c r="A456" s="14">
        <v>930</v>
      </c>
      <c r="B456" s="14" t="s">
        <v>174</v>
      </c>
      <c r="C456" s="14" t="s">
        <v>525</v>
      </c>
      <c r="D456" s="14" t="s">
        <v>411</v>
      </c>
      <c r="F456" s="255">
        <v>75424.05</v>
      </c>
      <c r="G456" s="191"/>
      <c r="H456" s="49">
        <f t="shared" si="259"/>
        <v>0</v>
      </c>
      <c r="I456" s="49">
        <f t="shared" si="260"/>
        <v>0</v>
      </c>
      <c r="J456" s="49"/>
      <c r="K456" s="49">
        <f t="shared" si="261"/>
        <v>0</v>
      </c>
      <c r="L456" s="49"/>
      <c r="M456" s="49">
        <f t="shared" si="262"/>
        <v>4497.4011474817426</v>
      </c>
      <c r="N456" s="49"/>
      <c r="O456" s="49">
        <f t="shared" si="263"/>
        <v>19210.248912481362</v>
      </c>
      <c r="P456" s="49">
        <f t="shared" si="264"/>
        <v>33748.114979365957</v>
      </c>
      <c r="Q456" s="49"/>
      <c r="R456" s="49">
        <f t="shared" si="265"/>
        <v>0</v>
      </c>
      <c r="S456" s="49">
        <f t="shared" si="266"/>
        <v>1337.8819795822269</v>
      </c>
      <c r="T456" s="49"/>
      <c r="U456" s="49">
        <f t="shared" si="267"/>
        <v>3302.8688485278312</v>
      </c>
      <c r="V456" s="49"/>
      <c r="W456" s="49">
        <f t="shared" si="268"/>
        <v>835.0919770815201</v>
      </c>
      <c r="X456" s="49"/>
      <c r="Y456" s="49">
        <f t="shared" si="269"/>
        <v>12541.081484149794</v>
      </c>
      <c r="Z456" s="49"/>
      <c r="AA456" s="49">
        <f t="shared" si="270"/>
        <v>-48.639328670434594</v>
      </c>
      <c r="AB456" s="49">
        <f t="shared" si="271"/>
        <v>75424.05</v>
      </c>
      <c r="AC456" s="29" t="str">
        <f t="shared" si="272"/>
        <v>ok</v>
      </c>
    </row>
    <row r="457" spans="1:29" x14ac:dyDescent="0.2">
      <c r="A457" s="14">
        <v>931</v>
      </c>
      <c r="B457" s="14" t="s">
        <v>176</v>
      </c>
      <c r="C457" s="14" t="s">
        <v>526</v>
      </c>
      <c r="D457" s="14" t="s">
        <v>84</v>
      </c>
      <c r="F457" s="255">
        <v>0</v>
      </c>
      <c r="G457" s="191"/>
      <c r="H457" s="49">
        <f t="shared" si="259"/>
        <v>0</v>
      </c>
      <c r="I457" s="49">
        <f t="shared" si="260"/>
        <v>0</v>
      </c>
      <c r="J457" s="49"/>
      <c r="K457" s="49">
        <f t="shared" si="261"/>
        <v>0</v>
      </c>
      <c r="L457" s="49"/>
      <c r="M457" s="49">
        <f t="shared" si="262"/>
        <v>0</v>
      </c>
      <c r="N457" s="49"/>
      <c r="O457" s="49">
        <f t="shared" si="263"/>
        <v>0</v>
      </c>
      <c r="P457" s="49">
        <f t="shared" si="264"/>
        <v>0</v>
      </c>
      <c r="Q457" s="49"/>
      <c r="R457" s="49">
        <f t="shared" si="265"/>
        <v>0</v>
      </c>
      <c r="S457" s="49">
        <f t="shared" si="266"/>
        <v>0</v>
      </c>
      <c r="T457" s="49"/>
      <c r="U457" s="49">
        <f t="shared" si="267"/>
        <v>0</v>
      </c>
      <c r="V457" s="49"/>
      <c r="W457" s="49">
        <f t="shared" si="268"/>
        <v>0</v>
      </c>
      <c r="X457" s="49"/>
      <c r="Y457" s="49">
        <f t="shared" si="269"/>
        <v>0</v>
      </c>
      <c r="Z457" s="49"/>
      <c r="AA457" s="49">
        <f t="shared" si="270"/>
        <v>0</v>
      </c>
      <c r="AB457" s="49">
        <f t="shared" si="271"/>
        <v>0</v>
      </c>
      <c r="AC457" s="29" t="str">
        <f t="shared" si="272"/>
        <v>ok</v>
      </c>
    </row>
    <row r="458" spans="1:29" x14ac:dyDescent="0.2">
      <c r="A458" s="14">
        <v>935</v>
      </c>
      <c r="B458" s="14" t="s">
        <v>1034</v>
      </c>
      <c r="C458" s="14" t="s">
        <v>1072</v>
      </c>
      <c r="D458" s="14" t="s">
        <v>70</v>
      </c>
      <c r="F458" s="255">
        <v>17525.27</v>
      </c>
      <c r="G458" s="191"/>
      <c r="H458" s="49">
        <f t="shared" si="259"/>
        <v>0</v>
      </c>
      <c r="I458" s="49">
        <f t="shared" si="260"/>
        <v>0</v>
      </c>
      <c r="J458" s="49"/>
      <c r="K458" s="49">
        <f t="shared" si="261"/>
        <v>0</v>
      </c>
      <c r="L458" s="49"/>
      <c r="M458" s="49">
        <f t="shared" si="262"/>
        <v>2256.9421827385886</v>
      </c>
      <c r="N458" s="49"/>
      <c r="O458" s="49">
        <f t="shared" si="263"/>
        <v>4907.3540414042918</v>
      </c>
      <c r="P458" s="49">
        <f t="shared" si="264"/>
        <v>8363.1340885727477</v>
      </c>
      <c r="Q458" s="49"/>
      <c r="R458" s="49">
        <f t="shared" si="265"/>
        <v>0</v>
      </c>
      <c r="S458" s="49">
        <f t="shared" si="266"/>
        <v>675.17004374230794</v>
      </c>
      <c r="T458" s="49"/>
      <c r="U458" s="49">
        <f t="shared" si="267"/>
        <v>666.97798723940389</v>
      </c>
      <c r="V458" s="49"/>
      <c r="W458" s="49">
        <f t="shared" si="268"/>
        <v>655.69165630266332</v>
      </c>
      <c r="X458" s="49"/>
      <c r="Y458" s="49">
        <f t="shared" si="269"/>
        <v>0</v>
      </c>
      <c r="Z458" s="49"/>
      <c r="AA458" s="49">
        <f t="shared" si="270"/>
        <v>0</v>
      </c>
      <c r="AB458" s="49">
        <f t="shared" si="271"/>
        <v>17525.270000000004</v>
      </c>
      <c r="AC458" s="29" t="str">
        <f t="shared" si="272"/>
        <v>ok</v>
      </c>
    </row>
    <row r="459" spans="1:29" x14ac:dyDescent="0.2">
      <c r="A459" s="14">
        <v>950</v>
      </c>
      <c r="B459" s="14" t="s">
        <v>592</v>
      </c>
      <c r="C459" s="14" t="s">
        <v>593</v>
      </c>
      <c r="D459" s="14" t="s">
        <v>70</v>
      </c>
      <c r="F459" s="255">
        <v>0</v>
      </c>
      <c r="G459" s="191"/>
      <c r="H459" s="49">
        <f t="shared" si="259"/>
        <v>0</v>
      </c>
      <c r="I459" s="49">
        <f t="shared" si="260"/>
        <v>0</v>
      </c>
      <c r="J459" s="49"/>
      <c r="K459" s="49">
        <f t="shared" si="261"/>
        <v>0</v>
      </c>
      <c r="L459" s="49"/>
      <c r="M459" s="49">
        <f t="shared" si="262"/>
        <v>0</v>
      </c>
      <c r="N459" s="49"/>
      <c r="O459" s="49">
        <f t="shared" si="263"/>
        <v>0</v>
      </c>
      <c r="P459" s="49">
        <f t="shared" si="264"/>
        <v>0</v>
      </c>
      <c r="Q459" s="49"/>
      <c r="R459" s="49">
        <f t="shared" si="265"/>
        <v>0</v>
      </c>
      <c r="S459" s="49">
        <f t="shared" si="266"/>
        <v>0</v>
      </c>
      <c r="T459" s="49"/>
      <c r="U459" s="49">
        <f t="shared" si="267"/>
        <v>0</v>
      </c>
      <c r="V459" s="49"/>
      <c r="W459" s="49">
        <f t="shared" si="268"/>
        <v>0</v>
      </c>
      <c r="X459" s="49"/>
      <c r="Y459" s="49">
        <f t="shared" si="269"/>
        <v>0</v>
      </c>
      <c r="Z459" s="49"/>
      <c r="AA459" s="49">
        <f t="shared" si="270"/>
        <v>0</v>
      </c>
      <c r="AB459" s="49">
        <f t="shared" si="271"/>
        <v>0</v>
      </c>
      <c r="AC459" s="29" t="str">
        <f t="shared" si="272"/>
        <v>ok</v>
      </c>
    </row>
    <row r="460" spans="1:29" x14ac:dyDescent="0.2">
      <c r="F460" s="255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29"/>
    </row>
    <row r="461" spans="1:29" x14ac:dyDescent="0.2">
      <c r="A461" s="14" t="s">
        <v>179</v>
      </c>
      <c r="C461" s="14" t="s">
        <v>527</v>
      </c>
      <c r="F461" s="254">
        <f>SUM(F448:F460)</f>
        <v>1885340.3699999999</v>
      </c>
      <c r="G461" s="65"/>
      <c r="H461" s="65">
        <f>SUM(H448:H460)</f>
        <v>0</v>
      </c>
      <c r="I461" s="65">
        <f>SUM(I448:I460)</f>
        <v>0</v>
      </c>
      <c r="J461" s="65"/>
      <c r="K461" s="65">
        <f>SUM(K448:K460)</f>
        <v>0</v>
      </c>
      <c r="L461" s="65"/>
      <c r="M461" s="65">
        <f>SUM(M448:M460)</f>
        <v>104842.43201772217</v>
      </c>
      <c r="N461" s="65"/>
      <c r="O461" s="65">
        <f>SUM(O448:O460)</f>
        <v>462922.33163789992</v>
      </c>
      <c r="P461" s="65">
        <f>SUM(P448:P460)</f>
        <v>753590.48234908958</v>
      </c>
      <c r="Q461" s="65"/>
      <c r="R461" s="65">
        <f>SUM(R448:R460)</f>
        <v>0</v>
      </c>
      <c r="S461" s="65">
        <f>SUM(S448:S460)</f>
        <v>35543.157545095797</v>
      </c>
      <c r="T461" s="65"/>
      <c r="U461" s="65">
        <f>SUM(U448:U460)</f>
        <v>90834.100691049898</v>
      </c>
      <c r="V461" s="65"/>
      <c r="W461" s="65">
        <f>SUM(W448:W460)</f>
        <v>21471.546947888746</v>
      </c>
      <c r="X461" s="65"/>
      <c r="Y461" s="65">
        <f>SUM(Y448:Y460)</f>
        <v>416660.44899901311</v>
      </c>
      <c r="Z461" s="65"/>
      <c r="AA461" s="65">
        <f>SUM(AA448:AA460)</f>
        <v>-524.13018775943067</v>
      </c>
      <c r="AB461" s="49">
        <f>SUM(H461:AA461)</f>
        <v>1885340.3699999996</v>
      </c>
      <c r="AC461" s="29" t="str">
        <f>IF(ABS(AB461-F461)&lt;1,"ok","err")</f>
        <v>ok</v>
      </c>
    </row>
    <row r="462" spans="1:29" x14ac:dyDescent="0.2">
      <c r="D462" s="90"/>
      <c r="F462" s="255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29"/>
    </row>
    <row r="463" spans="1:29" x14ac:dyDescent="0.2">
      <c r="A463" s="14" t="s">
        <v>181</v>
      </c>
      <c r="C463" s="14" t="s">
        <v>528</v>
      </c>
      <c r="F463" s="254">
        <f>F358+F416+F425+F440+F461</f>
        <v>5033657.22</v>
      </c>
      <c r="G463" s="65"/>
      <c r="H463" s="65">
        <f>H358+H416+H425+H440+H461</f>
        <v>0</v>
      </c>
      <c r="I463" s="65">
        <f>I358+I416+I425+I440+I461</f>
        <v>0</v>
      </c>
      <c r="J463" s="65"/>
      <c r="K463" s="65">
        <f>K358+K416+K425+K440+K461</f>
        <v>0</v>
      </c>
      <c r="L463" s="65"/>
      <c r="M463" s="65">
        <f>M358+M416+M425+M440+M461</f>
        <v>266344.37901042437</v>
      </c>
      <c r="N463" s="65"/>
      <c r="O463" s="65">
        <f>O358+O416+O425+O440+O461</f>
        <v>1211937.3175289116</v>
      </c>
      <c r="P463" s="65">
        <f>P358+P416+P425+P440+P461</f>
        <v>1892183.4577429432</v>
      </c>
      <c r="Q463" s="65"/>
      <c r="R463" s="65">
        <f>R358+R416+R425+R440+R461</f>
        <v>0</v>
      </c>
      <c r="S463" s="65">
        <f>S358+S416+S425+S440+S461</f>
        <v>96569.9826847605</v>
      </c>
      <c r="T463" s="65"/>
      <c r="U463" s="65">
        <f>U358+U416+U425+U440+U461</f>
        <v>253690.00673637574</v>
      </c>
      <c r="V463" s="65"/>
      <c r="W463" s="65">
        <f>W358+W416+W425+W440+W461</f>
        <v>56733.867485330687</v>
      </c>
      <c r="X463" s="65"/>
      <c r="Y463" s="65">
        <f>Y358+Y416+Y425+Y440+Y461</f>
        <v>1256722.3389990132</v>
      </c>
      <c r="Z463" s="65"/>
      <c r="AA463" s="65">
        <f>AA358+AA416+AA425+AA440+AA461</f>
        <v>-524.13018775943067</v>
      </c>
      <c r="AB463" s="49">
        <f>SUM(H463:AA463)</f>
        <v>5033657.2200000007</v>
      </c>
      <c r="AC463" s="29" t="str">
        <f>IF(ABS(AB463-F463)&lt;1,"ok","err")</f>
        <v>ok</v>
      </c>
    </row>
    <row r="464" spans="1:29" x14ac:dyDescent="0.2">
      <c r="F464" s="255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29"/>
    </row>
    <row r="465" spans="1:29" x14ac:dyDescent="0.2">
      <c r="A465" s="14" t="s">
        <v>412</v>
      </c>
      <c r="C465" s="14" t="s">
        <v>529</v>
      </c>
      <c r="F465" s="256">
        <f>F463-F364</f>
        <v>5033657.22</v>
      </c>
      <c r="G465" s="90"/>
      <c r="H465" s="90">
        <f>H463-H364</f>
        <v>0</v>
      </c>
      <c r="I465" s="90">
        <f>I463-I364</f>
        <v>0</v>
      </c>
      <c r="J465" s="90"/>
      <c r="K465" s="90">
        <f>K463-K364</f>
        <v>0</v>
      </c>
      <c r="L465" s="90"/>
      <c r="M465" s="90">
        <f>M463-M364</f>
        <v>266344.37901042437</v>
      </c>
      <c r="N465" s="90"/>
      <c r="O465" s="90">
        <f>O463-O364</f>
        <v>1211937.3175289116</v>
      </c>
      <c r="P465" s="90">
        <f>P463-P364</f>
        <v>1892183.4577429432</v>
      </c>
      <c r="Q465" s="90"/>
      <c r="R465" s="90">
        <f>R463-R364</f>
        <v>0</v>
      </c>
      <c r="S465" s="90">
        <f>S463-S364</f>
        <v>96569.9826847605</v>
      </c>
      <c r="T465" s="90"/>
      <c r="U465" s="90">
        <f>U463-U364</f>
        <v>253690.00673637574</v>
      </c>
      <c r="V465" s="90"/>
      <c r="W465" s="90">
        <f>W463-W364</f>
        <v>56733.867485330687</v>
      </c>
      <c r="X465" s="90"/>
      <c r="Y465" s="90">
        <f>Y463-Y364</f>
        <v>1256722.3389990132</v>
      </c>
      <c r="Z465" s="90"/>
      <c r="AA465" s="90">
        <f>AA463-AA364</f>
        <v>-524.13018775943067</v>
      </c>
      <c r="AB465" s="49">
        <f>SUM(H465:AA465)</f>
        <v>5033657.2200000007</v>
      </c>
      <c r="AC465" s="29" t="str">
        <f>IF(ABS(AB465-F465)&lt;1,"ok","err")</f>
        <v>ok</v>
      </c>
    </row>
    <row r="466" spans="1:29" x14ac:dyDescent="0.2">
      <c r="F466" s="256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49"/>
      <c r="AC466" s="29"/>
    </row>
    <row r="467" spans="1:29" x14ac:dyDescent="0.2">
      <c r="A467" s="27" t="s">
        <v>199</v>
      </c>
      <c r="AC467" s="29"/>
    </row>
    <row r="468" spans="1:29" x14ac:dyDescent="0.2">
      <c r="AC468" s="29"/>
    </row>
    <row r="469" spans="1:29" x14ac:dyDescent="0.2">
      <c r="A469" s="14" t="s">
        <v>1</v>
      </c>
      <c r="C469" s="14" t="s">
        <v>24</v>
      </c>
      <c r="F469" s="257">
        <v>1</v>
      </c>
      <c r="G469" s="94"/>
      <c r="H469" s="95">
        <v>0</v>
      </c>
      <c r="I469" s="95">
        <v>0</v>
      </c>
      <c r="J469" s="95"/>
      <c r="K469" s="95">
        <v>0</v>
      </c>
      <c r="L469" s="94"/>
      <c r="M469" s="95">
        <v>1</v>
      </c>
      <c r="N469" s="94"/>
      <c r="O469" s="95">
        <v>0</v>
      </c>
      <c r="P469" s="95">
        <v>0</v>
      </c>
      <c r="Q469" s="96"/>
      <c r="R469" s="94">
        <v>0</v>
      </c>
      <c r="S469" s="94">
        <v>0</v>
      </c>
      <c r="T469" s="94"/>
      <c r="U469" s="94">
        <v>0</v>
      </c>
      <c r="V469" s="94"/>
      <c r="W469" s="94">
        <v>0</v>
      </c>
      <c r="X469" s="94"/>
      <c r="Y469" s="94">
        <v>0</v>
      </c>
      <c r="Z469" s="94"/>
      <c r="AA469" s="94">
        <v>0</v>
      </c>
      <c r="AB469" s="95">
        <f>SUM(H469:AA469)</f>
        <v>1</v>
      </c>
      <c r="AC469" s="29" t="str">
        <f t="shared" ref="AC469:AC479" si="273">IF(ABS(AB469-F469)&lt;0.0000001,"ok","err")</f>
        <v>ok</v>
      </c>
    </row>
    <row r="470" spans="1:29" x14ac:dyDescent="0.2">
      <c r="A470" s="14" t="s">
        <v>200</v>
      </c>
      <c r="C470" s="14" t="s">
        <v>27</v>
      </c>
      <c r="F470" s="257">
        <v>1</v>
      </c>
      <c r="G470" s="94"/>
      <c r="H470" s="95">
        <v>0</v>
      </c>
      <c r="I470" s="95">
        <v>0</v>
      </c>
      <c r="J470" s="95"/>
      <c r="K470" s="95">
        <v>0</v>
      </c>
      <c r="L470" s="94"/>
      <c r="M470" s="95">
        <v>0</v>
      </c>
      <c r="N470" s="94"/>
      <c r="O470" s="95">
        <f>O471</f>
        <v>0.35941271681332643</v>
      </c>
      <c r="P470" s="95">
        <f>P471</f>
        <v>0.64058728318667357</v>
      </c>
      <c r="Q470" s="96"/>
      <c r="R470" s="94">
        <v>0</v>
      </c>
      <c r="S470" s="94">
        <v>0</v>
      </c>
      <c r="T470" s="94"/>
      <c r="U470" s="94">
        <v>0</v>
      </c>
      <c r="V470" s="94"/>
      <c r="W470" s="94">
        <v>0</v>
      </c>
      <c r="X470" s="94"/>
      <c r="Y470" s="94">
        <v>0</v>
      </c>
      <c r="Z470" s="94"/>
      <c r="AA470" s="94">
        <v>0</v>
      </c>
      <c r="AB470" s="95">
        <f t="shared" ref="AB470:AB478" si="274">SUM(H470:AA470)</f>
        <v>1</v>
      </c>
      <c r="AC470" s="29" t="str">
        <f t="shared" si="273"/>
        <v>ok</v>
      </c>
    </row>
    <row r="471" spans="1:29" x14ac:dyDescent="0.2">
      <c r="A471" s="14" t="s">
        <v>201</v>
      </c>
      <c r="C471" s="14" t="s">
        <v>30</v>
      </c>
      <c r="F471" s="257">
        <v>1</v>
      </c>
      <c r="G471" s="94"/>
      <c r="H471" s="95">
        <v>0</v>
      </c>
      <c r="I471" s="95">
        <v>0</v>
      </c>
      <c r="J471" s="95"/>
      <c r="K471" s="95">
        <v>0</v>
      </c>
      <c r="L471" s="94"/>
      <c r="M471" s="95">
        <v>0</v>
      </c>
      <c r="N471" s="94"/>
      <c r="O471" s="95">
        <f>ZeroInt!D140</f>
        <v>0.35941271681332643</v>
      </c>
      <c r="P471" s="95">
        <f>ZeroInt!E140</f>
        <v>0.64058728318667357</v>
      </c>
      <c r="Q471" s="96"/>
      <c r="R471" s="94">
        <v>0</v>
      </c>
      <c r="S471" s="94">
        <v>0</v>
      </c>
      <c r="T471" s="94"/>
      <c r="U471" s="94">
        <v>0</v>
      </c>
      <c r="V471" s="94"/>
      <c r="W471" s="94">
        <v>0</v>
      </c>
      <c r="X471" s="94"/>
      <c r="Y471" s="94">
        <v>0</v>
      </c>
      <c r="Z471" s="94"/>
      <c r="AA471" s="94">
        <v>0</v>
      </c>
      <c r="AB471" s="95">
        <f t="shared" si="274"/>
        <v>1</v>
      </c>
      <c r="AC471" s="29" t="str">
        <f t="shared" si="273"/>
        <v>ok</v>
      </c>
    </row>
    <row r="472" spans="1:29" x14ac:dyDescent="0.2">
      <c r="A472" s="14" t="s">
        <v>202</v>
      </c>
      <c r="C472" s="14" t="s">
        <v>33</v>
      </c>
      <c r="F472" s="257">
        <v>1</v>
      </c>
      <c r="G472" s="94"/>
      <c r="H472" s="95">
        <v>0</v>
      </c>
      <c r="I472" s="95">
        <v>0</v>
      </c>
      <c r="J472" s="95"/>
      <c r="K472" s="95">
        <v>0</v>
      </c>
      <c r="L472" s="94"/>
      <c r="M472" s="95">
        <v>0</v>
      </c>
      <c r="N472" s="94"/>
      <c r="O472" s="95">
        <f>ZeroInt!D141</f>
        <v>0.32587801848229525</v>
      </c>
      <c r="P472" s="95">
        <f>ZeroInt!E141</f>
        <v>0.67412198151770475</v>
      </c>
      <c r="Q472" s="96"/>
      <c r="R472" s="94">
        <v>0</v>
      </c>
      <c r="S472" s="94">
        <v>0</v>
      </c>
      <c r="T472" s="94"/>
      <c r="U472" s="94">
        <v>0</v>
      </c>
      <c r="V472" s="94"/>
      <c r="W472" s="94">
        <v>0</v>
      </c>
      <c r="X472" s="94"/>
      <c r="Y472" s="94">
        <v>0</v>
      </c>
      <c r="Z472" s="94"/>
      <c r="AA472" s="94">
        <v>0</v>
      </c>
      <c r="AB472" s="95">
        <f t="shared" si="274"/>
        <v>1</v>
      </c>
      <c r="AC472" s="29" t="str">
        <f t="shared" si="273"/>
        <v>ok</v>
      </c>
    </row>
    <row r="473" spans="1:29" x14ac:dyDescent="0.2">
      <c r="A473" s="14" t="s">
        <v>203</v>
      </c>
      <c r="C473" s="14" t="s">
        <v>38</v>
      </c>
      <c r="F473" s="257">
        <v>1</v>
      </c>
      <c r="G473" s="94"/>
      <c r="H473" s="95">
        <v>0</v>
      </c>
      <c r="I473" s="95">
        <v>0</v>
      </c>
      <c r="J473" s="95"/>
      <c r="K473" s="95">
        <v>0</v>
      </c>
      <c r="L473" s="94"/>
      <c r="M473" s="95">
        <v>0</v>
      </c>
      <c r="N473" s="94"/>
      <c r="O473" s="95">
        <f>ZeroInt!D142</f>
        <v>0.42576286430291099</v>
      </c>
      <c r="P473" s="95">
        <f>ZeroInt!E142</f>
        <v>0.57423713569708901</v>
      </c>
      <c r="Q473" s="96"/>
      <c r="R473" s="94">
        <v>0</v>
      </c>
      <c r="S473" s="94">
        <v>0</v>
      </c>
      <c r="T473" s="94"/>
      <c r="U473" s="94">
        <v>0</v>
      </c>
      <c r="V473" s="94"/>
      <c r="W473" s="94">
        <v>0</v>
      </c>
      <c r="X473" s="94"/>
      <c r="Y473" s="94">
        <v>0</v>
      </c>
      <c r="Z473" s="94"/>
      <c r="AA473" s="94">
        <v>0</v>
      </c>
      <c r="AB473" s="95">
        <f t="shared" si="274"/>
        <v>1</v>
      </c>
      <c r="AC473" s="29" t="str">
        <f t="shared" si="273"/>
        <v>ok</v>
      </c>
    </row>
    <row r="474" spans="1:29" x14ac:dyDescent="0.2">
      <c r="A474" s="14" t="s">
        <v>204</v>
      </c>
      <c r="C474" s="14" t="s">
        <v>41</v>
      </c>
      <c r="F474" s="257">
        <v>1</v>
      </c>
      <c r="G474" s="94"/>
      <c r="H474" s="95">
        <v>0</v>
      </c>
      <c r="I474" s="95">
        <v>0</v>
      </c>
      <c r="J474" s="95"/>
      <c r="K474" s="95">
        <v>0</v>
      </c>
      <c r="L474" s="94"/>
      <c r="M474" s="95">
        <v>0</v>
      </c>
      <c r="N474" s="94"/>
      <c r="O474" s="95">
        <v>0</v>
      </c>
      <c r="P474" s="95">
        <v>0</v>
      </c>
      <c r="Q474" s="96"/>
      <c r="R474" s="94">
        <v>0</v>
      </c>
      <c r="S474" s="94">
        <v>1</v>
      </c>
      <c r="T474" s="94"/>
      <c r="U474" s="94">
        <v>0</v>
      </c>
      <c r="V474" s="94"/>
      <c r="W474" s="94">
        <v>0</v>
      </c>
      <c r="X474" s="94"/>
      <c r="Y474" s="94">
        <v>0</v>
      </c>
      <c r="Z474" s="94"/>
      <c r="AA474" s="94">
        <v>0</v>
      </c>
      <c r="AB474" s="95">
        <f t="shared" si="274"/>
        <v>1</v>
      </c>
      <c r="AC474" s="29" t="str">
        <f t="shared" si="273"/>
        <v>ok</v>
      </c>
    </row>
    <row r="475" spans="1:29" x14ac:dyDescent="0.2">
      <c r="A475" s="14" t="s">
        <v>4</v>
      </c>
      <c r="C475" s="14" t="s">
        <v>44</v>
      </c>
      <c r="F475" s="257">
        <v>1</v>
      </c>
      <c r="G475" s="94"/>
      <c r="H475" s="95">
        <v>0</v>
      </c>
      <c r="I475" s="95">
        <v>0</v>
      </c>
      <c r="J475" s="95"/>
      <c r="K475" s="95">
        <v>0</v>
      </c>
      <c r="L475" s="94"/>
      <c r="M475" s="95">
        <v>0</v>
      </c>
      <c r="N475" s="94"/>
      <c r="O475" s="95">
        <v>0</v>
      </c>
      <c r="P475" s="95">
        <v>0</v>
      </c>
      <c r="Q475" s="96"/>
      <c r="R475" s="94">
        <v>0</v>
      </c>
      <c r="S475" s="94">
        <v>0</v>
      </c>
      <c r="T475" s="94"/>
      <c r="U475" s="94">
        <v>1</v>
      </c>
      <c r="V475" s="94"/>
      <c r="W475" s="94">
        <v>0</v>
      </c>
      <c r="X475" s="94"/>
      <c r="Y475" s="94">
        <v>0</v>
      </c>
      <c r="Z475" s="94"/>
      <c r="AA475" s="94">
        <v>0</v>
      </c>
      <c r="AB475" s="95">
        <f t="shared" si="274"/>
        <v>1</v>
      </c>
      <c r="AC475" s="29" t="str">
        <f t="shared" si="273"/>
        <v>ok</v>
      </c>
    </row>
    <row r="476" spans="1:29" x14ac:dyDescent="0.2">
      <c r="A476" s="14" t="s">
        <v>205</v>
      </c>
      <c r="C476" s="14" t="s">
        <v>49</v>
      </c>
      <c r="F476" s="257">
        <v>1</v>
      </c>
      <c r="G476" s="94"/>
      <c r="H476" s="95">
        <v>0</v>
      </c>
      <c r="I476" s="95">
        <v>0</v>
      </c>
      <c r="J476" s="95"/>
      <c r="K476" s="95">
        <v>0</v>
      </c>
      <c r="L476" s="94"/>
      <c r="M476" s="95">
        <v>0</v>
      </c>
      <c r="N476" s="94"/>
      <c r="O476" s="95">
        <v>0</v>
      </c>
      <c r="P476" s="95">
        <v>0</v>
      </c>
      <c r="Q476" s="96"/>
      <c r="R476" s="94">
        <v>0</v>
      </c>
      <c r="S476" s="94">
        <v>0</v>
      </c>
      <c r="T476" s="94"/>
      <c r="U476" s="94">
        <v>0</v>
      </c>
      <c r="V476" s="94"/>
      <c r="W476" s="94">
        <v>1</v>
      </c>
      <c r="X476" s="94"/>
      <c r="Y476" s="94">
        <v>0</v>
      </c>
      <c r="Z476" s="94"/>
      <c r="AA476" s="94">
        <v>0</v>
      </c>
      <c r="AB476" s="95">
        <f t="shared" si="274"/>
        <v>1</v>
      </c>
      <c r="AC476" s="29" t="str">
        <f t="shared" si="273"/>
        <v>ok</v>
      </c>
    </row>
    <row r="477" spans="1:29" x14ac:dyDescent="0.2">
      <c r="A477" s="14" t="s">
        <v>206</v>
      </c>
      <c r="C477" s="14" t="s">
        <v>140</v>
      </c>
      <c r="F477" s="257">
        <v>1</v>
      </c>
      <c r="G477" s="94"/>
      <c r="H477" s="95">
        <v>0</v>
      </c>
      <c r="I477" s="95">
        <v>0</v>
      </c>
      <c r="J477" s="95"/>
      <c r="K477" s="95">
        <v>0</v>
      </c>
      <c r="L477" s="94"/>
      <c r="M477" s="95">
        <v>0</v>
      </c>
      <c r="N477" s="94"/>
      <c r="O477" s="95">
        <v>0</v>
      </c>
      <c r="P477" s="95">
        <v>0</v>
      </c>
      <c r="Q477" s="96"/>
      <c r="R477" s="94">
        <v>0</v>
      </c>
      <c r="S477" s="94">
        <v>0</v>
      </c>
      <c r="T477" s="94"/>
      <c r="U477" s="94">
        <v>0</v>
      </c>
      <c r="V477" s="94"/>
      <c r="W477" s="94">
        <v>0</v>
      </c>
      <c r="X477" s="94"/>
      <c r="Y477" s="94">
        <v>1</v>
      </c>
      <c r="Z477" s="94"/>
      <c r="AA477" s="94">
        <v>0</v>
      </c>
      <c r="AB477" s="95">
        <f t="shared" si="274"/>
        <v>1</v>
      </c>
      <c r="AC477" s="29" t="str">
        <f t="shared" si="273"/>
        <v>ok</v>
      </c>
    </row>
    <row r="478" spans="1:29" x14ac:dyDescent="0.2">
      <c r="A478" s="14" t="s">
        <v>207</v>
      </c>
      <c r="C478" s="14" t="s">
        <v>150</v>
      </c>
      <c r="F478" s="257">
        <v>1</v>
      </c>
      <c r="G478" s="94"/>
      <c r="H478" s="95">
        <v>0</v>
      </c>
      <c r="I478" s="95">
        <v>0</v>
      </c>
      <c r="J478" s="95"/>
      <c r="K478" s="95">
        <v>0</v>
      </c>
      <c r="L478" s="94"/>
      <c r="M478" s="95">
        <v>0</v>
      </c>
      <c r="N478" s="94"/>
      <c r="O478" s="95">
        <v>0</v>
      </c>
      <c r="P478" s="95">
        <v>0</v>
      </c>
      <c r="Q478" s="96"/>
      <c r="R478" s="94">
        <v>0</v>
      </c>
      <c r="S478" s="94">
        <v>0</v>
      </c>
      <c r="T478" s="94"/>
      <c r="U478" s="94">
        <v>0</v>
      </c>
      <c r="V478" s="94"/>
      <c r="W478" s="94">
        <v>0</v>
      </c>
      <c r="X478" s="94"/>
      <c r="Y478" s="94">
        <v>1</v>
      </c>
      <c r="Z478" s="94"/>
      <c r="AA478" s="94">
        <v>0</v>
      </c>
      <c r="AB478" s="95">
        <f t="shared" si="274"/>
        <v>1</v>
      </c>
      <c r="AC478" s="29" t="str">
        <f t="shared" si="273"/>
        <v>ok</v>
      </c>
    </row>
    <row r="479" spans="1:29" x14ac:dyDescent="0.2">
      <c r="A479" s="14" t="s">
        <v>350</v>
      </c>
      <c r="C479" s="14" t="s">
        <v>391</v>
      </c>
      <c r="F479" s="257">
        <v>1</v>
      </c>
      <c r="G479" s="94"/>
      <c r="H479" s="95">
        <v>0</v>
      </c>
      <c r="I479" s="95">
        <v>0</v>
      </c>
      <c r="J479" s="95"/>
      <c r="K479" s="95">
        <v>1</v>
      </c>
      <c r="L479" s="94"/>
      <c r="M479" s="95">
        <v>0</v>
      </c>
      <c r="N479" s="94"/>
      <c r="O479" s="95">
        <v>0</v>
      </c>
      <c r="P479" s="95">
        <v>0</v>
      </c>
      <c r="Q479" s="96"/>
      <c r="R479" s="94">
        <v>0</v>
      </c>
      <c r="S479" s="94">
        <v>0</v>
      </c>
      <c r="T479" s="94"/>
      <c r="U479" s="94">
        <v>0</v>
      </c>
      <c r="V479" s="94"/>
      <c r="W479" s="94">
        <v>0</v>
      </c>
      <c r="X479" s="94"/>
      <c r="Y479" s="94">
        <v>0</v>
      </c>
      <c r="Z479" s="94"/>
      <c r="AA479" s="94">
        <v>0</v>
      </c>
      <c r="AB479" s="95">
        <f>SUM(H479:AA479)</f>
        <v>1</v>
      </c>
      <c r="AC479" s="29" t="str">
        <f t="shared" si="273"/>
        <v>ok</v>
      </c>
    </row>
    <row r="480" spans="1:29" x14ac:dyDescent="0.2">
      <c r="A480" s="14" t="s">
        <v>470</v>
      </c>
      <c r="C480" s="14" t="s">
        <v>471</v>
      </c>
      <c r="F480" s="257">
        <v>1</v>
      </c>
      <c r="G480" s="94"/>
      <c r="H480" s="95">
        <v>0</v>
      </c>
      <c r="I480" s="95">
        <v>0</v>
      </c>
      <c r="J480" s="95"/>
      <c r="K480" s="95">
        <v>0</v>
      </c>
      <c r="L480" s="94"/>
      <c r="M480" s="95">
        <v>0</v>
      </c>
      <c r="N480" s="94"/>
      <c r="O480" s="95">
        <v>0</v>
      </c>
      <c r="P480" s="95">
        <v>0</v>
      </c>
      <c r="Q480" s="96"/>
      <c r="R480" s="94">
        <v>0</v>
      </c>
      <c r="S480" s="94">
        <v>0</v>
      </c>
      <c r="T480" s="94"/>
      <c r="U480" s="94">
        <v>0</v>
      </c>
      <c r="V480" s="94"/>
      <c r="W480" s="94">
        <v>0</v>
      </c>
      <c r="X480" s="94"/>
      <c r="Y480" s="94">
        <v>0</v>
      </c>
      <c r="Z480" s="94"/>
      <c r="AA480" s="94">
        <v>1</v>
      </c>
      <c r="AB480" s="95">
        <f>SUM(H480:AA480)</f>
        <v>1</v>
      </c>
      <c r="AC480" s="29" t="str">
        <f>IF(ABS(AB480-F480)&lt;0.0000001,"ok","err")</f>
        <v>ok</v>
      </c>
    </row>
    <row r="481" spans="1:29" x14ac:dyDescent="0.2">
      <c r="F481" s="257"/>
      <c r="G481" s="94"/>
      <c r="H481" s="95"/>
      <c r="I481" s="95"/>
      <c r="J481" s="95"/>
      <c r="K481" s="95"/>
      <c r="L481" s="95"/>
      <c r="M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29"/>
    </row>
    <row r="482" spans="1:29" x14ac:dyDescent="0.2">
      <c r="AC482" s="29"/>
    </row>
    <row r="483" spans="1:29" x14ac:dyDescent="0.2">
      <c r="A483" s="13" t="s">
        <v>402</v>
      </c>
      <c r="C483" s="14" t="s">
        <v>97</v>
      </c>
      <c r="F483" s="257">
        <v>1</v>
      </c>
      <c r="G483" s="94"/>
      <c r="H483" s="95">
        <f>'Purchased Power'!O44</f>
        <v>0.29293566057296955</v>
      </c>
      <c r="I483" s="95">
        <f>'Purchased Power'!O45</f>
        <v>0.70706433942703029</v>
      </c>
      <c r="J483" s="49"/>
      <c r="K483" s="49">
        <v>0</v>
      </c>
      <c r="L483" s="49"/>
      <c r="M483" s="49">
        <v>0</v>
      </c>
      <c r="N483" s="49"/>
      <c r="O483" s="49">
        <v>0</v>
      </c>
      <c r="P483" s="49">
        <v>0</v>
      </c>
      <c r="Q483" s="97"/>
      <c r="R483" s="49">
        <v>0</v>
      </c>
      <c r="S483" s="49">
        <v>0</v>
      </c>
      <c r="T483" s="49"/>
      <c r="U483" s="49">
        <v>0</v>
      </c>
      <c r="V483" s="49"/>
      <c r="W483" s="49">
        <v>0</v>
      </c>
      <c r="X483" s="49"/>
      <c r="Y483" s="49">
        <v>0</v>
      </c>
      <c r="Z483" s="49"/>
      <c r="AA483" s="49">
        <v>0</v>
      </c>
      <c r="AB483" s="49">
        <f>SUM(H483:AA483)</f>
        <v>0.99999999999999978</v>
      </c>
      <c r="AC483" s="29" t="str">
        <f>IF(ABS(AB483-F483)&lt;1,"ok","err")</f>
        <v>ok</v>
      </c>
    </row>
    <row r="484" spans="1:29" x14ac:dyDescent="0.2">
      <c r="AC484" s="29"/>
    </row>
    <row r="485" spans="1:29" x14ac:dyDescent="0.2">
      <c r="A485" s="14" t="s">
        <v>548</v>
      </c>
      <c r="C485" s="14" t="s">
        <v>546</v>
      </c>
      <c r="F485" s="258">
        <v>1</v>
      </c>
      <c r="G485" s="98"/>
      <c r="H485" s="49">
        <v>0</v>
      </c>
      <c r="I485" s="49">
        <v>0</v>
      </c>
      <c r="K485" s="49">
        <v>0</v>
      </c>
      <c r="M485" s="49">
        <v>0</v>
      </c>
      <c r="O485" s="49">
        <v>0</v>
      </c>
      <c r="P485" s="49">
        <v>0</v>
      </c>
      <c r="R485" s="49">
        <v>0</v>
      </c>
      <c r="S485" s="49">
        <v>0</v>
      </c>
      <c r="U485" s="49">
        <v>0</v>
      </c>
      <c r="W485" s="98">
        <v>1</v>
      </c>
      <c r="Y485" s="49">
        <v>0</v>
      </c>
      <c r="AA485" s="49">
        <v>0</v>
      </c>
      <c r="AB485" s="95">
        <f>SUM(H485:AA485)</f>
        <v>1</v>
      </c>
      <c r="AC485" s="29" t="str">
        <f>IF(ABS(AB485-F485)&lt;1,"ok","err")</f>
        <v>ok</v>
      </c>
    </row>
    <row r="486" spans="1:29" x14ac:dyDescent="0.2">
      <c r="A486" s="14" t="s">
        <v>549</v>
      </c>
      <c r="C486" s="14" t="s">
        <v>547</v>
      </c>
      <c r="F486" s="258">
        <v>1</v>
      </c>
      <c r="G486" s="98"/>
      <c r="H486" s="49">
        <v>0</v>
      </c>
      <c r="I486" s="49">
        <v>0</v>
      </c>
      <c r="K486" s="49">
        <v>0</v>
      </c>
      <c r="M486" s="49">
        <v>0</v>
      </c>
      <c r="O486" s="49">
        <v>0</v>
      </c>
      <c r="P486" s="49">
        <v>0</v>
      </c>
      <c r="R486" s="49">
        <v>0</v>
      </c>
      <c r="S486" s="49">
        <v>0</v>
      </c>
      <c r="U486" s="49">
        <v>0</v>
      </c>
      <c r="W486" s="98">
        <v>1</v>
      </c>
      <c r="Y486" s="49">
        <v>0</v>
      </c>
      <c r="AA486" s="49">
        <v>0</v>
      </c>
      <c r="AB486" s="95">
        <f>SUM(H486:AA486)</f>
        <v>1</v>
      </c>
      <c r="AC486" s="29" t="str">
        <f>IF(ABS(AB486-F486)&lt;1,"ok","err")</f>
        <v>ok</v>
      </c>
    </row>
    <row r="487" spans="1:29" x14ac:dyDescent="0.2">
      <c r="A487" s="14" t="s">
        <v>708</v>
      </c>
      <c r="C487" s="14" t="s">
        <v>551</v>
      </c>
      <c r="F487" s="257">
        <v>1</v>
      </c>
      <c r="G487" s="94"/>
      <c r="H487" s="95">
        <v>0</v>
      </c>
      <c r="I487" s="95">
        <v>0</v>
      </c>
      <c r="J487" s="95"/>
      <c r="K487" s="95">
        <v>0</v>
      </c>
      <c r="L487" s="94"/>
      <c r="M487" s="95">
        <v>0</v>
      </c>
      <c r="N487" s="94"/>
      <c r="O487" s="95">
        <v>0</v>
      </c>
      <c r="P487" s="95">
        <v>1</v>
      </c>
      <c r="Q487" s="96"/>
      <c r="R487" s="94">
        <v>0</v>
      </c>
      <c r="S487" s="94">
        <v>0</v>
      </c>
      <c r="T487" s="94"/>
      <c r="U487" s="94">
        <v>0</v>
      </c>
      <c r="V487" s="94"/>
      <c r="W487" s="94">
        <v>0</v>
      </c>
      <c r="X487" s="94"/>
      <c r="Y487" s="94">
        <v>0</v>
      </c>
      <c r="Z487" s="94"/>
      <c r="AA487" s="94">
        <v>0</v>
      </c>
      <c r="AB487" s="95">
        <f>SUM(H487:AA487)</f>
        <v>1</v>
      </c>
      <c r="AC487" s="29" t="str">
        <f>IF(ABS(AB487-F487)&lt;0.0000001,"ok","err")</f>
        <v>ok</v>
      </c>
    </row>
    <row r="488" spans="1:29" x14ac:dyDescent="0.2">
      <c r="A488" s="14" t="s">
        <v>823</v>
      </c>
      <c r="C488" s="14" t="s">
        <v>552</v>
      </c>
      <c r="F488" s="257">
        <v>1</v>
      </c>
      <c r="G488" s="94"/>
      <c r="H488" s="95">
        <v>1</v>
      </c>
      <c r="I488" s="95">
        <v>0</v>
      </c>
      <c r="J488" s="95"/>
      <c r="K488" s="95">
        <v>0</v>
      </c>
      <c r="L488" s="94"/>
      <c r="M488" s="95">
        <v>0</v>
      </c>
      <c r="N488" s="94"/>
      <c r="O488" s="95">
        <v>0</v>
      </c>
      <c r="P488" s="95">
        <v>0</v>
      </c>
      <c r="Q488" s="96"/>
      <c r="R488" s="94">
        <v>0</v>
      </c>
      <c r="S488" s="94">
        <v>0</v>
      </c>
      <c r="T488" s="94"/>
      <c r="U488" s="94">
        <v>0</v>
      </c>
      <c r="V488" s="94"/>
      <c r="W488" s="94">
        <v>0</v>
      </c>
      <c r="X488" s="94"/>
      <c r="Y488" s="94">
        <v>0</v>
      </c>
      <c r="Z488" s="94"/>
      <c r="AA488" s="94">
        <v>0</v>
      </c>
      <c r="AB488" s="95">
        <f>SUM(H488:AA488)</f>
        <v>1</v>
      </c>
      <c r="AC488" s="29" t="str">
        <f>IF(ABS(AB488-F488)&lt;0.0000001,"ok","err")</f>
        <v>ok</v>
      </c>
    </row>
    <row r="489" spans="1:29" x14ac:dyDescent="0.2">
      <c r="A489" s="14" t="s">
        <v>824</v>
      </c>
      <c r="C489" s="14" t="s">
        <v>787</v>
      </c>
      <c r="F489" s="257">
        <v>1</v>
      </c>
      <c r="G489" s="94"/>
      <c r="H489" s="95">
        <v>0</v>
      </c>
      <c r="I489" s="95">
        <v>1</v>
      </c>
      <c r="J489" s="95"/>
      <c r="K489" s="95">
        <v>0</v>
      </c>
      <c r="L489" s="94"/>
      <c r="M489" s="95">
        <v>0</v>
      </c>
      <c r="N489" s="94"/>
      <c r="O489" s="95">
        <v>0</v>
      </c>
      <c r="P489" s="95">
        <v>0</v>
      </c>
      <c r="Q489" s="96"/>
      <c r="R489" s="94">
        <v>0</v>
      </c>
      <c r="S489" s="94">
        <v>0</v>
      </c>
      <c r="T489" s="94"/>
      <c r="U489" s="94">
        <v>0</v>
      </c>
      <c r="V489" s="94"/>
      <c r="W489" s="94">
        <v>0</v>
      </c>
      <c r="X489" s="94"/>
      <c r="Y489" s="94">
        <v>0</v>
      </c>
      <c r="Z489" s="94"/>
      <c r="AA489" s="94">
        <v>0</v>
      </c>
      <c r="AB489" s="95">
        <f>SUM(H489:AA489)</f>
        <v>1</v>
      </c>
      <c r="AC489" s="29" t="str">
        <f>IF(ABS(AB489-F489)&lt;0.0000001,"ok","err")</f>
        <v>ok</v>
      </c>
    </row>
    <row r="490" spans="1:29" x14ac:dyDescent="0.2">
      <c r="F490" s="257"/>
      <c r="G490" s="94"/>
      <c r="AC490" s="29"/>
    </row>
    <row r="491" spans="1:29" x14ac:dyDescent="0.2">
      <c r="AC491" s="29"/>
    </row>
    <row r="492" spans="1:29" x14ac:dyDescent="0.2">
      <c r="F492" s="256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49"/>
      <c r="AC492" s="29"/>
    </row>
    <row r="493" spans="1:29" x14ac:dyDescent="0.2">
      <c r="F493" s="256"/>
      <c r="G493" s="90"/>
      <c r="H493" s="90"/>
      <c r="I493" s="90"/>
      <c r="J493" s="90"/>
      <c r="K493" s="90"/>
      <c r="L493" s="90"/>
      <c r="M493" s="90"/>
      <c r="N493" s="90"/>
      <c r="O493" s="47"/>
      <c r="P493" s="47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49"/>
      <c r="AC493" s="29"/>
    </row>
    <row r="494" spans="1:29" x14ac:dyDescent="0.2">
      <c r="O494" s="47"/>
      <c r="P494" s="47"/>
      <c r="AC494" s="29"/>
    </row>
    <row r="495" spans="1:29" x14ac:dyDescent="0.2">
      <c r="F495" s="255"/>
      <c r="G495" s="49"/>
      <c r="O495" s="47"/>
      <c r="P495" s="47"/>
      <c r="AC495" s="29"/>
    </row>
    <row r="496" spans="1:29" x14ac:dyDescent="0.2">
      <c r="F496" s="255"/>
      <c r="G496" s="49"/>
      <c r="O496" s="47"/>
      <c r="P496" s="47"/>
      <c r="AC496" s="29"/>
    </row>
    <row r="497" spans="6:29" x14ac:dyDescent="0.2">
      <c r="F497" s="255"/>
      <c r="G497" s="49"/>
      <c r="AC497" s="29"/>
    </row>
    <row r="498" spans="6:29" x14ac:dyDescent="0.2">
      <c r="F498" s="255"/>
      <c r="G498" s="49"/>
      <c r="AC498" s="29"/>
    </row>
    <row r="499" spans="6:29" x14ac:dyDescent="0.2">
      <c r="F499" s="255"/>
      <c r="G499" s="49"/>
      <c r="AC499" s="29"/>
    </row>
    <row r="500" spans="6:29" x14ac:dyDescent="0.2">
      <c r="F500" s="255"/>
      <c r="G500" s="49"/>
      <c r="AC500" s="29"/>
    </row>
    <row r="501" spans="6:29" x14ac:dyDescent="0.2">
      <c r="F501" s="255"/>
      <c r="G501" s="49"/>
      <c r="AC501" s="29"/>
    </row>
    <row r="502" spans="6:29" x14ac:dyDescent="0.2">
      <c r="F502" s="255"/>
      <c r="G502" s="49"/>
      <c r="AC502" s="29"/>
    </row>
    <row r="503" spans="6:29" x14ac:dyDescent="0.2">
      <c r="F503" s="259"/>
      <c r="G503" s="35"/>
      <c r="AC503" s="29"/>
    </row>
    <row r="504" spans="6:29" x14ac:dyDescent="0.2">
      <c r="AC504" s="29"/>
    </row>
    <row r="505" spans="6:29" x14ac:dyDescent="0.2">
      <c r="F505" s="254"/>
      <c r="G505" s="65"/>
      <c r="AC505" s="29"/>
    </row>
    <row r="506" spans="6:29" x14ac:dyDescent="0.2">
      <c r="AC506" s="29"/>
    </row>
    <row r="507" spans="6:29" x14ac:dyDescent="0.2">
      <c r="AC507" s="29"/>
    </row>
    <row r="508" spans="6:29" x14ac:dyDescent="0.2">
      <c r="AC508" s="29"/>
    </row>
  </sheetData>
  <phoneticPr fontId="0" type="noConversion"/>
  <conditionalFormatting sqref="AC1:AC36 AC189 AC192:AC193 AC197:AC257 AC363:AC65536 AC281:AC360 AC259:AC278 AC39:AC186">
    <cfRule type="cellIs" dxfId="88" priority="29" operator="equal">
      <formula>"err"</formula>
    </cfRule>
  </conditionalFormatting>
  <conditionalFormatting sqref="AC8:AC36 AC189 AC192:AC193 AC197:AC257 AC363:AC493 AC281:AC360 AC259:AC278 AC39:AC186">
    <cfRule type="containsText" dxfId="87" priority="27" operator="containsText" text="err">
      <formula>NOT(ISERROR(SEARCH("err",AC8)))</formula>
    </cfRule>
  </conditionalFormatting>
  <conditionalFormatting sqref="AC361:AC362">
    <cfRule type="cellIs" dxfId="86" priority="24" operator="equal">
      <formula>"err"</formula>
    </cfRule>
  </conditionalFormatting>
  <conditionalFormatting sqref="AC361:AC362">
    <cfRule type="containsText" dxfId="85" priority="23" operator="containsText" text="err">
      <formula>NOT(ISERROR(SEARCH("err",AC361)))</formula>
    </cfRule>
  </conditionalFormatting>
  <conditionalFormatting sqref="AC37:AC38">
    <cfRule type="cellIs" dxfId="84" priority="22" operator="equal">
      <formula>"err"</formula>
    </cfRule>
  </conditionalFormatting>
  <conditionalFormatting sqref="AC37:AC38">
    <cfRule type="containsText" dxfId="83" priority="21" operator="containsText" text="err">
      <formula>NOT(ISERROR(SEARCH("err",AC37)))</formula>
    </cfRule>
  </conditionalFormatting>
  <conditionalFormatting sqref="AC188">
    <cfRule type="cellIs" dxfId="82" priority="20" operator="equal">
      <formula>"err"</formula>
    </cfRule>
  </conditionalFormatting>
  <conditionalFormatting sqref="AC188">
    <cfRule type="containsText" dxfId="81" priority="19" operator="containsText" text="err">
      <formula>NOT(ISERROR(SEARCH("err",AC188)))</formula>
    </cfRule>
  </conditionalFormatting>
  <conditionalFormatting sqref="AC187">
    <cfRule type="cellIs" dxfId="80" priority="18" operator="equal">
      <formula>"err"</formula>
    </cfRule>
  </conditionalFormatting>
  <conditionalFormatting sqref="AC187">
    <cfRule type="containsText" dxfId="79" priority="17" operator="containsText" text="err">
      <formula>NOT(ISERROR(SEARCH("err",AC187)))</formula>
    </cfRule>
  </conditionalFormatting>
  <conditionalFormatting sqref="AC190">
    <cfRule type="cellIs" dxfId="78" priority="16" operator="equal">
      <formula>"err"</formula>
    </cfRule>
  </conditionalFormatting>
  <conditionalFormatting sqref="AC190">
    <cfRule type="containsText" dxfId="77" priority="15" operator="containsText" text="err">
      <formula>NOT(ISERROR(SEARCH("err",AC190)))</formula>
    </cfRule>
  </conditionalFormatting>
  <conditionalFormatting sqref="AC191">
    <cfRule type="cellIs" dxfId="76" priority="14" operator="equal">
      <formula>"err"</formula>
    </cfRule>
  </conditionalFormatting>
  <conditionalFormatting sqref="AC191">
    <cfRule type="containsText" dxfId="75" priority="13" operator="containsText" text="err">
      <formula>NOT(ISERROR(SEARCH("err",AC191)))</formula>
    </cfRule>
  </conditionalFormatting>
  <conditionalFormatting sqref="AC196">
    <cfRule type="cellIs" dxfId="74" priority="12" operator="equal">
      <formula>"err"</formula>
    </cfRule>
  </conditionalFormatting>
  <conditionalFormatting sqref="AC196">
    <cfRule type="containsText" dxfId="73" priority="11" operator="containsText" text="err">
      <formula>NOT(ISERROR(SEARCH("err",AC196)))</formula>
    </cfRule>
  </conditionalFormatting>
  <conditionalFormatting sqref="AC195">
    <cfRule type="cellIs" dxfId="72" priority="10" operator="equal">
      <formula>"err"</formula>
    </cfRule>
  </conditionalFormatting>
  <conditionalFormatting sqref="AC195">
    <cfRule type="containsText" dxfId="71" priority="9" operator="containsText" text="err">
      <formula>NOT(ISERROR(SEARCH("err",AC195)))</formula>
    </cfRule>
  </conditionalFormatting>
  <conditionalFormatting sqref="AC194">
    <cfRule type="cellIs" dxfId="70" priority="8" operator="equal">
      <formula>"err"</formula>
    </cfRule>
  </conditionalFormatting>
  <conditionalFormatting sqref="AC194">
    <cfRule type="containsText" dxfId="69" priority="7" operator="containsText" text="err">
      <formula>NOT(ISERROR(SEARCH("err",AC194)))</formula>
    </cfRule>
  </conditionalFormatting>
  <conditionalFormatting sqref="AC279">
    <cfRule type="cellIs" dxfId="68" priority="6" operator="equal">
      <formula>"err"</formula>
    </cfRule>
  </conditionalFormatting>
  <conditionalFormatting sqref="AC279">
    <cfRule type="containsText" dxfId="67" priority="5" operator="containsText" text="err">
      <formula>NOT(ISERROR(SEARCH("err",AC279)))</formula>
    </cfRule>
  </conditionalFormatting>
  <conditionalFormatting sqref="AC280">
    <cfRule type="cellIs" dxfId="66" priority="4" operator="equal">
      <formula>"err"</formula>
    </cfRule>
  </conditionalFormatting>
  <conditionalFormatting sqref="AC280">
    <cfRule type="containsText" dxfId="65" priority="3" operator="containsText" text="err">
      <formula>NOT(ISERROR(SEARCH("err",AC280)))</formula>
    </cfRule>
  </conditionalFormatting>
  <conditionalFormatting sqref="AC258">
    <cfRule type="cellIs" dxfId="64" priority="2" operator="equal">
      <formula>"err"</formula>
    </cfRule>
  </conditionalFormatting>
  <conditionalFormatting sqref="AC258">
    <cfRule type="containsText" dxfId="63" priority="1" operator="containsText" text="err">
      <formula>NOT(ISERROR(SEARCH("err",AC258)))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Roman,Bold"MEADE COUNTY R.E.C.C.
Cost of Service Study
Functionalization and Classification
12 Months Ended December 31, 2024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89" max="16383" man="1"/>
    <brk id="333" max="16383" man="1"/>
    <brk id="360" max="26" man="1"/>
    <brk id="397" max="16383" man="1"/>
    <brk id="444" max="26" man="1"/>
    <brk id="466" max="16383" man="1"/>
  </rowBreaks>
  <colBreaks count="1" manualBreakCount="1">
    <brk id="14" max="4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O652"/>
  <sheetViews>
    <sheetView view="pageBreakPreview" zoomScale="75" zoomScaleNormal="100" zoomScaleSheetLayoutView="75" workbookViewId="0">
      <pane xSplit="2" ySplit="3" topLeftCell="C502" activePane="bottomRight" state="frozen"/>
      <selection activeCell="H10" sqref="H10:I26"/>
      <selection pane="topRight" activeCell="H10" sqref="H10:I26"/>
      <selection pane="bottomLeft" activeCell="H10" sqref="H10:I26"/>
      <selection pane="bottomRight" activeCell="C536" sqref="C536"/>
    </sheetView>
  </sheetViews>
  <sheetFormatPr defaultRowHeight="12.75" x14ac:dyDescent="0.2"/>
  <cols>
    <col min="1" max="1" width="7.7109375" style="14" customWidth="1"/>
    <col min="2" max="2" width="56.42578125" style="14" customWidth="1"/>
    <col min="3" max="3" width="14" style="14" customWidth="1"/>
    <col min="4" max="4" width="12.42578125" style="14" customWidth="1"/>
    <col min="5" max="5" width="20.7109375" style="253" customWidth="1"/>
    <col min="6" max="13" width="18.7109375" style="14" customWidth="1"/>
    <col min="14" max="15" width="20.7109375" style="14" hidden="1" customWidth="1"/>
    <col min="16" max="16" width="16.140625" style="14" hidden="1" customWidth="1"/>
    <col min="17" max="17" width="15.7109375" style="14" hidden="1" customWidth="1"/>
    <col min="18" max="18" width="20.7109375" style="14" hidden="1" customWidth="1"/>
    <col min="19" max="22" width="14.5703125" style="14" hidden="1" customWidth="1"/>
    <col min="23" max="23" width="13.5703125" style="14" hidden="1" customWidth="1"/>
    <col min="24" max="24" width="12" style="14" hidden="1" customWidth="1"/>
    <col min="25" max="30" width="17.7109375" style="14" hidden="1" customWidth="1"/>
    <col min="31" max="31" width="17.42578125" style="14" hidden="1" customWidth="1"/>
    <col min="32" max="32" width="21.85546875" style="14" hidden="1" customWidth="1"/>
    <col min="33" max="33" width="17.7109375" style="14" customWidth="1"/>
    <col min="34" max="34" width="10.7109375" style="14" customWidth="1"/>
    <col min="35" max="35" width="11.5703125" style="14" bestFit="1" customWidth="1"/>
    <col min="36" max="36" width="9.140625" style="14"/>
    <col min="37" max="37" width="17.28515625" style="49" bestFit="1" customWidth="1"/>
    <col min="38" max="16384" width="9.140625" style="14"/>
  </cols>
  <sheetData>
    <row r="1" spans="1:37" x14ac:dyDescent="0.2">
      <c r="A1" s="79"/>
      <c r="B1" s="79"/>
      <c r="C1" s="79"/>
      <c r="D1" s="79"/>
      <c r="AH1" s="29" t="str">
        <f>IF(COUNTIF(AH4:AH535,"err"),"err","ok")</f>
        <v>ok</v>
      </c>
    </row>
    <row r="2" spans="1:37" s="263" customFormat="1" ht="77.25" customHeight="1" x14ac:dyDescent="0.2">
      <c r="A2" s="260"/>
      <c r="B2" s="260"/>
      <c r="C2" s="261"/>
      <c r="D2" s="262" t="s">
        <v>208</v>
      </c>
      <c r="E2" s="261" t="s">
        <v>0</v>
      </c>
      <c r="F2" s="261" t="str">
        <f>'Summary of Returns'!B10</f>
        <v>Residential</v>
      </c>
      <c r="G2" s="261" t="str">
        <f>'Summary of Returns'!B11</f>
        <v>Small Comm</v>
      </c>
      <c r="H2" s="261" t="str">
        <f>'Summary of Returns'!B12</f>
        <v>3 Phase</v>
      </c>
      <c r="I2" s="261" t="str">
        <f>'Summary of Returns'!B13</f>
        <v>3 Ph 0-999 KVA TOD</v>
      </c>
      <c r="J2" s="261" t="str">
        <f>'Summary of Returns'!B14</f>
        <v>Large 1000 KVA TOD</v>
      </c>
      <c r="K2" s="261" t="str">
        <f>'Summary of Returns'!B15</f>
        <v>Private Outdoor Lighting</v>
      </c>
      <c r="L2" s="261" t="str">
        <f>'Summary of Returns'!B16</f>
        <v>Street &amp; Hwy Lights</v>
      </c>
      <c r="M2" s="261" t="str">
        <f>'Summary of Returns'!B17</f>
        <v>Special Contract</v>
      </c>
      <c r="N2" s="261" t="str">
        <f>'Summary of Returns'!B18</f>
        <v>reserved</v>
      </c>
      <c r="O2" s="261" t="str">
        <f>'Summary of Returns'!B19</f>
        <v>reserved</v>
      </c>
      <c r="P2" s="261">
        <f>'Summary of Returns'!B20</f>
        <v>0</v>
      </c>
      <c r="Q2" s="261" t="s">
        <v>703</v>
      </c>
      <c r="R2" s="261" t="s">
        <v>703</v>
      </c>
      <c r="S2" s="261" t="s">
        <v>703</v>
      </c>
      <c r="T2" s="261" t="s">
        <v>703</v>
      </c>
      <c r="U2" s="261" t="s">
        <v>703</v>
      </c>
      <c r="V2" s="261" t="s">
        <v>703</v>
      </c>
      <c r="W2" s="261" t="s">
        <v>703</v>
      </c>
      <c r="X2" s="261" t="s">
        <v>703</v>
      </c>
      <c r="Y2" s="261" t="s">
        <v>703</v>
      </c>
      <c r="Z2" s="261" t="s">
        <v>703</v>
      </c>
      <c r="AA2" s="261" t="s">
        <v>703</v>
      </c>
      <c r="AB2" s="261" t="s">
        <v>703</v>
      </c>
      <c r="AC2" s="261" t="s">
        <v>703</v>
      </c>
      <c r="AD2" s="261" t="s">
        <v>703</v>
      </c>
      <c r="AE2" s="261" t="s">
        <v>703</v>
      </c>
      <c r="AF2" s="261" t="s">
        <v>703</v>
      </c>
      <c r="AG2" s="260"/>
      <c r="AH2" s="260"/>
      <c r="AK2" s="264"/>
    </row>
    <row r="3" spans="1:37" ht="13.5" thickBot="1" x14ac:dyDescent="0.25">
      <c r="A3" s="84" t="s">
        <v>6</v>
      </c>
      <c r="B3" s="84"/>
      <c r="C3" s="85" t="s">
        <v>7</v>
      </c>
      <c r="D3" s="85" t="s">
        <v>8</v>
      </c>
      <c r="E3" s="250" t="s">
        <v>9</v>
      </c>
      <c r="F3" s="83">
        <f>'Summary of Returns'!C10</f>
        <v>1</v>
      </c>
      <c r="G3" s="83">
        <f>'Summary of Returns'!C11</f>
        <v>2</v>
      </c>
      <c r="H3" s="218">
        <f>'Summary of Returns'!C12</f>
        <v>3</v>
      </c>
      <c r="I3" s="218" t="str">
        <f>'Summary of Returns'!C13</f>
        <v>3A</v>
      </c>
      <c r="J3" s="218">
        <f>'Summary of Returns'!C14</f>
        <v>4</v>
      </c>
      <c r="K3" s="83">
        <f>'Summary of Returns'!C15</f>
        <v>5</v>
      </c>
      <c r="L3" s="83">
        <f>'Summary of Returns'!C16</f>
        <v>6</v>
      </c>
      <c r="M3" s="83" t="str">
        <f>'Summary of Returns'!C17</f>
        <v>SC</v>
      </c>
      <c r="N3" s="83" t="str">
        <f>'Summary of Returns'!C18</f>
        <v>X</v>
      </c>
      <c r="O3" s="83" t="str">
        <f>'Summary of Returns'!C19</f>
        <v>X</v>
      </c>
      <c r="P3" s="83">
        <f>'Summary of Returns'!C20</f>
        <v>0</v>
      </c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 t="s">
        <v>13</v>
      </c>
      <c r="AH3" s="83" t="s">
        <v>14</v>
      </c>
    </row>
    <row r="5" spans="1:37" x14ac:dyDescent="0.2">
      <c r="A5" s="27" t="s">
        <v>15</v>
      </c>
    </row>
    <row r="7" spans="1:37" x14ac:dyDescent="0.2">
      <c r="A7" s="13" t="s">
        <v>896</v>
      </c>
    </row>
    <row r="8" spans="1:37" x14ac:dyDescent="0.2">
      <c r="A8" s="93" t="s">
        <v>209</v>
      </c>
      <c r="C8" s="14" t="s">
        <v>210</v>
      </c>
      <c r="D8" s="14" t="s">
        <v>657</v>
      </c>
      <c r="E8" s="254">
        <f>'Func &amp; Classif'!H82</f>
        <v>0</v>
      </c>
      <c r="F8" s="65">
        <f>IF(VLOOKUP($D8,$C$5:$AU$501,3,)=0,0,(VLOOKUP($D8,$C$5:$AU$501,4,)/VLOOKUP($D8,$C$5:$AU$501,3,))*$E8)</f>
        <v>0</v>
      </c>
      <c r="G8" s="65">
        <f>IF(VLOOKUP($D8,$C$5:$AU$501,3,)=0,0,(VLOOKUP($D8,$C$5:$AU$501,5,)/VLOOKUP($D8,$C$5:$AU$501,3,))*$E8)</f>
        <v>0</v>
      </c>
      <c r="H8" s="65">
        <f>IF(VLOOKUP($D8,$C$5:$AU$501,3,)=0,0,(VLOOKUP($D8,$C$5:$AU$501,6,)/VLOOKUP($D8,$C$5:$AU$501,3,))*$E8)</f>
        <v>0</v>
      </c>
      <c r="I8" s="65">
        <f>IF(VLOOKUP($D8,$C$5:$AU$501,3,)=0,0,(VLOOKUP($D8,$C$5:$AU$501,7,)/VLOOKUP($D8,$C$5:$AU$501,3,))*$E8)</f>
        <v>0</v>
      </c>
      <c r="J8" s="65">
        <f>IF(VLOOKUP($D8,$C$5:$AU$501,3,)=0,0,(VLOOKUP($D8,$C$5:$AU$501,8,)/VLOOKUP($D8,$C$5:$AU$501,3,))*$E8)</f>
        <v>0</v>
      </c>
      <c r="K8" s="65">
        <f>IF(VLOOKUP($D8,$C$5:$AU$501,3,)=0,0,(VLOOKUP($D8,$C$5:$AU$501,9,)/VLOOKUP($D8,$C$5:$AU$501,3,))*$E8)</f>
        <v>0</v>
      </c>
      <c r="L8" s="65">
        <f>IF(VLOOKUP($D8,$C$5:$AU$501,3,)=0,0,(VLOOKUP($D8,$C$5:$AU$501,10,)/VLOOKUP($D8,$C$5:$AU$501,3,))*$E8)</f>
        <v>0</v>
      </c>
      <c r="M8" s="65">
        <f>IF(VLOOKUP($D8,$C$5:$AU$501,3,)=0,0,(VLOOKUP($D8,$C$5:$AU$501,11,)/VLOOKUP($D8,$C$5:$AU$501,3,))*$E8)</f>
        <v>0</v>
      </c>
      <c r="N8" s="65">
        <f>IF(VLOOKUP($D8,$C$5:$AU$501,3,)=0,0,(VLOOKUP($D8,$C$5:$AU$501,12,)/VLOOKUP($D8,$C$5:$AU$501,3,))*$E8)</f>
        <v>0</v>
      </c>
      <c r="O8" s="65">
        <f>IF(VLOOKUP($D8,$C$5:$AU$501,3,)=0,0,(VLOOKUP($D8,$C$5:$AU$501,13,)/VLOOKUP($D8,$C$5:$AU$501,3,))*$E8)</f>
        <v>0</v>
      </c>
      <c r="P8" s="65">
        <f>IF(VLOOKUP($D8,$C$5:$AU$501,3,)=0,0,(VLOOKUP($D8,$C$5:$AU$501,14,)/VLOOKUP($D8,$C$5:$AU$501,3,))*$E8)</f>
        <v>0</v>
      </c>
      <c r="Q8" s="65">
        <f>IF(VLOOKUP($D8,$C$5:$AU$501,3,)=0,0,(VLOOKUP($D8,$C$5:$AU$501,15,)/VLOOKUP($D8,$C$5:$AU$501,3,))*$E8)</f>
        <v>0</v>
      </c>
      <c r="R8" s="65">
        <f>IF(VLOOKUP($D8,$C$5:$AU$501,3,)=0,0,(VLOOKUP($D8,$C$5:$AU$501,16,)/VLOOKUP($D8,$C$5:$AU$501,3,))*$E8)</f>
        <v>0</v>
      </c>
      <c r="S8" s="65">
        <f>IF(VLOOKUP($D8,$C$5:$AU$501,3,)=0,0,(VLOOKUP($D8,$C$5:$AU$501,17,)/VLOOKUP($D8,$C$5:$AU$501,3,))*$E8)</f>
        <v>0</v>
      </c>
      <c r="T8" s="65">
        <f>IF(VLOOKUP($D8,$C$5:$AU$501,3,)=0,0,(VLOOKUP($D8,$C$5:$AU$501,18,)/VLOOKUP($D8,$C$5:$AU$501,3,))*$E8)</f>
        <v>0</v>
      </c>
      <c r="U8" s="65">
        <f>IF(VLOOKUP($D8,$C$5:$AU$501,3,)=0,0,(VLOOKUP($D8,$C$5:$AU$501,19,)/VLOOKUP($D8,$C$5:$AU$501,3,))*$E8)</f>
        <v>0</v>
      </c>
      <c r="V8" s="65">
        <f>IF(VLOOKUP($D8,$C$5:$AU$501,3,)=0,0,(VLOOKUP($D8,$C$5:$AU$501,20,)/VLOOKUP($D8,$C$5:$AU$501,3,))*$E8)</f>
        <v>0</v>
      </c>
      <c r="W8" s="65">
        <f>IF(VLOOKUP($D8,$C$5:$AU$501,3,)=0,0,(VLOOKUP($D8,$C$5:$AU$501,21,)/VLOOKUP($D8,$C$5:$AU$501,3,))*$E8)</f>
        <v>0</v>
      </c>
      <c r="X8" s="65">
        <f>IF(VLOOKUP($D8,$C$5:$AU$501,3,)=0,0,(VLOOKUP($D8,$C$5:$AU$501,22,)/VLOOKUP($D8,$C$5:$AU$501,3,))*$E8)</f>
        <v>0</v>
      </c>
      <c r="Y8" s="65">
        <f>IF(VLOOKUP($D8,$C$5:$AU$501,3,)=0,0,(VLOOKUP($D8,$C$5:$AU$501,23,)/VLOOKUP($D8,$C$5:$AU$501,3,))*$E8)</f>
        <v>0</v>
      </c>
      <c r="Z8" s="65">
        <f>IF(VLOOKUP($D8,$C$5:$AU$501,3,)=0,0,(VLOOKUP($D8,$C$5:$AU$501,24,)/VLOOKUP($D8,$C$5:$AU$501,3,))*$E8)</f>
        <v>0</v>
      </c>
      <c r="AA8" s="65">
        <f>IF(VLOOKUP($D8,$C$5:$AU$501,3,)=0,0,(VLOOKUP($D8,$C$5:$AU$501,25,)/VLOOKUP($D8,$C$5:$AU$501,3,))*$E8)</f>
        <v>0</v>
      </c>
      <c r="AB8" s="65">
        <f>IF(VLOOKUP($D8,$C$5:$AU$501,3,)=0,0,(VLOOKUP($D8,$C$5:$AU$501,26,)/VLOOKUP($D8,$C$5:$AU$501,3,))*$E8)</f>
        <v>0</v>
      </c>
      <c r="AC8" s="65">
        <f>IF(VLOOKUP($D8,$C$5:$AU$501,3,)=0,0,(VLOOKUP($D8,$C$5:$AU$501,27,)/VLOOKUP($D8,$C$5:$AU$501,3,))*$E8)</f>
        <v>0</v>
      </c>
      <c r="AD8" s="65">
        <f>IF(VLOOKUP($D8,$C$5:$AU$501,3,)=0,0,(VLOOKUP($D8,$C$5:$AU$501,28,)/VLOOKUP($D8,$C$5:$AU$501,3,))*$E8)</f>
        <v>0</v>
      </c>
      <c r="AE8" s="65">
        <f>IF(VLOOKUP($D8,$C$5:$AU$501,3,)=0,0,(VLOOKUP($D8,$C$5:$AU$501,29,)/VLOOKUP($D8,$C$5:$AU$501,3,))*$E8)</f>
        <v>0</v>
      </c>
      <c r="AF8" s="65">
        <f>IF(VLOOKUP($D8,$C$5:$AU$501,3,)=0,0,(VLOOKUP($D8,$C$5:$AU$501,30,)/VLOOKUP($D8,$C$5:$AU$501,3,))*$E8)</f>
        <v>0</v>
      </c>
      <c r="AG8" s="90">
        <f>SUM(F8:AF8)</f>
        <v>0</v>
      </c>
      <c r="AH8" s="29" t="str">
        <f>IF(ABS(E8-AG8)&lt;0.01,"ok","err")</f>
        <v>ok</v>
      </c>
    </row>
    <row r="9" spans="1:37" x14ac:dyDescent="0.2">
      <c r="A9" s="93" t="s">
        <v>212</v>
      </c>
      <c r="C9" s="14" t="s">
        <v>213</v>
      </c>
      <c r="D9" s="14" t="s">
        <v>666</v>
      </c>
      <c r="E9" s="255">
        <f>'Func &amp; Classif'!I82</f>
        <v>0</v>
      </c>
      <c r="F9" s="65">
        <f>IF(VLOOKUP($D9,$C$5:$AU$501,3,)=0,0,(VLOOKUP($D9,$C$5:$AU$501,4,)/VLOOKUP($D9,$C$5:$AU$501,3,))*$E9)</f>
        <v>0</v>
      </c>
      <c r="G9" s="65">
        <f>IF(VLOOKUP($D9,$C$5:$AU$501,3,)=0,0,(VLOOKUP($D9,$C$5:$AU$501,5,)/VLOOKUP($D9,$C$5:$AU$501,3,))*$E9)</f>
        <v>0</v>
      </c>
      <c r="H9" s="65">
        <f>IF(VLOOKUP($D9,$C$5:$AU$501,3,)=0,0,(VLOOKUP($D9,$C$5:$AU$501,6,)/VLOOKUP($D9,$C$5:$AU$501,3,))*$E9)</f>
        <v>0</v>
      </c>
      <c r="I9" s="65">
        <f>IF(VLOOKUP($D9,$C$5:$AU$501,3,)=0,0,(VLOOKUP($D9,$C$5:$AU$501,7,)/VLOOKUP($D9,$C$5:$AU$501,3,))*$E9)</f>
        <v>0</v>
      </c>
      <c r="J9" s="65">
        <f>IF(VLOOKUP($D9,$C$5:$AU$501,3,)=0,0,(VLOOKUP($D9,$C$5:$AU$501,8,)/VLOOKUP($D9,$C$5:$AU$501,3,))*$E9)</f>
        <v>0</v>
      </c>
      <c r="K9" s="65">
        <f>IF(VLOOKUP($D9,$C$5:$AU$501,3,)=0,0,(VLOOKUP($D9,$C$5:$AU$501,9,)/VLOOKUP($D9,$C$5:$AU$501,3,))*$E9)</f>
        <v>0</v>
      </c>
      <c r="L9" s="65">
        <f>IF(VLOOKUP($D9,$C$5:$AU$501,3,)=0,0,(VLOOKUP($D9,$C$5:$AU$501,10,)/VLOOKUP($D9,$C$5:$AU$501,3,))*$E9)</f>
        <v>0</v>
      </c>
      <c r="M9" s="65">
        <f>IF(VLOOKUP($D9,$C$5:$AU$501,3,)=0,0,(VLOOKUP($D9,$C$5:$AU$501,11,)/VLOOKUP($D9,$C$5:$AU$501,3,))*$E9)</f>
        <v>0</v>
      </c>
      <c r="N9" s="65">
        <f>IF(VLOOKUP($D9,$C$5:$AU$501,3,)=0,0,(VLOOKUP($D9,$C$5:$AU$501,12,)/VLOOKUP($D9,$C$5:$AU$501,3,))*$E9)</f>
        <v>0</v>
      </c>
      <c r="O9" s="65">
        <f>IF(VLOOKUP($D9,$C$5:$AU$501,3,)=0,0,(VLOOKUP($D9,$C$5:$AU$501,13,)/VLOOKUP($D9,$C$5:$AU$501,3,))*$E9)</f>
        <v>0</v>
      </c>
      <c r="P9" s="65">
        <f>IF(VLOOKUP($D9,$C$5:$AU$501,3,)=0,0,(VLOOKUP($D9,$C$5:$AU$501,14,)/VLOOKUP($D9,$C$5:$AU$501,3,))*$E9)</f>
        <v>0</v>
      </c>
      <c r="Q9" s="65">
        <f>IF(VLOOKUP($D9,$C$5:$AU$501,3,)=0,0,(VLOOKUP($D9,$C$5:$AU$501,15,)/VLOOKUP($D9,$C$5:$AU$501,3,))*$E9)</f>
        <v>0</v>
      </c>
      <c r="R9" s="65">
        <f>IF(VLOOKUP($D9,$C$5:$AU$501,3,)=0,0,(VLOOKUP($D9,$C$5:$AU$501,16,)/VLOOKUP($D9,$C$5:$AU$501,3,))*$E9)</f>
        <v>0</v>
      </c>
      <c r="S9" s="65">
        <f>IF(VLOOKUP($D9,$C$5:$AU$501,3,)=0,0,(VLOOKUP($D9,$C$5:$AU$501,17,)/VLOOKUP($D9,$C$5:$AU$501,3,))*$E9)</f>
        <v>0</v>
      </c>
      <c r="T9" s="65">
        <f>IF(VLOOKUP($D9,$C$5:$AU$501,3,)=0,0,(VLOOKUP($D9,$C$5:$AU$501,18,)/VLOOKUP($D9,$C$5:$AU$501,3,))*$E9)</f>
        <v>0</v>
      </c>
      <c r="U9" s="65">
        <f>IF(VLOOKUP($D9,$C$5:$AU$501,3,)=0,0,(VLOOKUP($D9,$C$5:$AU$501,19,)/VLOOKUP($D9,$C$5:$AU$501,3,))*$E9)</f>
        <v>0</v>
      </c>
      <c r="V9" s="65">
        <f>IF(VLOOKUP($D9,$C$5:$AU$501,3,)=0,0,(VLOOKUP($D9,$C$5:$AU$501,20,)/VLOOKUP($D9,$C$5:$AU$501,3,))*$E9)</f>
        <v>0</v>
      </c>
      <c r="W9" s="65">
        <f>IF(VLOOKUP($D9,$C$5:$AU$501,3,)=0,0,(VLOOKUP($D9,$C$5:$AU$501,21,)/VLOOKUP($D9,$C$5:$AU$501,3,))*$E9)</f>
        <v>0</v>
      </c>
      <c r="X9" s="65">
        <f>IF(VLOOKUP($D9,$C$5:$AU$501,3,)=0,0,(VLOOKUP($D9,$C$5:$AU$501,22,)/VLOOKUP($D9,$C$5:$AU$501,3,))*$E9)</f>
        <v>0</v>
      </c>
      <c r="Y9" s="65">
        <f>IF(VLOOKUP($D9,$C$5:$AU$501,3,)=0,0,(VLOOKUP($D9,$C$5:$AU$501,23,)/VLOOKUP($D9,$C$5:$AU$501,3,))*$E9)</f>
        <v>0</v>
      </c>
      <c r="Z9" s="65">
        <f>IF(VLOOKUP($D9,$C$5:$AU$501,3,)=0,0,(VLOOKUP($D9,$C$5:$AU$501,24,)/VLOOKUP($D9,$C$5:$AU$501,3,))*$E9)</f>
        <v>0</v>
      </c>
      <c r="AA9" s="65">
        <f>IF(VLOOKUP($D9,$C$5:$AU$501,3,)=0,0,(VLOOKUP($D9,$C$5:$AU$501,25,)/VLOOKUP($D9,$C$5:$AU$501,3,))*$E9)</f>
        <v>0</v>
      </c>
      <c r="AB9" s="65">
        <f>IF(VLOOKUP($D9,$C$5:$AU$501,3,)=0,0,(VLOOKUP($D9,$C$5:$AU$501,26,)/VLOOKUP($D9,$C$5:$AU$501,3,))*$E9)</f>
        <v>0</v>
      </c>
      <c r="AC9" s="65">
        <f>IF(VLOOKUP($D9,$C$5:$AU$501,3,)=0,0,(VLOOKUP($D9,$C$5:$AU$501,27,)/VLOOKUP($D9,$C$5:$AU$501,3,))*$E9)</f>
        <v>0</v>
      </c>
      <c r="AD9" s="65">
        <f>IF(VLOOKUP($D9,$C$5:$AU$501,3,)=0,0,(VLOOKUP($D9,$C$5:$AU$501,28,)/VLOOKUP($D9,$C$5:$AU$501,3,))*$E9)</f>
        <v>0</v>
      </c>
      <c r="AE9" s="65">
        <f>IF(VLOOKUP($D9,$C$5:$AU$501,3,)=0,0,(VLOOKUP($D9,$C$5:$AU$501,29,)/VLOOKUP($D9,$C$5:$AU$501,3,))*$E9)</f>
        <v>0</v>
      </c>
      <c r="AF9" s="65">
        <f>IF(VLOOKUP($D9,$C$5:$AU$501,3,)=0,0,(VLOOKUP($D9,$C$5:$AU$501,30,)/VLOOKUP($D9,$C$5:$AU$501,3,))*$E9)</f>
        <v>0</v>
      </c>
      <c r="AG9" s="90">
        <f>SUM(F9:AF9)</f>
        <v>0</v>
      </c>
      <c r="AH9" s="29" t="str">
        <f>IF(ABS(E9-AG9)&lt;0.01,"ok","err")</f>
        <v>ok</v>
      </c>
    </row>
    <row r="10" spans="1:37" x14ac:dyDescent="0.2">
      <c r="A10" s="14" t="s">
        <v>215</v>
      </c>
      <c r="C10" s="14" t="s">
        <v>216</v>
      </c>
      <c r="E10" s="254">
        <f t="shared" ref="E10:T10" si="0">E8+E9</f>
        <v>0</v>
      </c>
      <c r="F10" s="65">
        <f t="shared" si="0"/>
        <v>0</v>
      </c>
      <c r="G10" s="65">
        <f t="shared" si="0"/>
        <v>0</v>
      </c>
      <c r="H10" s="65">
        <f t="shared" si="0"/>
        <v>0</v>
      </c>
      <c r="I10" s="65">
        <f t="shared" si="0"/>
        <v>0</v>
      </c>
      <c r="J10" s="65">
        <f t="shared" si="0"/>
        <v>0</v>
      </c>
      <c r="K10" s="65">
        <f t="shared" si="0"/>
        <v>0</v>
      </c>
      <c r="L10" s="65">
        <f t="shared" si="0"/>
        <v>0</v>
      </c>
      <c r="M10" s="65">
        <f t="shared" si="0"/>
        <v>0</v>
      </c>
      <c r="N10" s="65">
        <f t="shared" si="0"/>
        <v>0</v>
      </c>
      <c r="O10" s="65">
        <f t="shared" si="0"/>
        <v>0</v>
      </c>
      <c r="P10" s="65">
        <f t="shared" si="0"/>
        <v>0</v>
      </c>
      <c r="Q10" s="65">
        <f t="shared" si="0"/>
        <v>0</v>
      </c>
      <c r="R10" s="65">
        <f t="shared" si="0"/>
        <v>0</v>
      </c>
      <c r="S10" s="65">
        <f t="shared" si="0"/>
        <v>0</v>
      </c>
      <c r="T10" s="65">
        <f t="shared" si="0"/>
        <v>0</v>
      </c>
      <c r="U10" s="65">
        <f t="shared" ref="U10:AF10" si="1">U8+U9</f>
        <v>0</v>
      </c>
      <c r="V10" s="65">
        <f t="shared" si="1"/>
        <v>0</v>
      </c>
      <c r="W10" s="65">
        <f t="shared" si="1"/>
        <v>0</v>
      </c>
      <c r="X10" s="65">
        <f t="shared" si="1"/>
        <v>0</v>
      </c>
      <c r="Y10" s="65">
        <f t="shared" si="1"/>
        <v>0</v>
      </c>
      <c r="Z10" s="65">
        <f t="shared" si="1"/>
        <v>0</v>
      </c>
      <c r="AA10" s="65">
        <f t="shared" si="1"/>
        <v>0</v>
      </c>
      <c r="AB10" s="65">
        <f t="shared" si="1"/>
        <v>0</v>
      </c>
      <c r="AC10" s="65">
        <f t="shared" si="1"/>
        <v>0</v>
      </c>
      <c r="AD10" s="65">
        <f t="shared" si="1"/>
        <v>0</v>
      </c>
      <c r="AE10" s="65">
        <f t="shared" si="1"/>
        <v>0</v>
      </c>
      <c r="AF10" s="65">
        <f t="shared" si="1"/>
        <v>0</v>
      </c>
      <c r="AG10" s="90">
        <f>SUM(F10:AF10)</f>
        <v>0</v>
      </c>
      <c r="AH10" s="29" t="str">
        <f>IF(ABS(E10-AG10)&lt;0.01,"ok","err")</f>
        <v>ok</v>
      </c>
    </row>
    <row r="11" spans="1:37" x14ac:dyDescent="0.2">
      <c r="E11" s="255"/>
      <c r="F11" s="49"/>
    </row>
    <row r="12" spans="1:37" x14ac:dyDescent="0.2">
      <c r="A12" s="13" t="s">
        <v>350</v>
      </c>
      <c r="E12" s="255"/>
      <c r="F12" s="49"/>
    </row>
    <row r="13" spans="1:37" x14ac:dyDescent="0.2">
      <c r="A13" s="93" t="s">
        <v>209</v>
      </c>
      <c r="C13" s="14" t="s">
        <v>886</v>
      </c>
      <c r="D13" s="14" t="s">
        <v>599</v>
      </c>
      <c r="E13" s="254">
        <f>'Func &amp; Classif'!K82</f>
        <v>0</v>
      </c>
      <c r="F13" s="65">
        <f>IF(VLOOKUP($D13,$C$5:$AU$501,3,)=0,0,(VLOOKUP($D13,$C$5:$AU$501,4,)/VLOOKUP($D13,$C$5:$AU$501,3,))*$E13)</f>
        <v>0</v>
      </c>
      <c r="G13" s="65">
        <f>IF(VLOOKUP($D13,$C$5:$AU$501,3,)=0,0,(VLOOKUP($D13,$C$5:$AU$501,5,)/VLOOKUP($D13,$C$5:$AU$501,3,))*$E13)</f>
        <v>0</v>
      </c>
      <c r="H13" s="65">
        <f>IF(VLOOKUP($D13,$C$5:$AU$501,3,)=0,0,(VLOOKUP($D13,$C$5:$AU$501,6,)/VLOOKUP($D13,$C$5:$AU$501,3,))*$E13)</f>
        <v>0</v>
      </c>
      <c r="I13" s="65">
        <f>IF(VLOOKUP($D13,$C$5:$AU$501,3,)=0,0,(VLOOKUP($D13,$C$5:$AU$501,7,)/VLOOKUP($D13,$C$5:$AU$501,3,))*$E13)</f>
        <v>0</v>
      </c>
      <c r="J13" s="65">
        <f>IF(VLOOKUP($D13,$C$5:$AU$501,3,)=0,0,(VLOOKUP($D13,$C$5:$AU$501,8,)/VLOOKUP($D13,$C$5:$AU$501,3,))*$E13)</f>
        <v>0</v>
      </c>
      <c r="K13" s="65">
        <f>IF(VLOOKUP($D13,$C$5:$AU$501,3,)=0,0,(VLOOKUP($D13,$C$5:$AU$501,9,)/VLOOKUP($D13,$C$5:$AU$501,3,))*$E13)</f>
        <v>0</v>
      </c>
      <c r="L13" s="65">
        <f>IF(VLOOKUP($D13,$C$5:$AU$501,3,)=0,0,(VLOOKUP($D13,$C$5:$AU$501,10,)/VLOOKUP($D13,$C$5:$AU$501,3,))*$E13)</f>
        <v>0</v>
      </c>
      <c r="M13" s="65">
        <f>IF(VLOOKUP($D13,$C$5:$AU$501,3,)=0,0,(VLOOKUP($D13,$C$5:$AU$501,11,)/VLOOKUP($D13,$C$5:$AU$501,3,))*$E13)</f>
        <v>0</v>
      </c>
      <c r="N13" s="65">
        <f>IF(VLOOKUP($D13,$C$5:$AU$501,3,)=0,0,(VLOOKUP($D13,$C$5:$AU$501,12,)/VLOOKUP($D13,$C$5:$AU$501,3,))*$E13)</f>
        <v>0</v>
      </c>
      <c r="O13" s="65">
        <f>IF(VLOOKUP($D13,$C$5:$AU$501,3,)=0,0,(VLOOKUP($D13,$C$5:$AU$501,13,)/VLOOKUP($D13,$C$5:$AU$501,3,))*$E13)</f>
        <v>0</v>
      </c>
      <c r="P13" s="65">
        <f>IF(VLOOKUP($D13,$C$5:$AU$501,3,)=0,0,(VLOOKUP($D13,$C$5:$AU$501,14,)/VLOOKUP($D13,$C$5:$AU$501,3,))*$E13)</f>
        <v>0</v>
      </c>
      <c r="Q13" s="65">
        <f>IF(VLOOKUP($D13,$C$5:$AU$501,3,)=0,0,(VLOOKUP($D13,$C$5:$AU$501,15,)/VLOOKUP($D13,$C$5:$AU$501,3,))*$E13)</f>
        <v>0</v>
      </c>
      <c r="R13" s="65">
        <f>IF(VLOOKUP($D13,$C$5:$AU$501,3,)=0,0,(VLOOKUP($D13,$C$5:$AU$501,16,)/VLOOKUP($D13,$C$5:$AU$501,3,))*$E13)</f>
        <v>0</v>
      </c>
      <c r="S13" s="65">
        <f>IF(VLOOKUP($D13,$C$5:$AU$501,3,)=0,0,(VLOOKUP($D13,$C$5:$AU$501,17,)/VLOOKUP($D13,$C$5:$AU$501,3,))*$E13)</f>
        <v>0</v>
      </c>
      <c r="T13" s="65">
        <f>IF(VLOOKUP($D13,$C$5:$AU$501,3,)=0,0,(VLOOKUP($D13,$C$5:$AU$501,18,)/VLOOKUP($D13,$C$5:$AU$501,3,))*$E13)</f>
        <v>0</v>
      </c>
      <c r="U13" s="65">
        <f>IF(VLOOKUP($D13,$C$5:$AU$501,3,)=0,0,(VLOOKUP($D13,$C$5:$AU$501,19,)/VLOOKUP($D13,$C$5:$AU$501,3,))*$E13)</f>
        <v>0</v>
      </c>
      <c r="V13" s="65">
        <f>IF(VLOOKUP($D13,$C$5:$AU$501,3,)=0,0,(VLOOKUP($D13,$C$5:$AU$501,20,)/VLOOKUP($D13,$C$5:$AU$501,3,))*$E13)</f>
        <v>0</v>
      </c>
      <c r="W13" s="65">
        <f>IF(VLOOKUP($D13,$C$5:$AU$501,3,)=0,0,(VLOOKUP($D13,$C$5:$AU$501,21,)/VLOOKUP($D13,$C$5:$AU$501,3,))*$E13)</f>
        <v>0</v>
      </c>
      <c r="X13" s="65">
        <f>IF(VLOOKUP($D13,$C$5:$AU$501,3,)=0,0,(VLOOKUP($D13,$C$5:$AU$501,22,)/VLOOKUP($D13,$C$5:$AU$501,3,))*$E13)</f>
        <v>0</v>
      </c>
      <c r="Y13" s="65">
        <f>IF(VLOOKUP($D13,$C$5:$AU$501,3,)=0,0,(VLOOKUP($D13,$C$5:$AU$501,23,)/VLOOKUP($D13,$C$5:$AU$501,3,))*$E13)</f>
        <v>0</v>
      </c>
      <c r="Z13" s="65">
        <f>IF(VLOOKUP($D13,$C$5:$AU$501,3,)=0,0,(VLOOKUP($D13,$C$5:$AU$501,24,)/VLOOKUP($D13,$C$5:$AU$501,3,))*$E13)</f>
        <v>0</v>
      </c>
      <c r="AA13" s="65">
        <f>IF(VLOOKUP($D13,$C$5:$AU$501,3,)=0,0,(VLOOKUP($D13,$C$5:$AU$501,25,)/VLOOKUP($D13,$C$5:$AU$501,3,))*$E13)</f>
        <v>0</v>
      </c>
      <c r="AB13" s="65">
        <f>IF(VLOOKUP($D13,$C$5:$AU$501,3,)=0,0,(VLOOKUP($D13,$C$5:$AU$501,26,)/VLOOKUP($D13,$C$5:$AU$501,3,))*$E13)</f>
        <v>0</v>
      </c>
      <c r="AC13" s="65">
        <f>IF(VLOOKUP($D13,$C$5:$AU$501,3,)=0,0,(VLOOKUP($D13,$C$5:$AU$501,27,)/VLOOKUP($D13,$C$5:$AU$501,3,))*$E13)</f>
        <v>0</v>
      </c>
      <c r="AD13" s="65">
        <f>IF(VLOOKUP($D13,$C$5:$AU$501,3,)=0,0,(VLOOKUP($D13,$C$5:$AU$501,28,)/VLOOKUP($D13,$C$5:$AU$501,3,))*$E13)</f>
        <v>0</v>
      </c>
      <c r="AE13" s="65">
        <f>IF(VLOOKUP($D13,$C$5:$AU$501,3,)=0,0,(VLOOKUP($D13,$C$5:$AU$501,29,)/VLOOKUP($D13,$C$5:$AU$501,3,))*$E13)</f>
        <v>0</v>
      </c>
      <c r="AF13" s="65">
        <f>IF(VLOOKUP($D13,$C$5:$AU$501,3,)=0,0,(VLOOKUP($D13,$C$5:$AU$501,30,)/VLOOKUP($D13,$C$5:$AU$501,3,))*$E13)</f>
        <v>0</v>
      </c>
      <c r="AG13" s="90">
        <f>SUM(F13:AF13)</f>
        <v>0</v>
      </c>
      <c r="AH13" s="29" t="str">
        <f>IF(ABS(E13-AG13)&lt;0.01,"ok","err")</f>
        <v>ok</v>
      </c>
    </row>
    <row r="14" spans="1:37" x14ac:dyDescent="0.2">
      <c r="E14" s="255"/>
    </row>
    <row r="15" spans="1:37" x14ac:dyDescent="0.2">
      <c r="A15" s="13" t="s">
        <v>1</v>
      </c>
      <c r="E15" s="255"/>
      <c r="F15" s="49"/>
    </row>
    <row r="16" spans="1:37" x14ac:dyDescent="0.2">
      <c r="A16" s="93" t="s">
        <v>209</v>
      </c>
      <c r="C16" s="14" t="s">
        <v>217</v>
      </c>
      <c r="D16" s="14" t="s">
        <v>615</v>
      </c>
      <c r="E16" s="254">
        <f>'Func &amp; Classif'!M82</f>
        <v>19309719.890424766</v>
      </c>
      <c r="F16" s="65">
        <f>IF(VLOOKUP($D16,$C$5:$AU$501,3,)=0,0,(VLOOKUP($D16,$C$5:$AU$501,4,)/VLOOKUP($D16,$C$5:$AU$501,3,))*$E16)</f>
        <v>14629323.069663646</v>
      </c>
      <c r="G16" s="65">
        <f>IF(VLOOKUP($D16,$C$5:$AU$501,3,)=0,0,(VLOOKUP($D16,$C$5:$AU$501,5,)/VLOOKUP($D16,$C$5:$AU$501,3,))*$E16)</f>
        <v>1300177.6240986581</v>
      </c>
      <c r="H16" s="65">
        <f>IF(VLOOKUP($D16,$C$5:$AU$501,3,)=0,0,(VLOOKUP($D16,$C$5:$AU$501,6,)/VLOOKUP($D16,$C$5:$AU$501,3,))*$E16)</f>
        <v>2665531.1294809747</v>
      </c>
      <c r="I16" s="65">
        <f>IF(VLOOKUP($D16,$C$5:$AU$501,3,)=0,0,(VLOOKUP($D16,$C$5:$AU$501,7,)/VLOOKUP($D16,$C$5:$AU$501,3,))*$E16)</f>
        <v>37648.498806063923</v>
      </c>
      <c r="J16" s="65">
        <f>IF(VLOOKUP($D16,$C$5:$AU$501,3,)=0,0,(VLOOKUP($D16,$C$5:$AU$501,8,)/VLOOKUP($D16,$C$5:$AU$501,3,))*$E16)</f>
        <v>383505.89354400639</v>
      </c>
      <c r="K16" s="65">
        <f>IF(VLOOKUP($D16,$C$5:$AU$501,3,)=0,0,(VLOOKUP($D16,$C$5:$AU$501,9,)/VLOOKUP($D16,$C$5:$AU$501,3,))*$E16)</f>
        <v>266034.72425018187</v>
      </c>
      <c r="L16" s="65">
        <f>IF(VLOOKUP($D16,$C$5:$AU$501,3,)=0,0,(VLOOKUP($D16,$C$5:$AU$501,10,)/VLOOKUP($D16,$C$5:$AU$501,3,))*$E16)</f>
        <v>27498.950581235033</v>
      </c>
      <c r="M16" s="65">
        <f>IF(VLOOKUP($D16,$C$5:$AU$501,3,)=0,0,(VLOOKUP($D16,$C$5:$AU$501,11,)/VLOOKUP($D16,$C$5:$AU$501,3,))*$E16)</f>
        <v>0</v>
      </c>
      <c r="N16" s="65">
        <f>IF(VLOOKUP($D16,$C$5:$AU$501,3,)=0,0,(VLOOKUP($D16,$C$5:$AU$501,12,)/VLOOKUP($D16,$C$5:$AU$501,3,))*$E16)</f>
        <v>0</v>
      </c>
      <c r="O16" s="65">
        <f>IF(VLOOKUP($D16,$C$5:$AU$501,3,)=0,0,(VLOOKUP($D16,$C$5:$AU$501,13,)/VLOOKUP($D16,$C$5:$AU$501,3,))*$E16)</f>
        <v>0</v>
      </c>
      <c r="P16" s="65">
        <f>IF(VLOOKUP($D16,$C$5:$AU$501,3,)=0,0,(VLOOKUP($D16,$C$5:$AU$501,14,)/VLOOKUP($D16,$C$5:$AU$501,3,))*$E16)</f>
        <v>0</v>
      </c>
      <c r="Q16" s="65">
        <f>IF(VLOOKUP($D16,$C$5:$AU$501,3,)=0,0,(VLOOKUP($D16,$C$5:$AU$501,15,)/VLOOKUP($D16,$C$5:$AU$501,3,))*$E16)</f>
        <v>0</v>
      </c>
      <c r="R16" s="65">
        <f>IF(VLOOKUP($D16,$C$5:$AU$501,3,)=0,0,(VLOOKUP($D16,$C$5:$AU$501,16,)/VLOOKUP($D16,$C$5:$AU$501,3,))*$E16)</f>
        <v>0</v>
      </c>
      <c r="S16" s="65">
        <f>IF(VLOOKUP($D16,$C$5:$AU$501,3,)=0,0,(VLOOKUP($D16,$C$5:$AU$501,17,)/VLOOKUP($D16,$C$5:$AU$501,3,))*$E16)</f>
        <v>0</v>
      </c>
      <c r="T16" s="65">
        <f>IF(VLOOKUP($D16,$C$5:$AU$501,3,)=0,0,(VLOOKUP($D16,$C$5:$AU$501,18,)/VLOOKUP($D16,$C$5:$AU$501,3,))*$E16)</f>
        <v>0</v>
      </c>
      <c r="U16" s="65">
        <f>IF(VLOOKUP($D16,$C$5:$AU$501,3,)=0,0,(VLOOKUP($D16,$C$5:$AU$501,19,)/VLOOKUP($D16,$C$5:$AU$501,3,))*$E16)</f>
        <v>0</v>
      </c>
      <c r="V16" s="65">
        <f>IF(VLOOKUP($D16,$C$5:$AU$501,3,)=0,0,(VLOOKUP($D16,$C$5:$AU$501,20,)/VLOOKUP($D16,$C$5:$AU$501,3,))*$E16)</f>
        <v>0</v>
      </c>
      <c r="W16" s="65">
        <f>IF(VLOOKUP($D16,$C$5:$AU$501,3,)=0,0,(VLOOKUP($D16,$C$5:$AU$501,21,)/VLOOKUP($D16,$C$5:$AU$501,3,))*$E16)</f>
        <v>0</v>
      </c>
      <c r="X16" s="65">
        <f>IF(VLOOKUP($D16,$C$5:$AU$501,3,)=0,0,(VLOOKUP($D16,$C$5:$AU$501,22,)/VLOOKUP($D16,$C$5:$AU$501,3,))*$E16)</f>
        <v>0</v>
      </c>
      <c r="Y16" s="65">
        <f>IF(VLOOKUP($D16,$C$5:$AU$501,3,)=0,0,(VLOOKUP($D16,$C$5:$AU$501,23,)/VLOOKUP($D16,$C$5:$AU$501,3,))*$E16)</f>
        <v>0</v>
      </c>
      <c r="Z16" s="65">
        <f>IF(VLOOKUP($D16,$C$5:$AU$501,3,)=0,0,(VLOOKUP($D16,$C$5:$AU$501,24,)/VLOOKUP($D16,$C$5:$AU$501,3,))*$E16)</f>
        <v>0</v>
      </c>
      <c r="AA16" s="65">
        <f>IF(VLOOKUP($D16,$C$5:$AU$501,3,)=0,0,(VLOOKUP($D16,$C$5:$AU$501,25,)/VLOOKUP($D16,$C$5:$AU$501,3,))*$E16)</f>
        <v>0</v>
      </c>
      <c r="AB16" s="65">
        <f>IF(VLOOKUP($D16,$C$5:$AU$501,3,)=0,0,(VLOOKUP($D16,$C$5:$AU$501,26,)/VLOOKUP($D16,$C$5:$AU$501,3,))*$E16)</f>
        <v>0</v>
      </c>
      <c r="AC16" s="65">
        <f>IF(VLOOKUP($D16,$C$5:$AU$501,3,)=0,0,(VLOOKUP($D16,$C$5:$AU$501,27,)/VLOOKUP($D16,$C$5:$AU$501,3,))*$E16)</f>
        <v>0</v>
      </c>
      <c r="AD16" s="65">
        <f>IF(VLOOKUP($D16,$C$5:$AU$501,3,)=0,0,(VLOOKUP($D16,$C$5:$AU$501,28,)/VLOOKUP($D16,$C$5:$AU$501,3,))*$E16)</f>
        <v>0</v>
      </c>
      <c r="AE16" s="65">
        <f>IF(VLOOKUP($D16,$C$5:$AU$501,3,)=0,0,(VLOOKUP($D16,$C$5:$AU$501,29,)/VLOOKUP($D16,$C$5:$AU$501,3,))*$E16)</f>
        <v>0</v>
      </c>
      <c r="AF16" s="65">
        <f>IF(VLOOKUP($D16,$C$5:$AU$501,3,)=0,0,(VLOOKUP($D16,$C$5:$AU$501,30,)/VLOOKUP($D16,$C$5:$AU$501,3,))*$E16)</f>
        <v>0</v>
      </c>
      <c r="AG16" s="90">
        <f>SUM(F16:AF16)</f>
        <v>19309719.890424766</v>
      </c>
      <c r="AH16" s="29" t="str">
        <f>IF(ABS(E16-AG16)&lt;0.01,"ok","err")</f>
        <v>ok</v>
      </c>
    </row>
    <row r="17" spans="1:35" x14ac:dyDescent="0.2">
      <c r="E17" s="255"/>
    </row>
    <row r="18" spans="1:35" x14ac:dyDescent="0.2">
      <c r="A18" s="13" t="s">
        <v>357</v>
      </c>
      <c r="E18" s="255"/>
    </row>
    <row r="19" spans="1:35" x14ac:dyDescent="0.2">
      <c r="A19" s="93" t="s">
        <v>209</v>
      </c>
      <c r="C19" s="14" t="s">
        <v>219</v>
      </c>
      <c r="D19" s="14" t="s">
        <v>607</v>
      </c>
      <c r="E19" s="254">
        <f>'Func &amp; Classif'!O82</f>
        <v>41985848.227480449</v>
      </c>
      <c r="F19" s="65">
        <f>IF(VLOOKUP($D19,$C$5:$AU$501,3,)=0,0,(VLOOKUP($D19,$C$5:$AU$501,4,)/VLOOKUP($D19,$C$5:$AU$501,3,))*$E19)</f>
        <v>35376070.921204142</v>
      </c>
      <c r="G19" s="65">
        <f>IF(VLOOKUP($D19,$C$5:$AU$501,3,)=0,0,(VLOOKUP($D19,$C$5:$AU$501,5,)/VLOOKUP($D19,$C$5:$AU$501,3,))*$E19)</f>
        <v>2154908.0112507786</v>
      </c>
      <c r="H19" s="65">
        <f>IF(VLOOKUP($D19,$C$5:$AU$501,3,)=0,0,(VLOOKUP($D19,$C$5:$AU$501,6,)/VLOOKUP($D19,$C$5:$AU$501,3,))*$E19)</f>
        <v>3403496.4710788308</v>
      </c>
      <c r="I19" s="65">
        <f>IF(VLOOKUP($D19,$C$5:$AU$501,3,)=0,0,(VLOOKUP($D19,$C$5:$AU$501,7,)/VLOOKUP($D19,$C$5:$AU$501,3,))*$E19)</f>
        <v>46391.112663590458</v>
      </c>
      <c r="J19" s="65">
        <f>IF(VLOOKUP($D19,$C$5:$AU$501,3,)=0,0,(VLOOKUP($D19,$C$5:$AU$501,8,)/VLOOKUP($D19,$C$5:$AU$501,3,))*$E19)</f>
        <v>578259.0450790457</v>
      </c>
      <c r="K19" s="65">
        <f>IF(VLOOKUP($D19,$C$5:$AU$501,3,)=0,0,(VLOOKUP($D19,$C$5:$AU$501,9,)/VLOOKUP($D19,$C$5:$AU$501,3,))*$E19)</f>
        <v>386604.895713404</v>
      </c>
      <c r="L19" s="65">
        <f>IF(VLOOKUP($D19,$C$5:$AU$501,3,)=0,0,(VLOOKUP($D19,$C$5:$AU$501,10,)/VLOOKUP($D19,$C$5:$AU$501,3,))*$E19)</f>
        <v>40117.770490661096</v>
      </c>
      <c r="M19" s="65">
        <f>IF(VLOOKUP($D19,$C$5:$AU$501,3,)=0,0,(VLOOKUP($D19,$C$5:$AU$501,11,)/VLOOKUP($D19,$C$5:$AU$501,3,))*$E19)</f>
        <v>0</v>
      </c>
      <c r="N19" s="65">
        <f>IF(VLOOKUP($D19,$C$5:$AU$501,3,)=0,0,(VLOOKUP($D19,$C$5:$AU$501,12,)/VLOOKUP($D19,$C$5:$AU$501,3,))*$E19)</f>
        <v>0</v>
      </c>
      <c r="O19" s="65">
        <f>IF(VLOOKUP($D19,$C$5:$AU$501,3,)=0,0,(VLOOKUP($D19,$C$5:$AU$501,13,)/VLOOKUP($D19,$C$5:$AU$501,3,))*$E19)</f>
        <v>0</v>
      </c>
      <c r="P19" s="65">
        <f>IF(VLOOKUP($D19,$C$5:$AU$501,3,)=0,0,(VLOOKUP($D19,$C$5:$AU$501,14,)/VLOOKUP($D19,$C$5:$AU$501,3,))*$E19)</f>
        <v>0</v>
      </c>
      <c r="Q19" s="65">
        <f>IF(VLOOKUP($D19,$C$5:$AU$501,3,)=0,0,(VLOOKUP($D19,$C$5:$AU$501,15,)/VLOOKUP($D19,$C$5:$AU$501,3,))*$E19)</f>
        <v>0</v>
      </c>
      <c r="R19" s="65">
        <f>IF(VLOOKUP($D19,$C$5:$AU$501,3,)=0,0,(VLOOKUP($D19,$C$5:$AU$501,16,)/VLOOKUP($D19,$C$5:$AU$501,3,))*$E19)</f>
        <v>0</v>
      </c>
      <c r="S19" s="65">
        <f>IF(VLOOKUP($D19,$C$5:$AU$501,3,)=0,0,(VLOOKUP($D19,$C$5:$AU$501,17,)/VLOOKUP($D19,$C$5:$AU$501,3,))*$E19)</f>
        <v>0</v>
      </c>
      <c r="T19" s="65">
        <f>IF(VLOOKUP($D19,$C$5:$AU$501,3,)=0,0,(VLOOKUP($D19,$C$5:$AU$501,18,)/VLOOKUP($D19,$C$5:$AU$501,3,))*$E19)</f>
        <v>0</v>
      </c>
      <c r="U19" s="65">
        <f>IF(VLOOKUP($D19,$C$5:$AU$501,3,)=0,0,(VLOOKUP($D19,$C$5:$AU$501,19,)/VLOOKUP($D19,$C$5:$AU$501,3,))*$E19)</f>
        <v>0</v>
      </c>
      <c r="V19" s="65">
        <f>IF(VLOOKUP($D19,$C$5:$AU$501,3,)=0,0,(VLOOKUP($D19,$C$5:$AU$501,20,)/VLOOKUP($D19,$C$5:$AU$501,3,))*$E19)</f>
        <v>0</v>
      </c>
      <c r="W19" s="65">
        <f>IF(VLOOKUP($D19,$C$5:$AU$501,3,)=0,0,(VLOOKUP($D19,$C$5:$AU$501,21,)/VLOOKUP($D19,$C$5:$AU$501,3,))*$E19)</f>
        <v>0</v>
      </c>
      <c r="X19" s="65">
        <f>IF(VLOOKUP($D19,$C$5:$AU$501,3,)=0,0,(VLOOKUP($D19,$C$5:$AU$501,22,)/VLOOKUP($D19,$C$5:$AU$501,3,))*$E19)</f>
        <v>0</v>
      </c>
      <c r="Y19" s="65">
        <f>IF(VLOOKUP($D19,$C$5:$AU$501,3,)=0,0,(VLOOKUP($D19,$C$5:$AU$501,23,)/VLOOKUP($D19,$C$5:$AU$501,3,))*$E19)</f>
        <v>0</v>
      </c>
      <c r="Z19" s="65">
        <f>IF(VLOOKUP($D19,$C$5:$AU$501,3,)=0,0,(VLOOKUP($D19,$C$5:$AU$501,24,)/VLOOKUP($D19,$C$5:$AU$501,3,))*$E19)</f>
        <v>0</v>
      </c>
      <c r="AA19" s="65">
        <f>IF(VLOOKUP($D19,$C$5:$AU$501,3,)=0,0,(VLOOKUP($D19,$C$5:$AU$501,25,)/VLOOKUP($D19,$C$5:$AU$501,3,))*$E19)</f>
        <v>0</v>
      </c>
      <c r="AB19" s="65">
        <f>IF(VLOOKUP($D19,$C$5:$AU$501,3,)=0,0,(VLOOKUP($D19,$C$5:$AU$501,26,)/VLOOKUP($D19,$C$5:$AU$501,3,))*$E19)</f>
        <v>0</v>
      </c>
      <c r="AC19" s="65">
        <f>IF(VLOOKUP($D19,$C$5:$AU$501,3,)=0,0,(VLOOKUP($D19,$C$5:$AU$501,27,)/VLOOKUP($D19,$C$5:$AU$501,3,))*$E19)</f>
        <v>0</v>
      </c>
      <c r="AD19" s="65">
        <f>IF(VLOOKUP($D19,$C$5:$AU$501,3,)=0,0,(VLOOKUP($D19,$C$5:$AU$501,28,)/VLOOKUP($D19,$C$5:$AU$501,3,))*$E19)</f>
        <v>0</v>
      </c>
      <c r="AE19" s="65">
        <f>IF(VLOOKUP($D19,$C$5:$AU$501,3,)=0,0,(VLOOKUP($D19,$C$5:$AU$501,29,)/VLOOKUP($D19,$C$5:$AU$501,3,))*$E19)</f>
        <v>0</v>
      </c>
      <c r="AF19" s="65">
        <f>IF(VLOOKUP($D19,$C$5:$AU$501,3,)=0,0,(VLOOKUP($D19,$C$5:$AU$501,30,)/VLOOKUP($D19,$C$5:$AU$501,3,))*$E19)</f>
        <v>0</v>
      </c>
      <c r="AG19" s="90">
        <f>SUM(F19:AF19)</f>
        <v>41985848.227480449</v>
      </c>
      <c r="AH19" s="29" t="str">
        <f>IF(ABS(E19-AG19)&lt;0.01,"ok","err")</f>
        <v>ok</v>
      </c>
      <c r="AI19" s="90"/>
    </row>
    <row r="20" spans="1:35" x14ac:dyDescent="0.2">
      <c r="A20" s="93" t="s">
        <v>221</v>
      </c>
      <c r="C20" s="14" t="s">
        <v>222</v>
      </c>
      <c r="D20" s="14" t="s">
        <v>223</v>
      </c>
      <c r="E20" s="255">
        <f>'Func &amp; Classif'!P82</f>
        <v>71552465.052715629</v>
      </c>
      <c r="F20" s="65">
        <f>IF(VLOOKUP($D20,$C$5:$AU$501,3,)=0,0,(VLOOKUP($D20,$C$5:$AU$501,4,)/VLOOKUP($D20,$C$5:$AU$501,3,))*$E20)</f>
        <v>66483182.967070043</v>
      </c>
      <c r="G20" s="65">
        <f>IF(VLOOKUP($D20,$C$5:$AU$501,3,)=0,0,(VLOOKUP($D20,$C$5:$AU$501,5,)/VLOOKUP($D20,$C$5:$AU$501,3,))*$E20)</f>
        <v>4134741.1726306216</v>
      </c>
      <c r="H20" s="65">
        <f>IF(VLOOKUP($D20,$C$5:$AU$501,3,)=0,0,(VLOOKUP($D20,$C$5:$AU$501,6,)/VLOOKUP($D20,$C$5:$AU$501,3,))*$E20)</f>
        <v>913780.07223612419</v>
      </c>
      <c r="I20" s="65">
        <f>IF(VLOOKUP($D20,$C$5:$AU$501,3,)=0,0,(VLOOKUP($D20,$C$5:$AU$501,7,)/VLOOKUP($D20,$C$5:$AU$501,3,))*$E20)</f>
        <v>9092.3390272251163</v>
      </c>
      <c r="J20" s="65">
        <f>IF(VLOOKUP($D20,$C$5:$AU$501,3,)=0,0,(VLOOKUP($D20,$C$5:$AU$501,8,)/VLOOKUP($D20,$C$5:$AU$501,3,))*$E20)</f>
        <v>11365.423784031394</v>
      </c>
      <c r="K20" s="65">
        <f>IF(VLOOKUP($D20,$C$5:$AU$501,3,)=0,0,(VLOOKUP($D20,$C$5:$AU$501,9,)/VLOOKUP($D20,$C$5:$AU$501,3,))*$E20)</f>
        <v>0</v>
      </c>
      <c r="L20" s="65">
        <f>IF(VLOOKUP($D20,$C$5:$AU$501,3,)=0,0,(VLOOKUP($D20,$C$5:$AU$501,10,)/VLOOKUP($D20,$C$5:$AU$501,3,))*$E20)</f>
        <v>303.07796757417054</v>
      </c>
      <c r="M20" s="65">
        <f>IF(VLOOKUP($D20,$C$5:$AU$501,3,)=0,0,(VLOOKUP($D20,$C$5:$AU$501,11,)/VLOOKUP($D20,$C$5:$AU$501,3,))*$E20)</f>
        <v>0</v>
      </c>
      <c r="N20" s="65">
        <f>IF(VLOOKUP($D20,$C$5:$AU$501,3,)=0,0,(VLOOKUP($D20,$C$5:$AU$501,12,)/VLOOKUP($D20,$C$5:$AU$501,3,))*$E20)</f>
        <v>0</v>
      </c>
      <c r="O20" s="65">
        <f>IF(VLOOKUP($D20,$C$5:$AU$501,3,)=0,0,(VLOOKUP($D20,$C$5:$AU$501,13,)/VLOOKUP($D20,$C$5:$AU$501,3,))*$E20)</f>
        <v>0</v>
      </c>
      <c r="P20" s="65">
        <f>IF(VLOOKUP($D20,$C$5:$AU$501,3,)=0,0,(VLOOKUP($D20,$C$5:$AU$501,14,)/VLOOKUP($D20,$C$5:$AU$501,3,))*$E20)</f>
        <v>0</v>
      </c>
      <c r="Q20" s="65">
        <f>IF(VLOOKUP($D20,$C$5:$AU$501,3,)=0,0,(VLOOKUP($D20,$C$5:$AU$501,15,)/VLOOKUP($D20,$C$5:$AU$501,3,))*$E20)</f>
        <v>0</v>
      </c>
      <c r="R20" s="65">
        <f>IF(VLOOKUP($D20,$C$5:$AU$501,3,)=0,0,(VLOOKUP($D20,$C$5:$AU$501,16,)/VLOOKUP($D20,$C$5:$AU$501,3,))*$E20)</f>
        <v>0</v>
      </c>
      <c r="S20" s="65">
        <f>IF(VLOOKUP($D20,$C$5:$AU$501,3,)=0,0,(VLOOKUP($D20,$C$5:$AU$501,17,)/VLOOKUP($D20,$C$5:$AU$501,3,))*$E20)</f>
        <v>0</v>
      </c>
      <c r="T20" s="65">
        <f>IF(VLOOKUP($D20,$C$5:$AU$501,3,)=0,0,(VLOOKUP($D20,$C$5:$AU$501,18,)/VLOOKUP($D20,$C$5:$AU$501,3,))*$E20)</f>
        <v>0</v>
      </c>
      <c r="U20" s="65">
        <f>IF(VLOOKUP($D20,$C$5:$AU$501,3,)=0,0,(VLOOKUP($D20,$C$5:$AU$501,19,)/VLOOKUP($D20,$C$5:$AU$501,3,))*$E20)</f>
        <v>0</v>
      </c>
      <c r="V20" s="65">
        <f>IF(VLOOKUP($D20,$C$5:$AU$501,3,)=0,0,(VLOOKUP($D20,$C$5:$AU$501,20,)/VLOOKUP($D20,$C$5:$AU$501,3,))*$E20)</f>
        <v>0</v>
      </c>
      <c r="W20" s="65">
        <f>IF(VLOOKUP($D20,$C$5:$AU$501,3,)=0,0,(VLOOKUP($D20,$C$5:$AU$501,21,)/VLOOKUP($D20,$C$5:$AU$501,3,))*$E20)</f>
        <v>0</v>
      </c>
      <c r="X20" s="65">
        <f>IF(VLOOKUP($D20,$C$5:$AU$501,3,)=0,0,(VLOOKUP($D20,$C$5:$AU$501,22,)/VLOOKUP($D20,$C$5:$AU$501,3,))*$E20)</f>
        <v>0</v>
      </c>
      <c r="Y20" s="65">
        <f>IF(VLOOKUP($D20,$C$5:$AU$501,3,)=0,0,(VLOOKUP($D20,$C$5:$AU$501,23,)/VLOOKUP($D20,$C$5:$AU$501,3,))*$E20)</f>
        <v>0</v>
      </c>
      <c r="Z20" s="65">
        <f>IF(VLOOKUP($D20,$C$5:$AU$501,3,)=0,0,(VLOOKUP($D20,$C$5:$AU$501,24,)/VLOOKUP($D20,$C$5:$AU$501,3,))*$E20)</f>
        <v>0</v>
      </c>
      <c r="AA20" s="65">
        <f>IF(VLOOKUP($D20,$C$5:$AU$501,3,)=0,0,(VLOOKUP($D20,$C$5:$AU$501,25,)/VLOOKUP($D20,$C$5:$AU$501,3,))*$E20)</f>
        <v>0</v>
      </c>
      <c r="AB20" s="65">
        <f>IF(VLOOKUP($D20,$C$5:$AU$501,3,)=0,0,(VLOOKUP($D20,$C$5:$AU$501,26,)/VLOOKUP($D20,$C$5:$AU$501,3,))*$E20)</f>
        <v>0</v>
      </c>
      <c r="AC20" s="65">
        <f>IF(VLOOKUP($D20,$C$5:$AU$501,3,)=0,0,(VLOOKUP($D20,$C$5:$AU$501,27,)/VLOOKUP($D20,$C$5:$AU$501,3,))*$E20)</f>
        <v>0</v>
      </c>
      <c r="AD20" s="65">
        <f>IF(VLOOKUP($D20,$C$5:$AU$501,3,)=0,0,(VLOOKUP($D20,$C$5:$AU$501,28,)/VLOOKUP($D20,$C$5:$AU$501,3,))*$E20)</f>
        <v>0</v>
      </c>
      <c r="AE20" s="65">
        <f>IF(VLOOKUP($D20,$C$5:$AU$501,3,)=0,0,(VLOOKUP($D20,$C$5:$AU$501,29,)/VLOOKUP($D20,$C$5:$AU$501,3,))*$E20)</f>
        <v>0</v>
      </c>
      <c r="AF20" s="65">
        <f>IF(VLOOKUP($D20,$C$5:$AU$501,3,)=0,0,(VLOOKUP($D20,$C$5:$AU$501,30,)/VLOOKUP($D20,$C$5:$AU$501,3,))*$E20)</f>
        <v>0</v>
      </c>
      <c r="AG20" s="90">
        <f>SUM(F20:AF20)</f>
        <v>71552465.052715614</v>
      </c>
      <c r="AH20" s="29" t="str">
        <f>IF(ABS(E20-AG20)&lt;0.01,"ok","err")</f>
        <v>ok</v>
      </c>
    </row>
    <row r="21" spans="1:35" x14ac:dyDescent="0.2">
      <c r="A21" s="14" t="s">
        <v>224</v>
      </c>
      <c r="C21" s="14" t="s">
        <v>472</v>
      </c>
      <c r="E21" s="254">
        <f t="shared" ref="E21:T21" si="2">E19+E20</f>
        <v>113538313.28019607</v>
      </c>
      <c r="F21" s="65">
        <f t="shared" si="2"/>
        <v>101859253.88827419</v>
      </c>
      <c r="G21" s="65">
        <f t="shared" si="2"/>
        <v>6289649.1838814002</v>
      </c>
      <c r="H21" s="65">
        <f t="shared" si="2"/>
        <v>4317276.5433149552</v>
      </c>
      <c r="I21" s="65">
        <f t="shared" si="2"/>
        <v>55483.451690815578</v>
      </c>
      <c r="J21" s="65">
        <f t="shared" si="2"/>
        <v>589624.46886307711</v>
      </c>
      <c r="K21" s="65">
        <f t="shared" si="2"/>
        <v>386604.895713404</v>
      </c>
      <c r="L21" s="65">
        <f t="shared" si="2"/>
        <v>40420.848458235268</v>
      </c>
      <c r="M21" s="65">
        <f t="shared" si="2"/>
        <v>0</v>
      </c>
      <c r="N21" s="65">
        <f t="shared" si="2"/>
        <v>0</v>
      </c>
      <c r="O21" s="65">
        <f t="shared" si="2"/>
        <v>0</v>
      </c>
      <c r="P21" s="65">
        <f t="shared" si="2"/>
        <v>0</v>
      </c>
      <c r="Q21" s="65">
        <f t="shared" si="2"/>
        <v>0</v>
      </c>
      <c r="R21" s="65">
        <f t="shared" si="2"/>
        <v>0</v>
      </c>
      <c r="S21" s="65">
        <f t="shared" si="2"/>
        <v>0</v>
      </c>
      <c r="T21" s="65">
        <f t="shared" si="2"/>
        <v>0</v>
      </c>
      <c r="U21" s="65">
        <f t="shared" ref="U21:AF21" si="3">U19+U20</f>
        <v>0</v>
      </c>
      <c r="V21" s="65">
        <f t="shared" si="3"/>
        <v>0</v>
      </c>
      <c r="W21" s="65">
        <f t="shared" si="3"/>
        <v>0</v>
      </c>
      <c r="X21" s="65">
        <f t="shared" si="3"/>
        <v>0</v>
      </c>
      <c r="Y21" s="65">
        <f t="shared" si="3"/>
        <v>0</v>
      </c>
      <c r="Z21" s="65">
        <f t="shared" si="3"/>
        <v>0</v>
      </c>
      <c r="AA21" s="65">
        <f t="shared" si="3"/>
        <v>0</v>
      </c>
      <c r="AB21" s="65">
        <f t="shared" si="3"/>
        <v>0</v>
      </c>
      <c r="AC21" s="65">
        <f t="shared" si="3"/>
        <v>0</v>
      </c>
      <c r="AD21" s="65">
        <f t="shared" si="3"/>
        <v>0</v>
      </c>
      <c r="AE21" s="65">
        <f t="shared" si="3"/>
        <v>0</v>
      </c>
      <c r="AF21" s="65">
        <f t="shared" si="3"/>
        <v>0</v>
      </c>
      <c r="AG21" s="90">
        <f>SUM(F21:AF21)</f>
        <v>113538313.28019607</v>
      </c>
      <c r="AH21" s="29" t="str">
        <f>IF(ABS(E21-AG21)&lt;0.01,"ok","err")</f>
        <v>ok</v>
      </c>
    </row>
    <row r="22" spans="1:35" x14ac:dyDescent="0.2">
      <c r="E22" s="255"/>
    </row>
    <row r="23" spans="1:35" x14ac:dyDescent="0.2">
      <c r="A23" s="13" t="s">
        <v>3</v>
      </c>
      <c r="E23" s="255"/>
    </row>
    <row r="24" spans="1:35" x14ac:dyDescent="0.2">
      <c r="A24" s="93" t="s">
        <v>209</v>
      </c>
      <c r="C24" s="14" t="s">
        <v>225</v>
      </c>
      <c r="D24" s="14" t="s">
        <v>619</v>
      </c>
      <c r="E24" s="254">
        <f>'Func &amp; Classif'!R82</f>
        <v>0</v>
      </c>
      <c r="F24" s="65">
        <f>IF(VLOOKUP($D24,$C$5:$AU$501,3,)=0,0,(VLOOKUP($D24,$C$5:$AU$501,4,)/VLOOKUP($D24,$C$5:$AU$501,3,))*$E24)</f>
        <v>0</v>
      </c>
      <c r="G24" s="65">
        <f>IF(VLOOKUP($D24,$C$5:$AU$501,3,)=0,0,(VLOOKUP($D24,$C$5:$AU$501,5,)/VLOOKUP($D24,$C$5:$AU$501,3,))*$E24)</f>
        <v>0</v>
      </c>
      <c r="H24" s="65">
        <f>IF(VLOOKUP($D24,$C$5:$AU$501,3,)=0,0,(VLOOKUP($D24,$C$5:$AU$501,6,)/VLOOKUP($D24,$C$5:$AU$501,3,))*$E24)</f>
        <v>0</v>
      </c>
      <c r="I24" s="65">
        <f>IF(VLOOKUP($D24,$C$5:$AU$501,3,)=0,0,(VLOOKUP($D24,$C$5:$AU$501,7,)/VLOOKUP($D24,$C$5:$AU$501,3,))*$E24)</f>
        <v>0</v>
      </c>
      <c r="J24" s="65">
        <f>IF(VLOOKUP($D24,$C$5:$AU$501,3,)=0,0,(VLOOKUP($D24,$C$5:$AU$501,8,)/VLOOKUP($D24,$C$5:$AU$501,3,))*$E24)</f>
        <v>0</v>
      </c>
      <c r="K24" s="65">
        <f>IF(VLOOKUP($D24,$C$5:$AU$501,3,)=0,0,(VLOOKUP($D24,$C$5:$AU$501,9,)/VLOOKUP($D24,$C$5:$AU$501,3,))*$E24)</f>
        <v>0</v>
      </c>
      <c r="L24" s="65">
        <f>IF(VLOOKUP($D24,$C$5:$AU$501,3,)=0,0,(VLOOKUP($D24,$C$5:$AU$501,10,)/VLOOKUP($D24,$C$5:$AU$501,3,))*$E24)</f>
        <v>0</v>
      </c>
      <c r="M24" s="65">
        <f>IF(VLOOKUP($D24,$C$5:$AU$501,3,)=0,0,(VLOOKUP($D24,$C$5:$AU$501,11,)/VLOOKUP($D24,$C$5:$AU$501,3,))*$E24)</f>
        <v>0</v>
      </c>
      <c r="N24" s="65">
        <f>IF(VLOOKUP($D24,$C$5:$AU$501,3,)=0,0,(VLOOKUP($D24,$C$5:$AU$501,12,)/VLOOKUP($D24,$C$5:$AU$501,3,))*$E24)</f>
        <v>0</v>
      </c>
      <c r="O24" s="65">
        <f>IF(VLOOKUP($D24,$C$5:$AU$501,3,)=0,0,(VLOOKUP($D24,$C$5:$AU$501,13,)/VLOOKUP($D24,$C$5:$AU$501,3,))*$E24)</f>
        <v>0</v>
      </c>
      <c r="P24" s="65">
        <f>IF(VLOOKUP($D24,$C$5:$AU$501,3,)=0,0,(VLOOKUP($D24,$C$5:$AU$501,14,)/VLOOKUP($D24,$C$5:$AU$501,3,))*$E24)</f>
        <v>0</v>
      </c>
      <c r="Q24" s="65">
        <f>IF(VLOOKUP($D24,$C$5:$AU$501,3,)=0,0,(VLOOKUP($D24,$C$5:$AU$501,15,)/VLOOKUP($D24,$C$5:$AU$501,3,))*$E24)</f>
        <v>0</v>
      </c>
      <c r="R24" s="65">
        <f>IF(VLOOKUP($D24,$C$5:$AU$501,3,)=0,0,(VLOOKUP($D24,$C$5:$AU$501,16,)/VLOOKUP($D24,$C$5:$AU$501,3,))*$E24)</f>
        <v>0</v>
      </c>
      <c r="S24" s="65">
        <f>IF(VLOOKUP($D24,$C$5:$AU$501,3,)=0,0,(VLOOKUP($D24,$C$5:$AU$501,17,)/VLOOKUP($D24,$C$5:$AU$501,3,))*$E24)</f>
        <v>0</v>
      </c>
      <c r="T24" s="65">
        <f>IF(VLOOKUP($D24,$C$5:$AU$501,3,)=0,0,(VLOOKUP($D24,$C$5:$AU$501,18,)/VLOOKUP($D24,$C$5:$AU$501,3,))*$E24)</f>
        <v>0</v>
      </c>
      <c r="U24" s="65">
        <f>IF(VLOOKUP($D24,$C$5:$AU$501,3,)=0,0,(VLOOKUP($D24,$C$5:$AU$501,19,)/VLOOKUP($D24,$C$5:$AU$501,3,))*$E24)</f>
        <v>0</v>
      </c>
      <c r="V24" s="65">
        <f>IF(VLOOKUP($D24,$C$5:$AU$501,3,)=0,0,(VLOOKUP($D24,$C$5:$AU$501,20,)/VLOOKUP($D24,$C$5:$AU$501,3,))*$E24)</f>
        <v>0</v>
      </c>
      <c r="W24" s="65">
        <f>IF(VLOOKUP($D24,$C$5:$AU$501,3,)=0,0,(VLOOKUP($D24,$C$5:$AU$501,21,)/VLOOKUP($D24,$C$5:$AU$501,3,))*$E24)</f>
        <v>0</v>
      </c>
      <c r="X24" s="65">
        <f>IF(VLOOKUP($D24,$C$5:$AU$501,3,)=0,0,(VLOOKUP($D24,$C$5:$AU$501,22,)/VLOOKUP($D24,$C$5:$AU$501,3,))*$E24)</f>
        <v>0</v>
      </c>
      <c r="Y24" s="65">
        <f>IF(VLOOKUP($D24,$C$5:$AU$501,3,)=0,0,(VLOOKUP($D24,$C$5:$AU$501,23,)/VLOOKUP($D24,$C$5:$AU$501,3,))*$E24)</f>
        <v>0</v>
      </c>
      <c r="Z24" s="65">
        <f>IF(VLOOKUP($D24,$C$5:$AU$501,3,)=0,0,(VLOOKUP($D24,$C$5:$AU$501,24,)/VLOOKUP($D24,$C$5:$AU$501,3,))*$E24)</f>
        <v>0</v>
      </c>
      <c r="AA24" s="65">
        <f>IF(VLOOKUP($D24,$C$5:$AU$501,3,)=0,0,(VLOOKUP($D24,$C$5:$AU$501,25,)/VLOOKUP($D24,$C$5:$AU$501,3,))*$E24)</f>
        <v>0</v>
      </c>
      <c r="AB24" s="65">
        <f>IF(VLOOKUP($D24,$C$5:$AU$501,3,)=0,0,(VLOOKUP($D24,$C$5:$AU$501,26,)/VLOOKUP($D24,$C$5:$AU$501,3,))*$E24)</f>
        <v>0</v>
      </c>
      <c r="AC24" s="65">
        <f>IF(VLOOKUP($D24,$C$5:$AU$501,3,)=0,0,(VLOOKUP($D24,$C$5:$AU$501,27,)/VLOOKUP($D24,$C$5:$AU$501,3,))*$E24)</f>
        <v>0</v>
      </c>
      <c r="AD24" s="65">
        <f>IF(VLOOKUP($D24,$C$5:$AU$501,3,)=0,0,(VLOOKUP($D24,$C$5:$AU$501,28,)/VLOOKUP($D24,$C$5:$AU$501,3,))*$E24)</f>
        <v>0</v>
      </c>
      <c r="AE24" s="65">
        <f>IF(VLOOKUP($D24,$C$5:$AU$501,3,)=0,0,(VLOOKUP($D24,$C$5:$AU$501,29,)/VLOOKUP($D24,$C$5:$AU$501,3,))*$E24)</f>
        <v>0</v>
      </c>
      <c r="AF24" s="65">
        <f>IF(VLOOKUP($D24,$C$5:$AU$501,3,)=0,0,(VLOOKUP($D24,$C$5:$AU$501,30,)/VLOOKUP($D24,$C$5:$AU$501,3,))*$E24)</f>
        <v>0</v>
      </c>
      <c r="AG24" s="90">
        <f>SUM(F24:AF24)</f>
        <v>0</v>
      </c>
      <c r="AH24" s="29" t="str">
        <f>IF(ABS(E24-AG24)&lt;0.01,"ok","err")</f>
        <v>ok</v>
      </c>
    </row>
    <row r="25" spans="1:35" x14ac:dyDescent="0.2">
      <c r="A25" s="93" t="s">
        <v>221</v>
      </c>
      <c r="C25" s="14" t="s">
        <v>226</v>
      </c>
      <c r="D25" s="14" t="s">
        <v>701</v>
      </c>
      <c r="E25" s="255">
        <f>'Func &amp; Classif'!S82</f>
        <v>5776552.2408067193</v>
      </c>
      <c r="F25" s="65">
        <f>IF(VLOOKUP($D25,$C$5:$AU$501,3,)=0,0,(VLOOKUP($D25,$C$5:$AU$501,4,)/VLOOKUP($D25,$C$5:$AU$501,3,))*$E25)</f>
        <v>5174548.3758810814</v>
      </c>
      <c r="G25" s="65">
        <f>IF(VLOOKUP($D25,$C$5:$AU$501,3,)=0,0,(VLOOKUP($D25,$C$5:$AU$501,5,)/VLOOKUP($D25,$C$5:$AU$501,3,))*$E25)</f>
        <v>364050.92138549912</v>
      </c>
      <c r="H25" s="65">
        <f>IF(VLOOKUP($D25,$C$5:$AU$501,3,)=0,0,(VLOOKUP($D25,$C$5:$AU$501,6,)/VLOOKUP($D25,$C$5:$AU$501,3,))*$E25)</f>
        <v>228075.79314167594</v>
      </c>
      <c r="I25" s="65">
        <f>IF(VLOOKUP($D25,$C$5:$AU$501,3,)=0,0,(VLOOKUP($D25,$C$5:$AU$501,7,)/VLOOKUP($D25,$C$5:$AU$501,3,))*$E25)</f>
        <v>2269.4108770316011</v>
      </c>
      <c r="J25" s="65">
        <f>IF(VLOOKUP($D25,$C$5:$AU$501,3,)=0,0,(VLOOKUP($D25,$C$5:$AU$501,8,)/VLOOKUP($D25,$C$5:$AU$501,3,))*$E25)</f>
        <v>6827.6087403668143</v>
      </c>
      <c r="K25" s="65">
        <f>IF(VLOOKUP($D25,$C$5:$AU$501,3,)=0,0,(VLOOKUP($D25,$C$5:$AU$501,9,)/VLOOKUP($D25,$C$5:$AU$501,3,))*$E25)</f>
        <v>0</v>
      </c>
      <c r="L25" s="65">
        <f>IF(VLOOKUP($D25,$C$5:$AU$501,3,)=0,0,(VLOOKUP($D25,$C$5:$AU$501,10,)/VLOOKUP($D25,$C$5:$AU$501,3,))*$E25)</f>
        <v>780.13078106431522</v>
      </c>
      <c r="M25" s="65">
        <f>IF(VLOOKUP($D25,$C$5:$AU$501,3,)=0,0,(VLOOKUP($D25,$C$5:$AU$501,11,)/VLOOKUP($D25,$C$5:$AU$501,3,))*$E25)</f>
        <v>0</v>
      </c>
      <c r="N25" s="65">
        <f>IF(VLOOKUP($D25,$C$5:$AU$501,3,)=0,0,(VLOOKUP($D25,$C$5:$AU$501,12,)/VLOOKUP($D25,$C$5:$AU$501,3,))*$E25)</f>
        <v>0</v>
      </c>
      <c r="O25" s="65">
        <f>IF(VLOOKUP($D25,$C$5:$AU$501,3,)=0,0,(VLOOKUP($D25,$C$5:$AU$501,13,)/VLOOKUP($D25,$C$5:$AU$501,3,))*$E25)</f>
        <v>0</v>
      </c>
      <c r="P25" s="65">
        <f>IF(VLOOKUP($D25,$C$5:$AU$501,3,)=0,0,(VLOOKUP($D25,$C$5:$AU$501,14,)/VLOOKUP($D25,$C$5:$AU$501,3,))*$E25)</f>
        <v>0</v>
      </c>
      <c r="Q25" s="65">
        <f>IF(VLOOKUP($D25,$C$5:$AU$501,3,)=0,0,(VLOOKUP($D25,$C$5:$AU$501,15,)/VLOOKUP($D25,$C$5:$AU$501,3,))*$E25)</f>
        <v>0</v>
      </c>
      <c r="R25" s="65">
        <f>IF(VLOOKUP($D25,$C$5:$AU$501,3,)=0,0,(VLOOKUP($D25,$C$5:$AU$501,16,)/VLOOKUP($D25,$C$5:$AU$501,3,))*$E25)</f>
        <v>0</v>
      </c>
      <c r="S25" s="65">
        <f>IF(VLOOKUP($D25,$C$5:$AU$501,3,)=0,0,(VLOOKUP($D25,$C$5:$AU$501,17,)/VLOOKUP($D25,$C$5:$AU$501,3,))*$E25)</f>
        <v>0</v>
      </c>
      <c r="T25" s="65">
        <f>IF(VLOOKUP($D25,$C$5:$AU$501,3,)=0,0,(VLOOKUP($D25,$C$5:$AU$501,18,)/VLOOKUP($D25,$C$5:$AU$501,3,))*$E25)</f>
        <v>0</v>
      </c>
      <c r="U25" s="65">
        <f>IF(VLOOKUP($D25,$C$5:$AU$501,3,)=0,0,(VLOOKUP($D25,$C$5:$AU$501,19,)/VLOOKUP($D25,$C$5:$AU$501,3,))*$E25)</f>
        <v>0</v>
      </c>
      <c r="V25" s="65">
        <f>IF(VLOOKUP($D25,$C$5:$AU$501,3,)=0,0,(VLOOKUP($D25,$C$5:$AU$501,20,)/VLOOKUP($D25,$C$5:$AU$501,3,))*$E25)</f>
        <v>0</v>
      </c>
      <c r="W25" s="65">
        <f>IF(VLOOKUP($D25,$C$5:$AU$501,3,)=0,0,(VLOOKUP($D25,$C$5:$AU$501,21,)/VLOOKUP($D25,$C$5:$AU$501,3,))*$E25)</f>
        <v>0</v>
      </c>
      <c r="X25" s="65">
        <f>IF(VLOOKUP($D25,$C$5:$AU$501,3,)=0,0,(VLOOKUP($D25,$C$5:$AU$501,22,)/VLOOKUP($D25,$C$5:$AU$501,3,))*$E25)</f>
        <v>0</v>
      </c>
      <c r="Y25" s="65">
        <f>IF(VLOOKUP($D25,$C$5:$AU$501,3,)=0,0,(VLOOKUP($D25,$C$5:$AU$501,23,)/VLOOKUP($D25,$C$5:$AU$501,3,))*$E25)</f>
        <v>0</v>
      </c>
      <c r="Z25" s="65">
        <f>IF(VLOOKUP($D25,$C$5:$AU$501,3,)=0,0,(VLOOKUP($D25,$C$5:$AU$501,24,)/VLOOKUP($D25,$C$5:$AU$501,3,))*$E25)</f>
        <v>0</v>
      </c>
      <c r="AA25" s="65">
        <f>IF(VLOOKUP($D25,$C$5:$AU$501,3,)=0,0,(VLOOKUP($D25,$C$5:$AU$501,25,)/VLOOKUP($D25,$C$5:$AU$501,3,))*$E25)</f>
        <v>0</v>
      </c>
      <c r="AB25" s="65">
        <f>IF(VLOOKUP($D25,$C$5:$AU$501,3,)=0,0,(VLOOKUP($D25,$C$5:$AU$501,26,)/VLOOKUP($D25,$C$5:$AU$501,3,))*$E25)</f>
        <v>0</v>
      </c>
      <c r="AC25" s="65">
        <f>IF(VLOOKUP($D25,$C$5:$AU$501,3,)=0,0,(VLOOKUP($D25,$C$5:$AU$501,27,)/VLOOKUP($D25,$C$5:$AU$501,3,))*$E25)</f>
        <v>0</v>
      </c>
      <c r="AD25" s="65">
        <f>IF(VLOOKUP($D25,$C$5:$AU$501,3,)=0,0,(VLOOKUP($D25,$C$5:$AU$501,28,)/VLOOKUP($D25,$C$5:$AU$501,3,))*$E25)</f>
        <v>0</v>
      </c>
      <c r="AE25" s="65">
        <f>IF(VLOOKUP($D25,$C$5:$AU$501,3,)=0,0,(VLOOKUP($D25,$C$5:$AU$501,29,)/VLOOKUP($D25,$C$5:$AU$501,3,))*$E25)</f>
        <v>0</v>
      </c>
      <c r="AF25" s="65">
        <f>IF(VLOOKUP($D25,$C$5:$AU$501,3,)=0,0,(VLOOKUP($D25,$C$5:$AU$501,30,)/VLOOKUP($D25,$C$5:$AU$501,3,))*$E25)</f>
        <v>0</v>
      </c>
      <c r="AG25" s="90">
        <f>SUM(F25:AF25)</f>
        <v>5776552.2408067193</v>
      </c>
      <c r="AH25" s="29" t="str">
        <f>IF(ABS(E25-AG25)&lt;0.01,"ok","err")</f>
        <v>ok</v>
      </c>
    </row>
    <row r="26" spans="1:35" x14ac:dyDescent="0.2">
      <c r="A26" s="14" t="s">
        <v>228</v>
      </c>
      <c r="E26" s="254">
        <f t="shared" ref="E26:T26" si="4">E24+E25</f>
        <v>5776552.2408067193</v>
      </c>
      <c r="F26" s="65">
        <f t="shared" si="4"/>
        <v>5174548.3758810814</v>
      </c>
      <c r="G26" s="65">
        <f t="shared" si="4"/>
        <v>364050.92138549912</v>
      </c>
      <c r="H26" s="65">
        <f t="shared" si="4"/>
        <v>228075.79314167594</v>
      </c>
      <c r="I26" s="65">
        <f t="shared" si="4"/>
        <v>2269.4108770316011</v>
      </c>
      <c r="J26" s="65">
        <f t="shared" si="4"/>
        <v>6827.6087403668143</v>
      </c>
      <c r="K26" s="65">
        <f t="shared" si="4"/>
        <v>0</v>
      </c>
      <c r="L26" s="65">
        <f t="shared" si="4"/>
        <v>780.13078106431522</v>
      </c>
      <c r="M26" s="65">
        <f t="shared" si="4"/>
        <v>0</v>
      </c>
      <c r="N26" s="65">
        <f t="shared" si="4"/>
        <v>0</v>
      </c>
      <c r="O26" s="65">
        <f t="shared" si="4"/>
        <v>0</v>
      </c>
      <c r="P26" s="65">
        <f t="shared" si="4"/>
        <v>0</v>
      </c>
      <c r="Q26" s="65">
        <f t="shared" si="4"/>
        <v>0</v>
      </c>
      <c r="R26" s="65">
        <f t="shared" si="4"/>
        <v>0</v>
      </c>
      <c r="S26" s="65">
        <f t="shared" si="4"/>
        <v>0</v>
      </c>
      <c r="T26" s="65">
        <f t="shared" si="4"/>
        <v>0</v>
      </c>
      <c r="U26" s="65">
        <f t="shared" ref="U26:AF26" si="5">U24+U25</f>
        <v>0</v>
      </c>
      <c r="V26" s="65">
        <f t="shared" si="5"/>
        <v>0</v>
      </c>
      <c r="W26" s="65">
        <f t="shared" si="5"/>
        <v>0</v>
      </c>
      <c r="X26" s="65">
        <f t="shared" si="5"/>
        <v>0</v>
      </c>
      <c r="Y26" s="65">
        <f t="shared" si="5"/>
        <v>0</v>
      </c>
      <c r="Z26" s="65">
        <f t="shared" si="5"/>
        <v>0</v>
      </c>
      <c r="AA26" s="65">
        <f t="shared" si="5"/>
        <v>0</v>
      </c>
      <c r="AB26" s="65">
        <f t="shared" si="5"/>
        <v>0</v>
      </c>
      <c r="AC26" s="65">
        <f t="shared" si="5"/>
        <v>0</v>
      </c>
      <c r="AD26" s="65">
        <f t="shared" si="5"/>
        <v>0</v>
      </c>
      <c r="AE26" s="65">
        <f t="shared" si="5"/>
        <v>0</v>
      </c>
      <c r="AF26" s="65">
        <f t="shared" si="5"/>
        <v>0</v>
      </c>
      <c r="AG26" s="90">
        <f>SUM(F26:AF26)</f>
        <v>5776552.2408067193</v>
      </c>
      <c r="AH26" s="29" t="str">
        <f>IF(ABS(E26-AG26)&lt;0.01,"ok","err")</f>
        <v>ok</v>
      </c>
    </row>
    <row r="27" spans="1:35" x14ac:dyDescent="0.2">
      <c r="E27" s="255"/>
    </row>
    <row r="28" spans="1:35" x14ac:dyDescent="0.2">
      <c r="A28" s="13" t="s">
        <v>4</v>
      </c>
      <c r="E28" s="255"/>
    </row>
    <row r="29" spans="1:35" x14ac:dyDescent="0.2">
      <c r="A29" s="93" t="s">
        <v>221</v>
      </c>
      <c r="C29" s="14" t="s">
        <v>229</v>
      </c>
      <c r="D29" s="14" t="s">
        <v>230</v>
      </c>
      <c r="E29" s="254">
        <f>'Func &amp; Classif'!U82</f>
        <v>5706463.4642277528</v>
      </c>
      <c r="F29" s="65">
        <f>IF(VLOOKUP($D29,$C$5:$AU$501,3,)=0,0,(VLOOKUP($D29,$C$5:$AU$501,4,)/VLOOKUP($D29,$C$5:$AU$501,3,))*$E29)</f>
        <v>4415818.1214673109</v>
      </c>
      <c r="G29" s="65">
        <f>IF(VLOOKUP($D29,$C$5:$AU$501,3,)=0,0,(VLOOKUP($D29,$C$5:$AU$501,5,)/VLOOKUP($D29,$C$5:$AU$501,3,))*$E29)</f>
        <v>431597.5237207138</v>
      </c>
      <c r="H29" s="65">
        <f>IF(VLOOKUP($D29,$C$5:$AU$501,3,)=0,0,(VLOOKUP($D29,$C$5:$AU$501,6,)/VLOOKUP($D29,$C$5:$AU$501,3,))*$E29)</f>
        <v>733033.98876701435</v>
      </c>
      <c r="I29" s="65">
        <f>IF(VLOOKUP($D29,$C$5:$AU$501,3,)=0,0,(VLOOKUP($D29,$C$5:$AU$501,7,)/VLOOKUP($D29,$C$5:$AU$501,3,))*$E29)</f>
        <v>56006.146787873025</v>
      </c>
      <c r="J29" s="65">
        <f>IF(VLOOKUP($D29,$C$5:$AU$501,3,)=0,0,(VLOOKUP($D29,$C$5:$AU$501,8,)/VLOOKUP($D29,$C$5:$AU$501,3,))*$E29)</f>
        <v>70007.683484841284</v>
      </c>
      <c r="K29" s="65">
        <f>IF(VLOOKUP($D29,$C$5:$AU$501,3,)=0,0,(VLOOKUP($D29,$C$5:$AU$501,9,)/VLOOKUP($D29,$C$5:$AU$501,3,))*$E29)</f>
        <v>0</v>
      </c>
      <c r="L29" s="65">
        <f>IF(VLOOKUP($D29,$C$5:$AU$501,3,)=0,0,(VLOOKUP($D29,$C$5:$AU$501,10,)/VLOOKUP($D29,$C$5:$AU$501,3,))*$E29)</f>
        <v>0</v>
      </c>
      <c r="M29" s="65">
        <f>IF(VLOOKUP($D29,$C$5:$AU$501,3,)=0,0,(VLOOKUP($D29,$C$5:$AU$501,11,)/VLOOKUP($D29,$C$5:$AU$501,3,))*$E29)</f>
        <v>0</v>
      </c>
      <c r="N29" s="65">
        <f>IF(VLOOKUP($D29,$C$5:$AU$501,3,)=0,0,(VLOOKUP($D29,$C$5:$AU$501,12,)/VLOOKUP($D29,$C$5:$AU$501,3,))*$E29)</f>
        <v>0</v>
      </c>
      <c r="O29" s="65">
        <f>IF(VLOOKUP($D29,$C$5:$AU$501,3,)=0,0,(VLOOKUP($D29,$C$5:$AU$501,13,)/VLOOKUP($D29,$C$5:$AU$501,3,))*$E29)</f>
        <v>0</v>
      </c>
      <c r="P29" s="65">
        <f>IF(VLOOKUP($D29,$C$5:$AU$501,3,)=0,0,(VLOOKUP($D29,$C$5:$AU$501,14,)/VLOOKUP($D29,$C$5:$AU$501,3,))*$E29)</f>
        <v>0</v>
      </c>
      <c r="Q29" s="65">
        <f>IF(VLOOKUP($D29,$C$5:$AU$501,3,)=0,0,(VLOOKUP($D29,$C$5:$AU$501,15,)/VLOOKUP($D29,$C$5:$AU$501,3,))*$E29)</f>
        <v>0</v>
      </c>
      <c r="R29" s="65">
        <f>IF(VLOOKUP($D29,$C$5:$AU$501,3,)=0,0,(VLOOKUP($D29,$C$5:$AU$501,16,)/VLOOKUP($D29,$C$5:$AU$501,3,))*$E29)</f>
        <v>0</v>
      </c>
      <c r="S29" s="65">
        <f>IF(VLOOKUP($D29,$C$5:$AU$501,3,)=0,0,(VLOOKUP($D29,$C$5:$AU$501,17,)/VLOOKUP($D29,$C$5:$AU$501,3,))*$E29)</f>
        <v>0</v>
      </c>
      <c r="T29" s="65">
        <f>IF(VLOOKUP($D29,$C$5:$AU$501,3,)=0,0,(VLOOKUP($D29,$C$5:$AU$501,18,)/VLOOKUP($D29,$C$5:$AU$501,3,))*$E29)</f>
        <v>0</v>
      </c>
      <c r="U29" s="65">
        <f>IF(VLOOKUP($D29,$C$5:$AU$501,3,)=0,0,(VLOOKUP($D29,$C$5:$AU$501,19,)/VLOOKUP($D29,$C$5:$AU$501,3,))*$E29)</f>
        <v>0</v>
      </c>
      <c r="V29" s="65">
        <f>IF(VLOOKUP($D29,$C$5:$AU$501,3,)=0,0,(VLOOKUP($D29,$C$5:$AU$501,20,)/VLOOKUP($D29,$C$5:$AU$501,3,))*$E29)</f>
        <v>0</v>
      </c>
      <c r="W29" s="65">
        <f>IF(VLOOKUP($D29,$C$5:$AU$501,3,)=0,0,(VLOOKUP($D29,$C$5:$AU$501,21,)/VLOOKUP($D29,$C$5:$AU$501,3,))*$E29)</f>
        <v>0</v>
      </c>
      <c r="X29" s="65">
        <f>IF(VLOOKUP($D29,$C$5:$AU$501,3,)=0,0,(VLOOKUP($D29,$C$5:$AU$501,22,)/VLOOKUP($D29,$C$5:$AU$501,3,))*$E29)</f>
        <v>0</v>
      </c>
      <c r="Y29" s="65">
        <f>IF(VLOOKUP($D29,$C$5:$AU$501,3,)=0,0,(VLOOKUP($D29,$C$5:$AU$501,23,)/VLOOKUP($D29,$C$5:$AU$501,3,))*$E29)</f>
        <v>0</v>
      </c>
      <c r="Z29" s="65">
        <f>IF(VLOOKUP($D29,$C$5:$AU$501,3,)=0,0,(VLOOKUP($D29,$C$5:$AU$501,24,)/VLOOKUP($D29,$C$5:$AU$501,3,))*$E29)</f>
        <v>0</v>
      </c>
      <c r="AA29" s="65">
        <f>IF(VLOOKUP($D29,$C$5:$AU$501,3,)=0,0,(VLOOKUP($D29,$C$5:$AU$501,25,)/VLOOKUP($D29,$C$5:$AU$501,3,))*$E29)</f>
        <v>0</v>
      </c>
      <c r="AB29" s="65">
        <f>IF(VLOOKUP($D29,$C$5:$AU$501,3,)=0,0,(VLOOKUP($D29,$C$5:$AU$501,26,)/VLOOKUP($D29,$C$5:$AU$501,3,))*$E29)</f>
        <v>0</v>
      </c>
      <c r="AC29" s="65">
        <f>IF(VLOOKUP($D29,$C$5:$AU$501,3,)=0,0,(VLOOKUP($D29,$C$5:$AU$501,27,)/VLOOKUP($D29,$C$5:$AU$501,3,))*$E29)</f>
        <v>0</v>
      </c>
      <c r="AD29" s="65">
        <f>IF(VLOOKUP($D29,$C$5:$AU$501,3,)=0,0,(VLOOKUP($D29,$C$5:$AU$501,28,)/VLOOKUP($D29,$C$5:$AU$501,3,))*$E29)</f>
        <v>0</v>
      </c>
      <c r="AE29" s="65">
        <f>IF(VLOOKUP($D29,$C$5:$AU$501,3,)=0,0,(VLOOKUP($D29,$C$5:$AU$501,29,)/VLOOKUP($D29,$C$5:$AU$501,3,))*$E29)</f>
        <v>0</v>
      </c>
      <c r="AF29" s="65">
        <f>IF(VLOOKUP($D29,$C$5:$AU$501,3,)=0,0,(VLOOKUP($D29,$C$5:$AU$501,30,)/VLOOKUP($D29,$C$5:$AU$501,3,))*$E29)</f>
        <v>0</v>
      </c>
      <c r="AG29" s="90">
        <f>SUM(F29:AF29)</f>
        <v>5706463.4642277537</v>
      </c>
      <c r="AH29" s="29" t="str">
        <f>IF(ABS(E29-AG29)&lt;0.01,"ok","err")</f>
        <v>ok</v>
      </c>
    </row>
    <row r="30" spans="1:35" x14ac:dyDescent="0.2">
      <c r="E30" s="255"/>
    </row>
    <row r="31" spans="1:35" x14ac:dyDescent="0.2">
      <c r="A31" s="13" t="s">
        <v>5</v>
      </c>
      <c r="E31" s="255"/>
    </row>
    <row r="32" spans="1:35" x14ac:dyDescent="0.2">
      <c r="A32" s="93" t="s">
        <v>221</v>
      </c>
      <c r="C32" s="14" t="s">
        <v>231</v>
      </c>
      <c r="D32" s="14" t="s">
        <v>232</v>
      </c>
      <c r="E32" s="254">
        <f>'Func &amp; Classif'!W82</f>
        <v>5609901.0043446859</v>
      </c>
      <c r="F32" s="65">
        <f>IF(VLOOKUP($D32,$C$5:$AU$501,3,)=0,0,(VLOOKUP($D32,$C$5:$AU$501,4,)/VLOOKUP($D32,$C$5:$AU$501,3,))*$E32)</f>
        <v>0</v>
      </c>
      <c r="G32" s="65">
        <f>IF(VLOOKUP($D32,$C$5:$AU$501,3,)=0,0,(VLOOKUP($D32,$C$5:$AU$501,5,)/VLOOKUP($D32,$C$5:$AU$501,3,))*$E32)</f>
        <v>0</v>
      </c>
      <c r="H32" s="65">
        <f>IF(VLOOKUP($D32,$C$5:$AU$501,3,)=0,0,(VLOOKUP($D32,$C$5:$AU$501,6,)/VLOOKUP($D32,$C$5:$AU$501,3,))*$E32)</f>
        <v>0</v>
      </c>
      <c r="I32" s="65">
        <f>IF(VLOOKUP($D32,$C$5:$AU$501,3,)=0,0,(VLOOKUP($D32,$C$5:$AU$501,7,)/VLOOKUP($D32,$C$5:$AU$501,3,))*$E32)</f>
        <v>0</v>
      </c>
      <c r="J32" s="65">
        <f>IF(VLOOKUP($D32,$C$5:$AU$501,3,)=0,0,(VLOOKUP($D32,$C$5:$AU$501,8,)/VLOOKUP($D32,$C$5:$AU$501,3,))*$E32)</f>
        <v>0</v>
      </c>
      <c r="K32" s="65">
        <f>IF(VLOOKUP($D32,$C$5:$AU$501,3,)=0,0,(VLOOKUP($D32,$C$5:$AU$501,9,)/VLOOKUP($D32,$C$5:$AU$501,3,))*$E32)</f>
        <v>5082528.1051724274</v>
      </c>
      <c r="L32" s="65">
        <f>IF(VLOOKUP($D32,$C$5:$AU$501,3,)=0,0,(VLOOKUP($D32,$C$5:$AU$501,10,)/VLOOKUP($D32,$C$5:$AU$501,3,))*$E32)</f>
        <v>527372.89917225891</v>
      </c>
      <c r="M32" s="65">
        <f>IF(VLOOKUP($D32,$C$5:$AU$501,3,)=0,0,(VLOOKUP($D32,$C$5:$AU$501,11,)/VLOOKUP($D32,$C$5:$AU$501,3,))*$E32)</f>
        <v>0</v>
      </c>
      <c r="N32" s="65">
        <f>IF(VLOOKUP($D32,$C$5:$AU$501,3,)=0,0,(VLOOKUP($D32,$C$5:$AU$501,12,)/VLOOKUP($D32,$C$5:$AU$501,3,))*$E32)</f>
        <v>0</v>
      </c>
      <c r="O32" s="65">
        <f>IF(VLOOKUP($D32,$C$5:$AU$501,3,)=0,0,(VLOOKUP($D32,$C$5:$AU$501,13,)/VLOOKUP($D32,$C$5:$AU$501,3,))*$E32)</f>
        <v>0</v>
      </c>
      <c r="P32" s="65">
        <f>IF(VLOOKUP($D32,$C$5:$AU$501,3,)=0,0,(VLOOKUP($D32,$C$5:$AU$501,14,)/VLOOKUP($D32,$C$5:$AU$501,3,))*$E32)</f>
        <v>0</v>
      </c>
      <c r="Q32" s="65">
        <f>IF(VLOOKUP($D32,$C$5:$AU$501,3,)=0,0,(VLOOKUP($D32,$C$5:$AU$501,15,)/VLOOKUP($D32,$C$5:$AU$501,3,))*$E32)</f>
        <v>0</v>
      </c>
      <c r="R32" s="65">
        <f>IF(VLOOKUP($D32,$C$5:$AU$501,3,)=0,0,(VLOOKUP($D32,$C$5:$AU$501,16,)/VLOOKUP($D32,$C$5:$AU$501,3,))*$E32)</f>
        <v>0</v>
      </c>
      <c r="S32" s="65">
        <f>IF(VLOOKUP($D32,$C$5:$AU$501,3,)=0,0,(VLOOKUP($D32,$C$5:$AU$501,17,)/VLOOKUP($D32,$C$5:$AU$501,3,))*$E32)</f>
        <v>0</v>
      </c>
      <c r="T32" s="65">
        <f>IF(VLOOKUP($D32,$C$5:$AU$501,3,)=0,0,(VLOOKUP($D32,$C$5:$AU$501,18,)/VLOOKUP($D32,$C$5:$AU$501,3,))*$E32)</f>
        <v>0</v>
      </c>
      <c r="U32" s="65">
        <f>IF(VLOOKUP($D32,$C$5:$AU$501,3,)=0,0,(VLOOKUP($D32,$C$5:$AU$501,19,)/VLOOKUP($D32,$C$5:$AU$501,3,))*$E32)</f>
        <v>0</v>
      </c>
      <c r="V32" s="65">
        <f>IF(VLOOKUP($D32,$C$5:$AU$501,3,)=0,0,(VLOOKUP($D32,$C$5:$AU$501,20,)/VLOOKUP($D32,$C$5:$AU$501,3,))*$E32)</f>
        <v>0</v>
      </c>
      <c r="W32" s="65">
        <f>IF(VLOOKUP($D32,$C$5:$AU$501,3,)=0,0,(VLOOKUP($D32,$C$5:$AU$501,21,)/VLOOKUP($D32,$C$5:$AU$501,3,))*$E32)</f>
        <v>0</v>
      </c>
      <c r="X32" s="65">
        <f>IF(VLOOKUP($D32,$C$5:$AU$501,3,)=0,0,(VLOOKUP($D32,$C$5:$AU$501,22,)/VLOOKUP($D32,$C$5:$AU$501,3,))*$E32)</f>
        <v>0</v>
      </c>
      <c r="Y32" s="65">
        <f>IF(VLOOKUP($D32,$C$5:$AU$501,3,)=0,0,(VLOOKUP($D32,$C$5:$AU$501,23,)/VLOOKUP($D32,$C$5:$AU$501,3,))*$E32)</f>
        <v>0</v>
      </c>
      <c r="Z32" s="65">
        <f>IF(VLOOKUP($D32,$C$5:$AU$501,3,)=0,0,(VLOOKUP($D32,$C$5:$AU$501,24,)/VLOOKUP($D32,$C$5:$AU$501,3,))*$E32)</f>
        <v>0</v>
      </c>
      <c r="AA32" s="65">
        <f>IF(VLOOKUP($D32,$C$5:$AU$501,3,)=0,0,(VLOOKUP($D32,$C$5:$AU$501,25,)/VLOOKUP($D32,$C$5:$AU$501,3,))*$E32)</f>
        <v>0</v>
      </c>
      <c r="AB32" s="65">
        <f>IF(VLOOKUP($D32,$C$5:$AU$501,3,)=0,0,(VLOOKUP($D32,$C$5:$AU$501,26,)/VLOOKUP($D32,$C$5:$AU$501,3,))*$E32)</f>
        <v>0</v>
      </c>
      <c r="AC32" s="65">
        <f>IF(VLOOKUP($D32,$C$5:$AU$501,3,)=0,0,(VLOOKUP($D32,$C$5:$AU$501,27,)/VLOOKUP($D32,$C$5:$AU$501,3,))*$E32)</f>
        <v>0</v>
      </c>
      <c r="AD32" s="65">
        <f>IF(VLOOKUP($D32,$C$5:$AU$501,3,)=0,0,(VLOOKUP($D32,$C$5:$AU$501,28,)/VLOOKUP($D32,$C$5:$AU$501,3,))*$E32)</f>
        <v>0</v>
      </c>
      <c r="AE32" s="65">
        <f>IF(VLOOKUP($D32,$C$5:$AU$501,3,)=0,0,(VLOOKUP($D32,$C$5:$AU$501,29,)/VLOOKUP($D32,$C$5:$AU$501,3,))*$E32)</f>
        <v>0</v>
      </c>
      <c r="AF32" s="65">
        <f>IF(VLOOKUP($D32,$C$5:$AU$501,3,)=0,0,(VLOOKUP($D32,$C$5:$AU$501,30,)/VLOOKUP($D32,$C$5:$AU$501,3,))*$E32)</f>
        <v>0</v>
      </c>
      <c r="AG32" s="90">
        <f>SUM(F32:AF32)</f>
        <v>5609901.0043446859</v>
      </c>
      <c r="AH32" s="29" t="str">
        <f>IF(ABS(E32-AG32)&lt;0.01,"ok","err")</f>
        <v>ok</v>
      </c>
    </row>
    <row r="33" spans="1:35" x14ac:dyDescent="0.2">
      <c r="E33" s="255"/>
    </row>
    <row r="34" spans="1:35" x14ac:dyDescent="0.2">
      <c r="A34" s="13" t="s">
        <v>545</v>
      </c>
      <c r="E34" s="255"/>
    </row>
    <row r="35" spans="1:35" x14ac:dyDescent="0.2">
      <c r="A35" s="93" t="s">
        <v>221</v>
      </c>
      <c r="C35" s="14" t="s">
        <v>233</v>
      </c>
      <c r="D35" s="14" t="s">
        <v>234</v>
      </c>
      <c r="E35" s="254">
        <f>'Func &amp; Classif'!Y82</f>
        <v>0</v>
      </c>
      <c r="F35" s="65">
        <f>IF(VLOOKUP($D35,$C$5:$AU$501,3,)=0,0,(VLOOKUP($D35,$C$5:$AU$501,4,)/VLOOKUP($D35,$C$5:$AU$501,3,))*$E35)</f>
        <v>0</v>
      </c>
      <c r="G35" s="65">
        <f>IF(VLOOKUP($D35,$C$5:$AU$501,3,)=0,0,(VLOOKUP($D35,$C$5:$AU$501,5,)/VLOOKUP($D35,$C$5:$AU$501,3,))*$E35)</f>
        <v>0</v>
      </c>
      <c r="H35" s="65">
        <f>IF(VLOOKUP($D35,$C$5:$AU$501,3,)=0,0,(VLOOKUP($D35,$C$5:$AU$501,6,)/VLOOKUP($D35,$C$5:$AU$501,3,))*$E35)</f>
        <v>0</v>
      </c>
      <c r="I35" s="65">
        <f>IF(VLOOKUP($D35,$C$5:$AU$501,3,)=0,0,(VLOOKUP($D35,$C$5:$AU$501,7,)/VLOOKUP($D35,$C$5:$AU$501,3,))*$E35)</f>
        <v>0</v>
      </c>
      <c r="J35" s="65">
        <f>IF(VLOOKUP($D35,$C$5:$AU$501,3,)=0,0,(VLOOKUP($D35,$C$5:$AU$501,8,)/VLOOKUP($D35,$C$5:$AU$501,3,))*$E35)</f>
        <v>0</v>
      </c>
      <c r="K35" s="65">
        <f>IF(VLOOKUP($D35,$C$5:$AU$501,3,)=0,0,(VLOOKUP($D35,$C$5:$AU$501,9,)/VLOOKUP($D35,$C$5:$AU$501,3,))*$E35)</f>
        <v>0</v>
      </c>
      <c r="L35" s="65">
        <f>IF(VLOOKUP($D35,$C$5:$AU$501,3,)=0,0,(VLOOKUP($D35,$C$5:$AU$501,10,)/VLOOKUP($D35,$C$5:$AU$501,3,))*$E35)</f>
        <v>0</v>
      </c>
      <c r="M35" s="65">
        <f>IF(VLOOKUP($D35,$C$5:$AU$501,3,)=0,0,(VLOOKUP($D35,$C$5:$AU$501,11,)/VLOOKUP($D35,$C$5:$AU$501,3,))*$E35)</f>
        <v>0</v>
      </c>
      <c r="N35" s="65">
        <f>IF(VLOOKUP($D35,$C$5:$AU$501,3,)=0,0,(VLOOKUP($D35,$C$5:$AU$501,12,)/VLOOKUP($D35,$C$5:$AU$501,3,))*$E35)</f>
        <v>0</v>
      </c>
      <c r="O35" s="65">
        <f>IF(VLOOKUP($D35,$C$5:$AU$501,3,)=0,0,(VLOOKUP($D35,$C$5:$AU$501,13,)/VLOOKUP($D35,$C$5:$AU$501,3,))*$E35)</f>
        <v>0</v>
      </c>
      <c r="P35" s="65">
        <f>IF(VLOOKUP($D35,$C$5:$AU$501,3,)=0,0,(VLOOKUP($D35,$C$5:$AU$501,14,)/VLOOKUP($D35,$C$5:$AU$501,3,))*$E35)</f>
        <v>0</v>
      </c>
      <c r="Q35" s="65">
        <f>IF(VLOOKUP($D35,$C$5:$AU$501,3,)=0,0,(VLOOKUP($D35,$C$5:$AU$501,15,)/VLOOKUP($D35,$C$5:$AU$501,3,))*$E35)</f>
        <v>0</v>
      </c>
      <c r="R35" s="65">
        <f>IF(VLOOKUP($D35,$C$5:$AU$501,3,)=0,0,(VLOOKUP($D35,$C$5:$AU$501,16,)/VLOOKUP($D35,$C$5:$AU$501,3,))*$E35)</f>
        <v>0</v>
      </c>
      <c r="S35" s="65">
        <f>IF(VLOOKUP($D35,$C$5:$AU$501,3,)=0,0,(VLOOKUP($D35,$C$5:$AU$501,17,)/VLOOKUP($D35,$C$5:$AU$501,3,))*$E35)</f>
        <v>0</v>
      </c>
      <c r="T35" s="65">
        <f>IF(VLOOKUP($D35,$C$5:$AU$501,3,)=0,0,(VLOOKUP($D35,$C$5:$AU$501,18,)/VLOOKUP($D35,$C$5:$AU$501,3,))*$E35)</f>
        <v>0</v>
      </c>
      <c r="U35" s="65">
        <f>IF(VLOOKUP($D35,$C$5:$AU$501,3,)=0,0,(VLOOKUP($D35,$C$5:$AU$501,19,)/VLOOKUP($D35,$C$5:$AU$501,3,))*$E35)</f>
        <v>0</v>
      </c>
      <c r="V35" s="65">
        <f>IF(VLOOKUP($D35,$C$5:$AU$501,3,)=0,0,(VLOOKUP($D35,$C$5:$AU$501,20,)/VLOOKUP($D35,$C$5:$AU$501,3,))*$E35)</f>
        <v>0</v>
      </c>
      <c r="W35" s="65">
        <f>IF(VLOOKUP($D35,$C$5:$AU$501,3,)=0,0,(VLOOKUP($D35,$C$5:$AU$501,21,)/VLOOKUP($D35,$C$5:$AU$501,3,))*$E35)</f>
        <v>0</v>
      </c>
      <c r="X35" s="65">
        <f>IF(VLOOKUP($D35,$C$5:$AU$501,3,)=0,0,(VLOOKUP($D35,$C$5:$AU$501,22,)/VLOOKUP($D35,$C$5:$AU$501,3,))*$E35)</f>
        <v>0</v>
      </c>
      <c r="Y35" s="65">
        <f>IF(VLOOKUP($D35,$C$5:$AU$501,3,)=0,0,(VLOOKUP($D35,$C$5:$AU$501,23,)/VLOOKUP($D35,$C$5:$AU$501,3,))*$E35)</f>
        <v>0</v>
      </c>
      <c r="Z35" s="65">
        <f>IF(VLOOKUP($D35,$C$5:$AU$501,3,)=0,0,(VLOOKUP($D35,$C$5:$AU$501,24,)/VLOOKUP($D35,$C$5:$AU$501,3,))*$E35)</f>
        <v>0</v>
      </c>
      <c r="AA35" s="65">
        <f>IF(VLOOKUP($D35,$C$5:$AU$501,3,)=0,0,(VLOOKUP($D35,$C$5:$AU$501,25,)/VLOOKUP($D35,$C$5:$AU$501,3,))*$E35)</f>
        <v>0</v>
      </c>
      <c r="AB35" s="65">
        <f>IF(VLOOKUP($D35,$C$5:$AU$501,3,)=0,0,(VLOOKUP($D35,$C$5:$AU$501,26,)/VLOOKUP($D35,$C$5:$AU$501,3,))*$E35)</f>
        <v>0</v>
      </c>
      <c r="AC35" s="65">
        <f>IF(VLOOKUP($D35,$C$5:$AU$501,3,)=0,0,(VLOOKUP($D35,$C$5:$AU$501,27,)/VLOOKUP($D35,$C$5:$AU$501,3,))*$E35)</f>
        <v>0</v>
      </c>
      <c r="AD35" s="65">
        <f>IF(VLOOKUP($D35,$C$5:$AU$501,3,)=0,0,(VLOOKUP($D35,$C$5:$AU$501,28,)/VLOOKUP($D35,$C$5:$AU$501,3,))*$E35)</f>
        <v>0</v>
      </c>
      <c r="AE35" s="65">
        <f>IF(VLOOKUP($D35,$C$5:$AU$501,3,)=0,0,(VLOOKUP($D35,$C$5:$AU$501,29,)/VLOOKUP($D35,$C$5:$AU$501,3,))*$E35)</f>
        <v>0</v>
      </c>
      <c r="AF35" s="65">
        <f>IF(VLOOKUP($D35,$C$5:$AU$501,3,)=0,0,(VLOOKUP($D35,$C$5:$AU$501,30,)/VLOOKUP($D35,$C$5:$AU$501,3,))*$E35)</f>
        <v>0</v>
      </c>
      <c r="AG35" s="90">
        <f>SUM(F35:AF35)</f>
        <v>0</v>
      </c>
      <c r="AH35" s="29" t="str">
        <f>IF(ABS(E35-AG35)&lt;0.01,"ok","err")</f>
        <v>ok</v>
      </c>
    </row>
    <row r="36" spans="1:35" x14ac:dyDescent="0.2">
      <c r="E36" s="255"/>
    </row>
    <row r="37" spans="1:35" x14ac:dyDescent="0.2">
      <c r="A37" s="13" t="s">
        <v>470</v>
      </c>
      <c r="E37" s="255"/>
    </row>
    <row r="38" spans="1:35" x14ac:dyDescent="0.2">
      <c r="A38" s="93" t="s">
        <v>221</v>
      </c>
      <c r="C38" s="14" t="s">
        <v>226</v>
      </c>
      <c r="D38" s="14" t="s">
        <v>235</v>
      </c>
      <c r="E38" s="254">
        <f>'Func &amp; Classif'!AA82</f>
        <v>0</v>
      </c>
      <c r="F38" s="65">
        <f>IF(VLOOKUP($D38,$C$5:$AU$501,3,)=0,0,(VLOOKUP($D38,$C$5:$AU$501,4,)/VLOOKUP($D38,$C$5:$AU$501,3,))*$E38)</f>
        <v>0</v>
      </c>
      <c r="G38" s="65">
        <f>IF(VLOOKUP($D38,$C$5:$AU$501,3,)=0,0,(VLOOKUP($D38,$C$5:$AU$501,5,)/VLOOKUP($D38,$C$5:$AU$501,3,))*$E38)</f>
        <v>0</v>
      </c>
      <c r="H38" s="65">
        <f>IF(VLOOKUP($D38,$C$5:$AU$501,3,)=0,0,(VLOOKUP($D38,$C$5:$AU$501,6,)/VLOOKUP($D38,$C$5:$AU$501,3,))*$E38)</f>
        <v>0</v>
      </c>
      <c r="I38" s="65">
        <f>IF(VLOOKUP($D38,$C$5:$AU$501,3,)=0,0,(VLOOKUP($D38,$C$5:$AU$501,7,)/VLOOKUP($D38,$C$5:$AU$501,3,))*$E38)</f>
        <v>0</v>
      </c>
      <c r="J38" s="65">
        <f>IF(VLOOKUP($D38,$C$5:$AU$501,3,)=0,0,(VLOOKUP($D38,$C$5:$AU$501,8,)/VLOOKUP($D38,$C$5:$AU$501,3,))*$E38)</f>
        <v>0</v>
      </c>
      <c r="K38" s="65">
        <f>IF(VLOOKUP($D38,$C$5:$AU$501,3,)=0,0,(VLOOKUP($D38,$C$5:$AU$501,9,)/VLOOKUP($D38,$C$5:$AU$501,3,))*$E38)</f>
        <v>0</v>
      </c>
      <c r="L38" s="65">
        <f>IF(VLOOKUP($D38,$C$5:$AU$501,3,)=0,0,(VLOOKUP($D38,$C$5:$AU$501,10,)/VLOOKUP($D38,$C$5:$AU$501,3,))*$E38)</f>
        <v>0</v>
      </c>
      <c r="M38" s="65">
        <f>IF(VLOOKUP($D38,$C$5:$AU$501,3,)=0,0,(VLOOKUP($D38,$C$5:$AU$501,11,)/VLOOKUP($D38,$C$5:$AU$501,3,))*$E38)</f>
        <v>0</v>
      </c>
      <c r="N38" s="65">
        <f>IF(VLOOKUP($D38,$C$5:$AU$501,3,)=0,0,(VLOOKUP($D38,$C$5:$AU$501,12,)/VLOOKUP($D38,$C$5:$AU$501,3,))*$E38)</f>
        <v>0</v>
      </c>
      <c r="O38" s="65">
        <f>IF(VLOOKUP($D38,$C$5:$AU$501,3,)=0,0,(VLOOKUP($D38,$C$5:$AU$501,13,)/VLOOKUP($D38,$C$5:$AU$501,3,))*$E38)</f>
        <v>0</v>
      </c>
      <c r="P38" s="65">
        <f>IF(VLOOKUP($D38,$C$5:$AU$501,3,)=0,0,(VLOOKUP($D38,$C$5:$AU$501,14,)/VLOOKUP($D38,$C$5:$AU$501,3,))*$E38)</f>
        <v>0</v>
      </c>
      <c r="Q38" s="65">
        <f>IF(VLOOKUP($D38,$C$5:$AU$501,3,)=0,0,(VLOOKUP($D38,$C$5:$AU$501,15,)/VLOOKUP($D38,$C$5:$AU$501,3,))*$E38)</f>
        <v>0</v>
      </c>
      <c r="R38" s="65">
        <f>IF(VLOOKUP($D38,$C$5:$AU$501,3,)=0,0,(VLOOKUP($D38,$C$5:$AU$501,16,)/VLOOKUP($D38,$C$5:$AU$501,3,))*$E38)</f>
        <v>0</v>
      </c>
      <c r="S38" s="65">
        <f>IF(VLOOKUP($D38,$C$5:$AU$501,3,)=0,0,(VLOOKUP($D38,$C$5:$AU$501,17,)/VLOOKUP($D38,$C$5:$AU$501,3,))*$E38)</f>
        <v>0</v>
      </c>
      <c r="T38" s="65">
        <f>IF(VLOOKUP($D38,$C$5:$AU$501,3,)=0,0,(VLOOKUP($D38,$C$5:$AU$501,18,)/VLOOKUP($D38,$C$5:$AU$501,3,))*$E38)</f>
        <v>0</v>
      </c>
      <c r="U38" s="65">
        <f>IF(VLOOKUP($D38,$C$5:$AU$501,3,)=0,0,(VLOOKUP($D38,$C$5:$AU$501,19,)/VLOOKUP($D38,$C$5:$AU$501,3,))*$E38)</f>
        <v>0</v>
      </c>
      <c r="V38" s="65">
        <f>IF(VLOOKUP($D38,$C$5:$AU$501,3,)=0,0,(VLOOKUP($D38,$C$5:$AU$501,20,)/VLOOKUP($D38,$C$5:$AU$501,3,))*$E38)</f>
        <v>0</v>
      </c>
      <c r="W38" s="65">
        <f>IF(VLOOKUP($D38,$C$5:$AU$501,3,)=0,0,(VLOOKUP($D38,$C$5:$AU$501,21,)/VLOOKUP($D38,$C$5:$AU$501,3,))*$E38)</f>
        <v>0</v>
      </c>
      <c r="X38" s="65">
        <f>IF(VLOOKUP($D38,$C$5:$AU$501,3,)=0,0,(VLOOKUP($D38,$C$5:$AU$501,22,)/VLOOKUP($D38,$C$5:$AU$501,3,))*$E38)</f>
        <v>0</v>
      </c>
      <c r="Y38" s="65">
        <f>IF(VLOOKUP($D38,$C$5:$AU$501,3,)=0,0,(VLOOKUP($D38,$C$5:$AU$501,23,)/VLOOKUP($D38,$C$5:$AU$501,3,))*$E38)</f>
        <v>0</v>
      </c>
      <c r="Z38" s="65">
        <f>IF(VLOOKUP($D38,$C$5:$AU$501,3,)=0,0,(VLOOKUP($D38,$C$5:$AU$501,24,)/VLOOKUP($D38,$C$5:$AU$501,3,))*$E38)</f>
        <v>0</v>
      </c>
      <c r="AA38" s="65">
        <f>IF(VLOOKUP($D38,$C$5:$AU$501,3,)=0,0,(VLOOKUP($D38,$C$5:$AU$501,25,)/VLOOKUP($D38,$C$5:$AU$501,3,))*$E38)</f>
        <v>0</v>
      </c>
      <c r="AB38" s="65">
        <f>IF(VLOOKUP($D38,$C$5:$AU$501,3,)=0,0,(VLOOKUP($D38,$C$5:$AU$501,26,)/VLOOKUP($D38,$C$5:$AU$501,3,))*$E38)</f>
        <v>0</v>
      </c>
      <c r="AC38" s="65">
        <f>IF(VLOOKUP($D38,$C$5:$AU$501,3,)=0,0,(VLOOKUP($D38,$C$5:$AU$501,27,)/VLOOKUP($D38,$C$5:$AU$501,3,))*$E38)</f>
        <v>0</v>
      </c>
      <c r="AD38" s="65">
        <f>IF(VLOOKUP($D38,$C$5:$AU$501,3,)=0,0,(VLOOKUP($D38,$C$5:$AU$501,28,)/VLOOKUP($D38,$C$5:$AU$501,3,))*$E38)</f>
        <v>0</v>
      </c>
      <c r="AE38" s="65">
        <f>IF(VLOOKUP($D38,$C$5:$AU$501,3,)=0,0,(VLOOKUP($D38,$C$5:$AU$501,29,)/VLOOKUP($D38,$C$5:$AU$501,3,))*$E38)</f>
        <v>0</v>
      </c>
      <c r="AF38" s="65">
        <f>IF(VLOOKUP($D38,$C$5:$AU$501,3,)=0,0,(VLOOKUP($D38,$C$5:$AU$501,30,)/VLOOKUP($D38,$C$5:$AU$501,3,))*$E38)</f>
        <v>0</v>
      </c>
      <c r="AG38" s="90">
        <f>SUM(F38:AF38)</f>
        <v>0</v>
      </c>
      <c r="AH38" s="29" t="str">
        <f>IF(ABS(E38-AG38)&lt;0.01,"ok","err")</f>
        <v>ok</v>
      </c>
    </row>
    <row r="39" spans="1:35" x14ac:dyDescent="0.2">
      <c r="E39" s="255"/>
    </row>
    <row r="40" spans="1:35" x14ac:dyDescent="0.2">
      <c r="A40" s="14" t="s">
        <v>0</v>
      </c>
      <c r="C40" s="14" t="s">
        <v>236</v>
      </c>
      <c r="E40" s="254">
        <f>E10+E13+E16+E21+E26+E29+E32+E35+E38</f>
        <v>149940949.88</v>
      </c>
      <c r="F40" s="65">
        <f t="shared" ref="F40:R40" si="6">F10+F13+F16+F21+F26+F29+F32+F35+F38</f>
        <v>126078943.45528622</v>
      </c>
      <c r="G40" s="65">
        <f t="shared" si="6"/>
        <v>8385475.2530862708</v>
      </c>
      <c r="H40" s="65">
        <f t="shared" si="6"/>
        <v>7943917.4547046199</v>
      </c>
      <c r="I40" s="65">
        <f t="shared" si="6"/>
        <v>151407.50816178412</v>
      </c>
      <c r="J40" s="65">
        <f t="shared" si="6"/>
        <v>1049965.6546322915</v>
      </c>
      <c r="K40" s="65">
        <f t="shared" si="6"/>
        <v>5735167.7251360137</v>
      </c>
      <c r="L40" s="65">
        <f t="shared" si="6"/>
        <v>596072.82899279357</v>
      </c>
      <c r="M40" s="65">
        <f t="shared" si="6"/>
        <v>0</v>
      </c>
      <c r="N40" s="65">
        <f t="shared" si="6"/>
        <v>0</v>
      </c>
      <c r="O40" s="65">
        <f t="shared" si="6"/>
        <v>0</v>
      </c>
      <c r="P40" s="65">
        <f t="shared" si="6"/>
        <v>0</v>
      </c>
      <c r="Q40" s="65">
        <f t="shared" si="6"/>
        <v>0</v>
      </c>
      <c r="R40" s="65">
        <f t="shared" si="6"/>
        <v>0</v>
      </c>
      <c r="S40" s="65">
        <f t="shared" ref="S40:AF40" si="7">S10+S16+S21+S26+S29+S32+S35+S38</f>
        <v>0</v>
      </c>
      <c r="T40" s="65">
        <f t="shared" si="7"/>
        <v>0</v>
      </c>
      <c r="U40" s="65">
        <f t="shared" si="7"/>
        <v>0</v>
      </c>
      <c r="V40" s="65">
        <f t="shared" si="7"/>
        <v>0</v>
      </c>
      <c r="W40" s="65">
        <f t="shared" si="7"/>
        <v>0</v>
      </c>
      <c r="X40" s="65">
        <f t="shared" si="7"/>
        <v>0</v>
      </c>
      <c r="Y40" s="65">
        <f t="shared" si="7"/>
        <v>0</v>
      </c>
      <c r="Z40" s="65">
        <f t="shared" si="7"/>
        <v>0</v>
      </c>
      <c r="AA40" s="65">
        <f t="shared" si="7"/>
        <v>0</v>
      </c>
      <c r="AB40" s="65">
        <f t="shared" si="7"/>
        <v>0</v>
      </c>
      <c r="AC40" s="65">
        <f t="shared" si="7"/>
        <v>0</v>
      </c>
      <c r="AD40" s="65">
        <f t="shared" si="7"/>
        <v>0</v>
      </c>
      <c r="AE40" s="65">
        <f t="shared" si="7"/>
        <v>0</v>
      </c>
      <c r="AF40" s="65">
        <f t="shared" si="7"/>
        <v>0</v>
      </c>
      <c r="AG40" s="90">
        <f>SUM(F40:AF40)</f>
        <v>149940949.88</v>
      </c>
      <c r="AH40" s="29" t="str">
        <f>IF(ABS(E40-AG40)&lt;0.01,"ok","err")</f>
        <v>ok</v>
      </c>
      <c r="AI40" s="90"/>
    </row>
    <row r="44" spans="1:35" x14ac:dyDescent="0.2">
      <c r="A44" s="27" t="s">
        <v>83</v>
      </c>
    </row>
    <row r="46" spans="1:35" x14ac:dyDescent="0.2">
      <c r="A46" s="13" t="s">
        <v>896</v>
      </c>
    </row>
    <row r="47" spans="1:35" x14ac:dyDescent="0.2">
      <c r="A47" s="93" t="s">
        <v>209</v>
      </c>
      <c r="C47" s="14" t="s">
        <v>237</v>
      </c>
      <c r="D47" s="14" t="s">
        <v>657</v>
      </c>
      <c r="E47" s="254">
        <f>'Func &amp; Classif'!H126</f>
        <v>0</v>
      </c>
      <c r="F47" s="65">
        <f>IF(VLOOKUP($D47,$C$5:$AU$501,3,)=0,0,(VLOOKUP($D47,$C$5:$AU$501,4,)/VLOOKUP($D47,$C$5:$AU$501,3,))*$E47)</f>
        <v>0</v>
      </c>
      <c r="G47" s="65">
        <f>IF(VLOOKUP($D47,$C$5:$AU$501,3,)=0,0,(VLOOKUP($D47,$C$5:$AU$501,5,)/VLOOKUP($D47,$C$5:$AU$501,3,))*$E47)</f>
        <v>0</v>
      </c>
      <c r="H47" s="65">
        <f>IF(VLOOKUP($D47,$C$5:$AU$501,3,)=0,0,(VLOOKUP($D47,$C$5:$AU$501,6,)/VLOOKUP($D47,$C$5:$AU$501,3,))*$E47)</f>
        <v>0</v>
      </c>
      <c r="I47" s="65">
        <f>IF(VLOOKUP($D47,$C$5:$AU$501,3,)=0,0,(VLOOKUP($D47,$C$5:$AU$501,7,)/VLOOKUP($D47,$C$5:$AU$501,3,))*$E47)</f>
        <v>0</v>
      </c>
      <c r="J47" s="65">
        <f>IF(VLOOKUP($D47,$C$5:$AU$501,3,)=0,0,(VLOOKUP($D47,$C$5:$AU$501,8,)/VLOOKUP($D47,$C$5:$AU$501,3,))*$E47)</f>
        <v>0</v>
      </c>
      <c r="K47" s="65">
        <f>IF(VLOOKUP($D47,$C$5:$AU$501,3,)=0,0,(VLOOKUP($D47,$C$5:$AU$501,9,)/VLOOKUP($D47,$C$5:$AU$501,3,))*$E47)</f>
        <v>0</v>
      </c>
      <c r="L47" s="65">
        <f>IF(VLOOKUP($D47,$C$5:$AU$501,3,)=0,0,(VLOOKUP($D47,$C$5:$AU$501,10,)/VLOOKUP($D47,$C$5:$AU$501,3,))*$E47)</f>
        <v>0</v>
      </c>
      <c r="M47" s="65">
        <f>IF(VLOOKUP($D47,$C$5:$AU$501,3,)=0,0,(VLOOKUP($D47,$C$5:$AU$501,11,)/VLOOKUP($D47,$C$5:$AU$501,3,))*$E47)</f>
        <v>0</v>
      </c>
      <c r="N47" s="65">
        <f>IF(VLOOKUP($D47,$C$5:$AU$501,3,)=0,0,(VLOOKUP($D47,$C$5:$AU$501,12,)/VLOOKUP($D47,$C$5:$AU$501,3,))*$E47)</f>
        <v>0</v>
      </c>
      <c r="O47" s="65">
        <f>IF(VLOOKUP($D47,$C$5:$AU$501,3,)=0,0,(VLOOKUP($D47,$C$5:$AU$501,13,)/VLOOKUP($D47,$C$5:$AU$501,3,))*$E47)</f>
        <v>0</v>
      </c>
      <c r="P47" s="65">
        <f>IF(VLOOKUP($D47,$C$5:$AU$501,3,)=0,0,(VLOOKUP($D47,$C$5:$AU$501,14,)/VLOOKUP($D47,$C$5:$AU$501,3,))*$E47)</f>
        <v>0</v>
      </c>
      <c r="Q47" s="65">
        <f>IF(VLOOKUP($D47,$C$5:$AU$501,3,)=0,0,(VLOOKUP($D47,$C$5:$AU$501,15,)/VLOOKUP($D47,$C$5:$AU$501,3,))*$E47)</f>
        <v>0</v>
      </c>
      <c r="R47" s="65">
        <f>IF(VLOOKUP($D47,$C$5:$AU$501,3,)=0,0,(VLOOKUP($D47,$C$5:$AU$501,16,)/VLOOKUP($D47,$C$5:$AU$501,3,))*$E47)</f>
        <v>0</v>
      </c>
      <c r="S47" s="65">
        <f>IF(VLOOKUP($D47,$C$5:$AU$501,3,)=0,0,(VLOOKUP($D47,$C$5:$AU$501,17,)/VLOOKUP($D47,$C$5:$AU$501,3,))*$E47)</f>
        <v>0</v>
      </c>
      <c r="T47" s="65">
        <f>IF(VLOOKUP($D47,$C$5:$AU$501,3,)=0,0,(VLOOKUP($D47,$C$5:$AU$501,18,)/VLOOKUP($D47,$C$5:$AU$501,3,))*$E47)</f>
        <v>0</v>
      </c>
      <c r="U47" s="65">
        <f>IF(VLOOKUP($D47,$C$5:$AU$501,3,)=0,0,(VLOOKUP($D47,$C$5:$AU$501,19,)/VLOOKUP($D47,$C$5:$AU$501,3,))*$E47)</f>
        <v>0</v>
      </c>
      <c r="V47" s="65">
        <f>IF(VLOOKUP($D47,$C$5:$AU$501,3,)=0,0,(VLOOKUP($D47,$C$5:$AU$501,20,)/VLOOKUP($D47,$C$5:$AU$501,3,))*$E47)</f>
        <v>0</v>
      </c>
      <c r="W47" s="65">
        <f>IF(VLOOKUP($D47,$C$5:$AU$501,3,)=0,0,(VLOOKUP($D47,$C$5:$AU$501,21,)/VLOOKUP($D47,$C$5:$AU$501,3,))*$E47)</f>
        <v>0</v>
      </c>
      <c r="X47" s="65">
        <f>IF(VLOOKUP($D47,$C$5:$AU$501,3,)=0,0,(VLOOKUP($D47,$C$5:$AU$501,22,)/VLOOKUP($D47,$C$5:$AU$501,3,))*$E47)</f>
        <v>0</v>
      </c>
      <c r="Y47" s="65">
        <f>IF(VLOOKUP($D47,$C$5:$AU$501,3,)=0,0,(VLOOKUP($D47,$C$5:$AU$501,23,)/VLOOKUP($D47,$C$5:$AU$501,3,))*$E47)</f>
        <v>0</v>
      </c>
      <c r="Z47" s="65">
        <f>IF(VLOOKUP($D47,$C$5:$AU$501,3,)=0,0,(VLOOKUP($D47,$C$5:$AU$501,24,)/VLOOKUP($D47,$C$5:$AU$501,3,))*$E47)</f>
        <v>0</v>
      </c>
      <c r="AA47" s="65">
        <f>IF(VLOOKUP($D47,$C$5:$AU$501,3,)=0,0,(VLOOKUP($D47,$C$5:$AU$501,25,)/VLOOKUP($D47,$C$5:$AU$501,3,))*$E47)</f>
        <v>0</v>
      </c>
      <c r="AB47" s="65">
        <f>IF(VLOOKUP($D47,$C$5:$AU$501,3,)=0,0,(VLOOKUP($D47,$C$5:$AU$501,26,)/VLOOKUP($D47,$C$5:$AU$501,3,))*$E47)</f>
        <v>0</v>
      </c>
      <c r="AC47" s="65">
        <f>IF(VLOOKUP($D47,$C$5:$AU$501,3,)=0,0,(VLOOKUP($D47,$C$5:$AU$501,27,)/VLOOKUP($D47,$C$5:$AU$501,3,))*$E47)</f>
        <v>0</v>
      </c>
      <c r="AD47" s="65">
        <f>IF(VLOOKUP($D47,$C$5:$AU$501,3,)=0,0,(VLOOKUP($D47,$C$5:$AU$501,28,)/VLOOKUP($D47,$C$5:$AU$501,3,))*$E47)</f>
        <v>0</v>
      </c>
      <c r="AE47" s="65">
        <f>IF(VLOOKUP($D47,$C$5:$AU$501,3,)=0,0,(VLOOKUP($D47,$C$5:$AU$501,29,)/VLOOKUP($D47,$C$5:$AU$501,3,))*$E47)</f>
        <v>0</v>
      </c>
      <c r="AF47" s="65">
        <f>IF(VLOOKUP($D47,$C$5:$AU$501,3,)=0,0,(VLOOKUP($D47,$C$5:$AU$501,30,)/VLOOKUP($D47,$C$5:$AU$501,3,))*$E47)</f>
        <v>0</v>
      </c>
      <c r="AG47" s="90">
        <f>SUM(F47:AF47)</f>
        <v>0</v>
      </c>
      <c r="AH47" s="29" t="str">
        <f>IF(ABS(E47-AG47)&lt;0.01,"ok","err")</f>
        <v>ok</v>
      </c>
    </row>
    <row r="48" spans="1:35" x14ac:dyDescent="0.2">
      <c r="A48" s="93" t="s">
        <v>212</v>
      </c>
      <c r="C48" s="14" t="s">
        <v>238</v>
      </c>
      <c r="D48" s="14" t="s">
        <v>666</v>
      </c>
      <c r="E48" s="255">
        <f>'Func &amp; Classif'!I126</f>
        <v>0</v>
      </c>
      <c r="F48" s="65">
        <f>IF(VLOOKUP($D48,$C$5:$AU$501,3,)=0,0,(VLOOKUP($D48,$C$5:$AU$501,4,)/VLOOKUP($D48,$C$5:$AU$501,3,))*$E48)</f>
        <v>0</v>
      </c>
      <c r="G48" s="65">
        <f>IF(VLOOKUP($D48,$C$5:$AU$501,3,)=0,0,(VLOOKUP($D48,$C$5:$AU$501,5,)/VLOOKUP($D48,$C$5:$AU$501,3,))*$E48)</f>
        <v>0</v>
      </c>
      <c r="H48" s="65">
        <f>IF(VLOOKUP($D48,$C$5:$AU$501,3,)=0,0,(VLOOKUP($D48,$C$5:$AU$501,6,)/VLOOKUP($D48,$C$5:$AU$501,3,))*$E48)</f>
        <v>0</v>
      </c>
      <c r="I48" s="65">
        <f>IF(VLOOKUP($D48,$C$5:$AU$501,3,)=0,0,(VLOOKUP($D48,$C$5:$AU$501,7,)/VLOOKUP($D48,$C$5:$AU$501,3,))*$E48)</f>
        <v>0</v>
      </c>
      <c r="J48" s="65">
        <f>IF(VLOOKUP($D48,$C$5:$AU$501,3,)=0,0,(VLOOKUP($D48,$C$5:$AU$501,8,)/VLOOKUP($D48,$C$5:$AU$501,3,))*$E48)</f>
        <v>0</v>
      </c>
      <c r="K48" s="65">
        <f>IF(VLOOKUP($D48,$C$5:$AU$501,3,)=0,0,(VLOOKUP($D48,$C$5:$AU$501,9,)/VLOOKUP($D48,$C$5:$AU$501,3,))*$E48)</f>
        <v>0</v>
      </c>
      <c r="L48" s="65">
        <f>IF(VLOOKUP($D48,$C$5:$AU$501,3,)=0,0,(VLOOKUP($D48,$C$5:$AU$501,10,)/VLOOKUP($D48,$C$5:$AU$501,3,))*$E48)</f>
        <v>0</v>
      </c>
      <c r="M48" s="65">
        <f>IF(VLOOKUP($D48,$C$5:$AU$501,3,)=0,0,(VLOOKUP($D48,$C$5:$AU$501,11,)/VLOOKUP($D48,$C$5:$AU$501,3,))*$E48)</f>
        <v>0</v>
      </c>
      <c r="N48" s="65">
        <f>IF(VLOOKUP($D48,$C$5:$AU$501,3,)=0,0,(VLOOKUP($D48,$C$5:$AU$501,12,)/VLOOKUP($D48,$C$5:$AU$501,3,))*$E48)</f>
        <v>0</v>
      </c>
      <c r="O48" s="65">
        <f>IF(VLOOKUP($D48,$C$5:$AU$501,3,)=0,0,(VLOOKUP($D48,$C$5:$AU$501,13,)/VLOOKUP($D48,$C$5:$AU$501,3,))*$E48)</f>
        <v>0</v>
      </c>
      <c r="P48" s="65">
        <f>IF(VLOOKUP($D48,$C$5:$AU$501,3,)=0,0,(VLOOKUP($D48,$C$5:$AU$501,14,)/VLOOKUP($D48,$C$5:$AU$501,3,))*$E48)</f>
        <v>0</v>
      </c>
      <c r="Q48" s="65">
        <f>IF(VLOOKUP($D48,$C$5:$AU$501,3,)=0,0,(VLOOKUP($D48,$C$5:$AU$501,15,)/VLOOKUP($D48,$C$5:$AU$501,3,))*$E48)</f>
        <v>0</v>
      </c>
      <c r="R48" s="65">
        <f>IF(VLOOKUP($D48,$C$5:$AU$501,3,)=0,0,(VLOOKUP($D48,$C$5:$AU$501,16,)/VLOOKUP($D48,$C$5:$AU$501,3,))*$E48)</f>
        <v>0</v>
      </c>
      <c r="S48" s="65">
        <f>IF(VLOOKUP($D48,$C$5:$AU$501,3,)=0,0,(VLOOKUP($D48,$C$5:$AU$501,17,)/VLOOKUP($D48,$C$5:$AU$501,3,))*$E48)</f>
        <v>0</v>
      </c>
      <c r="T48" s="65">
        <f>IF(VLOOKUP($D48,$C$5:$AU$501,3,)=0,0,(VLOOKUP($D48,$C$5:$AU$501,18,)/VLOOKUP($D48,$C$5:$AU$501,3,))*$E48)</f>
        <v>0</v>
      </c>
      <c r="U48" s="65">
        <f>IF(VLOOKUP($D48,$C$5:$AU$501,3,)=0,0,(VLOOKUP($D48,$C$5:$AU$501,19,)/VLOOKUP($D48,$C$5:$AU$501,3,))*$E48)</f>
        <v>0</v>
      </c>
      <c r="V48" s="65">
        <f>IF(VLOOKUP($D48,$C$5:$AU$501,3,)=0,0,(VLOOKUP($D48,$C$5:$AU$501,20,)/VLOOKUP($D48,$C$5:$AU$501,3,))*$E48)</f>
        <v>0</v>
      </c>
      <c r="W48" s="65">
        <f>IF(VLOOKUP($D48,$C$5:$AU$501,3,)=0,0,(VLOOKUP($D48,$C$5:$AU$501,21,)/VLOOKUP($D48,$C$5:$AU$501,3,))*$E48)</f>
        <v>0</v>
      </c>
      <c r="X48" s="65">
        <f>IF(VLOOKUP($D48,$C$5:$AU$501,3,)=0,0,(VLOOKUP($D48,$C$5:$AU$501,22,)/VLOOKUP($D48,$C$5:$AU$501,3,))*$E48)</f>
        <v>0</v>
      </c>
      <c r="Y48" s="65">
        <f>IF(VLOOKUP($D48,$C$5:$AU$501,3,)=0,0,(VLOOKUP($D48,$C$5:$AU$501,23,)/VLOOKUP($D48,$C$5:$AU$501,3,))*$E48)</f>
        <v>0</v>
      </c>
      <c r="Z48" s="65">
        <f>IF(VLOOKUP($D48,$C$5:$AU$501,3,)=0,0,(VLOOKUP($D48,$C$5:$AU$501,24,)/VLOOKUP($D48,$C$5:$AU$501,3,))*$E48)</f>
        <v>0</v>
      </c>
      <c r="AA48" s="65">
        <f>IF(VLOOKUP($D48,$C$5:$AU$501,3,)=0,0,(VLOOKUP($D48,$C$5:$AU$501,25,)/VLOOKUP($D48,$C$5:$AU$501,3,))*$E48)</f>
        <v>0</v>
      </c>
      <c r="AB48" s="65">
        <f>IF(VLOOKUP($D48,$C$5:$AU$501,3,)=0,0,(VLOOKUP($D48,$C$5:$AU$501,26,)/VLOOKUP($D48,$C$5:$AU$501,3,))*$E48)</f>
        <v>0</v>
      </c>
      <c r="AC48" s="65">
        <f>IF(VLOOKUP($D48,$C$5:$AU$501,3,)=0,0,(VLOOKUP($D48,$C$5:$AU$501,27,)/VLOOKUP($D48,$C$5:$AU$501,3,))*$E48)</f>
        <v>0</v>
      </c>
      <c r="AD48" s="65">
        <f>IF(VLOOKUP($D48,$C$5:$AU$501,3,)=0,0,(VLOOKUP($D48,$C$5:$AU$501,28,)/VLOOKUP($D48,$C$5:$AU$501,3,))*$E48)</f>
        <v>0</v>
      </c>
      <c r="AE48" s="65">
        <f>IF(VLOOKUP($D48,$C$5:$AU$501,3,)=0,0,(VLOOKUP($D48,$C$5:$AU$501,29,)/VLOOKUP($D48,$C$5:$AU$501,3,))*$E48)</f>
        <v>0</v>
      </c>
      <c r="AF48" s="65">
        <f>IF(VLOOKUP($D48,$C$5:$AU$501,3,)=0,0,(VLOOKUP($D48,$C$5:$AU$501,30,)/VLOOKUP($D48,$C$5:$AU$501,3,))*$E48)</f>
        <v>0</v>
      </c>
      <c r="AG48" s="90">
        <f>SUM(F48:AF48)</f>
        <v>0</v>
      </c>
      <c r="AH48" s="29" t="str">
        <f>IF(ABS(E48-AG48)&lt;0.01,"ok","err")</f>
        <v>ok</v>
      </c>
    </row>
    <row r="49" spans="1:34" x14ac:dyDescent="0.2">
      <c r="A49" s="14" t="s">
        <v>215</v>
      </c>
      <c r="C49" s="14" t="s">
        <v>239</v>
      </c>
      <c r="E49" s="255">
        <f t="shared" ref="E49:T49" si="8">E47+E48</f>
        <v>0</v>
      </c>
      <c r="F49" s="65">
        <f t="shared" si="8"/>
        <v>0</v>
      </c>
      <c r="G49" s="65">
        <f t="shared" si="8"/>
        <v>0</v>
      </c>
      <c r="H49" s="65">
        <f t="shared" si="8"/>
        <v>0</v>
      </c>
      <c r="I49" s="65">
        <f t="shared" si="8"/>
        <v>0</v>
      </c>
      <c r="J49" s="65">
        <f t="shared" si="8"/>
        <v>0</v>
      </c>
      <c r="K49" s="65">
        <f t="shared" si="8"/>
        <v>0</v>
      </c>
      <c r="L49" s="65">
        <f t="shared" si="8"/>
        <v>0</v>
      </c>
      <c r="M49" s="65">
        <f t="shared" si="8"/>
        <v>0</v>
      </c>
      <c r="N49" s="65">
        <f t="shared" si="8"/>
        <v>0</v>
      </c>
      <c r="O49" s="65">
        <f t="shared" si="8"/>
        <v>0</v>
      </c>
      <c r="P49" s="65">
        <f t="shared" si="8"/>
        <v>0</v>
      </c>
      <c r="Q49" s="65">
        <f t="shared" si="8"/>
        <v>0</v>
      </c>
      <c r="R49" s="65">
        <f t="shared" si="8"/>
        <v>0</v>
      </c>
      <c r="S49" s="65">
        <f t="shared" si="8"/>
        <v>0</v>
      </c>
      <c r="T49" s="65">
        <f t="shared" si="8"/>
        <v>0</v>
      </c>
      <c r="U49" s="65">
        <f t="shared" ref="U49:AF49" si="9">U47+U48</f>
        <v>0</v>
      </c>
      <c r="V49" s="65">
        <f t="shared" si="9"/>
        <v>0</v>
      </c>
      <c r="W49" s="65">
        <f t="shared" si="9"/>
        <v>0</v>
      </c>
      <c r="X49" s="65">
        <f t="shared" si="9"/>
        <v>0</v>
      </c>
      <c r="Y49" s="65">
        <f t="shared" si="9"/>
        <v>0</v>
      </c>
      <c r="Z49" s="65">
        <f t="shared" si="9"/>
        <v>0</v>
      </c>
      <c r="AA49" s="65">
        <f t="shared" si="9"/>
        <v>0</v>
      </c>
      <c r="AB49" s="65">
        <f t="shared" si="9"/>
        <v>0</v>
      </c>
      <c r="AC49" s="65">
        <f t="shared" si="9"/>
        <v>0</v>
      </c>
      <c r="AD49" s="65">
        <f t="shared" si="9"/>
        <v>0</v>
      </c>
      <c r="AE49" s="65">
        <f t="shared" si="9"/>
        <v>0</v>
      </c>
      <c r="AF49" s="65">
        <f t="shared" si="9"/>
        <v>0</v>
      </c>
      <c r="AG49" s="90">
        <f>SUM(F49:AF49)</f>
        <v>0</v>
      </c>
      <c r="AH49" s="29" t="str">
        <f>IF(ABS(E49-AG49)&lt;0.01,"ok","err")</f>
        <v>ok</v>
      </c>
    </row>
    <row r="50" spans="1:34" x14ac:dyDescent="0.2">
      <c r="E50" s="255"/>
      <c r="F50" s="49"/>
    </row>
    <row r="51" spans="1:34" x14ac:dyDescent="0.2">
      <c r="A51" s="13" t="s">
        <v>350</v>
      </c>
      <c r="E51" s="255"/>
      <c r="F51" s="49"/>
    </row>
    <row r="52" spans="1:34" x14ac:dyDescent="0.2">
      <c r="A52" s="93" t="s">
        <v>209</v>
      </c>
      <c r="C52" s="14" t="s">
        <v>885</v>
      </c>
      <c r="D52" s="14" t="s">
        <v>599</v>
      </c>
      <c r="E52" s="254">
        <f>'Func &amp; Classif'!K126</f>
        <v>0</v>
      </c>
      <c r="F52" s="65">
        <f>IF(VLOOKUP($D52,$C$5:$AU$501,3,)=0,0,(VLOOKUP($D52,$C$5:$AU$501,4,)/VLOOKUP($D52,$C$5:$AU$501,3,))*$E52)</f>
        <v>0</v>
      </c>
      <c r="G52" s="65">
        <f>IF(VLOOKUP($D52,$C$5:$AU$501,3,)=0,0,(VLOOKUP($D52,$C$5:$AU$501,5,)/VLOOKUP($D52,$C$5:$AU$501,3,))*$E52)</f>
        <v>0</v>
      </c>
      <c r="H52" s="65">
        <f>IF(VLOOKUP($D52,$C$5:$AU$501,3,)=0,0,(VLOOKUP($D52,$C$5:$AU$501,6,)/VLOOKUP($D52,$C$5:$AU$501,3,))*$E52)</f>
        <v>0</v>
      </c>
      <c r="I52" s="65">
        <f>IF(VLOOKUP($D52,$C$5:$AU$501,3,)=0,0,(VLOOKUP($D52,$C$5:$AU$501,7,)/VLOOKUP($D52,$C$5:$AU$501,3,))*$E52)</f>
        <v>0</v>
      </c>
      <c r="J52" s="65">
        <f>IF(VLOOKUP($D52,$C$5:$AU$501,3,)=0,0,(VLOOKUP($D52,$C$5:$AU$501,8,)/VLOOKUP($D52,$C$5:$AU$501,3,))*$E52)</f>
        <v>0</v>
      </c>
      <c r="K52" s="65">
        <f>IF(VLOOKUP($D52,$C$5:$AU$501,3,)=0,0,(VLOOKUP($D52,$C$5:$AU$501,9,)/VLOOKUP($D52,$C$5:$AU$501,3,))*$E52)</f>
        <v>0</v>
      </c>
      <c r="L52" s="65">
        <f>IF(VLOOKUP($D52,$C$5:$AU$501,3,)=0,0,(VLOOKUP($D52,$C$5:$AU$501,10,)/VLOOKUP($D52,$C$5:$AU$501,3,))*$E52)</f>
        <v>0</v>
      </c>
      <c r="M52" s="65">
        <f>IF(VLOOKUP($D52,$C$5:$AU$501,3,)=0,0,(VLOOKUP($D52,$C$5:$AU$501,11,)/VLOOKUP($D52,$C$5:$AU$501,3,))*$E52)</f>
        <v>0</v>
      </c>
      <c r="N52" s="65">
        <f>IF(VLOOKUP($D52,$C$5:$AU$501,3,)=0,0,(VLOOKUP($D52,$C$5:$AU$501,12,)/VLOOKUP($D52,$C$5:$AU$501,3,))*$E52)</f>
        <v>0</v>
      </c>
      <c r="O52" s="65">
        <f>IF(VLOOKUP($D52,$C$5:$AU$501,3,)=0,0,(VLOOKUP($D52,$C$5:$AU$501,13,)/VLOOKUP($D52,$C$5:$AU$501,3,))*$E52)</f>
        <v>0</v>
      </c>
      <c r="P52" s="65">
        <f>IF(VLOOKUP($D52,$C$5:$AU$501,3,)=0,0,(VLOOKUP($D52,$C$5:$AU$501,14,)/VLOOKUP($D52,$C$5:$AU$501,3,))*$E52)</f>
        <v>0</v>
      </c>
      <c r="Q52" s="65">
        <f>IF(VLOOKUP($D52,$C$5:$AU$501,3,)=0,0,(VLOOKUP($D52,$C$5:$AU$501,15,)/VLOOKUP($D52,$C$5:$AU$501,3,))*$E52)</f>
        <v>0</v>
      </c>
      <c r="R52" s="65">
        <f>IF(VLOOKUP($D52,$C$5:$AU$501,3,)=0,0,(VLOOKUP($D52,$C$5:$AU$501,16,)/VLOOKUP($D52,$C$5:$AU$501,3,))*$E52)</f>
        <v>0</v>
      </c>
      <c r="S52" s="65">
        <f>IF(VLOOKUP($D52,$C$5:$AU$501,3,)=0,0,(VLOOKUP($D52,$C$5:$AU$501,17,)/VLOOKUP($D52,$C$5:$AU$501,3,))*$E52)</f>
        <v>0</v>
      </c>
      <c r="T52" s="65">
        <f>IF(VLOOKUP($D52,$C$5:$AU$501,3,)=0,0,(VLOOKUP($D52,$C$5:$AU$501,18,)/VLOOKUP($D52,$C$5:$AU$501,3,))*$E52)</f>
        <v>0</v>
      </c>
      <c r="U52" s="65">
        <f>IF(VLOOKUP($D52,$C$5:$AU$501,3,)=0,0,(VLOOKUP($D52,$C$5:$AU$501,19,)/VLOOKUP($D52,$C$5:$AU$501,3,))*$E52)</f>
        <v>0</v>
      </c>
      <c r="V52" s="65">
        <f>IF(VLOOKUP($D52,$C$5:$AU$501,3,)=0,0,(VLOOKUP($D52,$C$5:$AU$501,20,)/VLOOKUP($D52,$C$5:$AU$501,3,))*$E52)</f>
        <v>0</v>
      </c>
      <c r="W52" s="65">
        <f>IF(VLOOKUP($D52,$C$5:$AU$501,3,)=0,0,(VLOOKUP($D52,$C$5:$AU$501,21,)/VLOOKUP($D52,$C$5:$AU$501,3,))*$E52)</f>
        <v>0</v>
      </c>
      <c r="X52" s="65">
        <f>IF(VLOOKUP($D52,$C$5:$AU$501,3,)=0,0,(VLOOKUP($D52,$C$5:$AU$501,22,)/VLOOKUP($D52,$C$5:$AU$501,3,))*$E52)</f>
        <v>0</v>
      </c>
      <c r="Y52" s="65">
        <f>IF(VLOOKUP($D52,$C$5:$AU$501,3,)=0,0,(VLOOKUP($D52,$C$5:$AU$501,23,)/VLOOKUP($D52,$C$5:$AU$501,3,))*$E52)</f>
        <v>0</v>
      </c>
      <c r="Z52" s="65">
        <f>IF(VLOOKUP($D52,$C$5:$AU$501,3,)=0,0,(VLOOKUP($D52,$C$5:$AU$501,24,)/VLOOKUP($D52,$C$5:$AU$501,3,))*$E52)</f>
        <v>0</v>
      </c>
      <c r="AA52" s="65">
        <f>IF(VLOOKUP($D52,$C$5:$AU$501,3,)=0,0,(VLOOKUP($D52,$C$5:$AU$501,25,)/VLOOKUP($D52,$C$5:$AU$501,3,))*$E52)</f>
        <v>0</v>
      </c>
      <c r="AB52" s="65">
        <f>IF(VLOOKUP($D52,$C$5:$AU$501,3,)=0,0,(VLOOKUP($D52,$C$5:$AU$501,26,)/VLOOKUP($D52,$C$5:$AU$501,3,))*$E52)</f>
        <v>0</v>
      </c>
      <c r="AC52" s="65">
        <f>IF(VLOOKUP($D52,$C$5:$AU$501,3,)=0,0,(VLOOKUP($D52,$C$5:$AU$501,27,)/VLOOKUP($D52,$C$5:$AU$501,3,))*$E52)</f>
        <v>0</v>
      </c>
      <c r="AD52" s="65">
        <f>IF(VLOOKUP($D52,$C$5:$AU$501,3,)=0,0,(VLOOKUP($D52,$C$5:$AU$501,28,)/VLOOKUP($D52,$C$5:$AU$501,3,))*$E52)</f>
        <v>0</v>
      </c>
      <c r="AE52" s="65">
        <f>IF(VLOOKUP($D52,$C$5:$AU$501,3,)=0,0,(VLOOKUP($D52,$C$5:$AU$501,29,)/VLOOKUP($D52,$C$5:$AU$501,3,))*$E52)</f>
        <v>0</v>
      </c>
      <c r="AF52" s="65">
        <f>IF(VLOOKUP($D52,$C$5:$AU$501,3,)=0,0,(VLOOKUP($D52,$C$5:$AU$501,30,)/VLOOKUP($D52,$C$5:$AU$501,3,))*$E52)</f>
        <v>0</v>
      </c>
      <c r="AG52" s="90">
        <f>SUM(F52:AF52)</f>
        <v>0</v>
      </c>
      <c r="AH52" s="29" t="str">
        <f>IF(ABS(E52-AG52)&lt;0.01,"ok","err")</f>
        <v>ok</v>
      </c>
    </row>
    <row r="53" spans="1:34" x14ac:dyDescent="0.2">
      <c r="E53" s="255"/>
    </row>
    <row r="54" spans="1:34" x14ac:dyDescent="0.2">
      <c r="A54" s="13" t="s">
        <v>1</v>
      </c>
      <c r="E54" s="255"/>
      <c r="F54" s="49"/>
    </row>
    <row r="55" spans="1:34" x14ac:dyDescent="0.2">
      <c r="A55" s="93" t="s">
        <v>209</v>
      </c>
      <c r="C55" s="14" t="s">
        <v>240</v>
      </c>
      <c r="D55" s="14" t="s">
        <v>615</v>
      </c>
      <c r="E55" s="254">
        <f>'Func &amp; Classif'!M126</f>
        <v>19436149.795983654</v>
      </c>
      <c r="F55" s="65">
        <f>IF(VLOOKUP($D55,$C$5:$AU$501,3,)=0,0,(VLOOKUP($D55,$C$5:$AU$501,4,)/VLOOKUP($D55,$C$5:$AU$501,3,))*$E55)</f>
        <v>14725108.194698276</v>
      </c>
      <c r="G55" s="65">
        <f>IF(VLOOKUP($D55,$C$5:$AU$501,3,)=0,0,(VLOOKUP($D55,$C$5:$AU$501,5,)/VLOOKUP($D55,$C$5:$AU$501,3,))*$E55)</f>
        <v>1308690.5044075064</v>
      </c>
      <c r="H55" s="65">
        <f>IF(VLOOKUP($D55,$C$5:$AU$501,3,)=0,0,(VLOOKUP($D55,$C$5:$AU$501,6,)/VLOOKUP($D55,$C$5:$AU$501,3,))*$E55)</f>
        <v>2682983.6275429311</v>
      </c>
      <c r="I55" s="65">
        <f>IF(VLOOKUP($D55,$C$5:$AU$501,3,)=0,0,(VLOOKUP($D55,$C$5:$AU$501,7,)/VLOOKUP($D55,$C$5:$AU$501,3,))*$E55)</f>
        <v>37895.00140555761</v>
      </c>
      <c r="J55" s="65">
        <f>IF(VLOOKUP($D55,$C$5:$AU$501,3,)=0,0,(VLOOKUP($D55,$C$5:$AU$501,8,)/VLOOKUP($D55,$C$5:$AU$501,3,))*$E55)</f>
        <v>386016.88874109823</v>
      </c>
      <c r="K55" s="65">
        <f>IF(VLOOKUP($D55,$C$5:$AU$501,3,)=0,0,(VLOOKUP($D55,$C$5:$AU$501,9,)/VLOOKUP($D55,$C$5:$AU$501,3,))*$E55)</f>
        <v>267776.57991940959</v>
      </c>
      <c r="L55" s="65">
        <f>IF(VLOOKUP($D55,$C$5:$AU$501,3,)=0,0,(VLOOKUP($D55,$C$5:$AU$501,10,)/VLOOKUP($D55,$C$5:$AU$501,3,))*$E55)</f>
        <v>27678.999268874362</v>
      </c>
      <c r="M55" s="65">
        <f>IF(VLOOKUP($D55,$C$5:$AU$501,3,)=0,0,(VLOOKUP($D55,$C$5:$AU$501,11,)/VLOOKUP($D55,$C$5:$AU$501,3,))*$E55)</f>
        <v>0</v>
      </c>
      <c r="N55" s="65">
        <f>IF(VLOOKUP($D55,$C$5:$AU$501,3,)=0,0,(VLOOKUP($D55,$C$5:$AU$501,12,)/VLOOKUP($D55,$C$5:$AU$501,3,))*$E55)</f>
        <v>0</v>
      </c>
      <c r="O55" s="65">
        <f>IF(VLOOKUP($D55,$C$5:$AU$501,3,)=0,0,(VLOOKUP($D55,$C$5:$AU$501,13,)/VLOOKUP($D55,$C$5:$AU$501,3,))*$E55)</f>
        <v>0</v>
      </c>
      <c r="P55" s="65">
        <f>IF(VLOOKUP($D55,$C$5:$AU$501,3,)=0,0,(VLOOKUP($D55,$C$5:$AU$501,14,)/VLOOKUP($D55,$C$5:$AU$501,3,))*$E55)</f>
        <v>0</v>
      </c>
      <c r="Q55" s="65">
        <f>IF(VLOOKUP($D55,$C$5:$AU$501,3,)=0,0,(VLOOKUP($D55,$C$5:$AU$501,15,)/VLOOKUP($D55,$C$5:$AU$501,3,))*$E55)</f>
        <v>0</v>
      </c>
      <c r="R55" s="65">
        <f>IF(VLOOKUP($D55,$C$5:$AU$501,3,)=0,0,(VLOOKUP($D55,$C$5:$AU$501,16,)/VLOOKUP($D55,$C$5:$AU$501,3,))*$E55)</f>
        <v>0</v>
      </c>
      <c r="S55" s="65">
        <f>IF(VLOOKUP($D55,$C$5:$AU$501,3,)=0,0,(VLOOKUP($D55,$C$5:$AU$501,17,)/VLOOKUP($D55,$C$5:$AU$501,3,))*$E55)</f>
        <v>0</v>
      </c>
      <c r="T55" s="65">
        <f>IF(VLOOKUP($D55,$C$5:$AU$501,3,)=0,0,(VLOOKUP($D55,$C$5:$AU$501,18,)/VLOOKUP($D55,$C$5:$AU$501,3,))*$E55)</f>
        <v>0</v>
      </c>
      <c r="U55" s="65">
        <f>IF(VLOOKUP($D55,$C$5:$AU$501,3,)=0,0,(VLOOKUP($D55,$C$5:$AU$501,19,)/VLOOKUP($D55,$C$5:$AU$501,3,))*$E55)</f>
        <v>0</v>
      </c>
      <c r="V55" s="65">
        <f>IF(VLOOKUP($D55,$C$5:$AU$501,3,)=0,0,(VLOOKUP($D55,$C$5:$AU$501,20,)/VLOOKUP($D55,$C$5:$AU$501,3,))*$E55)</f>
        <v>0</v>
      </c>
      <c r="W55" s="65">
        <f>IF(VLOOKUP($D55,$C$5:$AU$501,3,)=0,0,(VLOOKUP($D55,$C$5:$AU$501,21,)/VLOOKUP($D55,$C$5:$AU$501,3,))*$E55)</f>
        <v>0</v>
      </c>
      <c r="X55" s="65">
        <f>IF(VLOOKUP($D55,$C$5:$AU$501,3,)=0,0,(VLOOKUP($D55,$C$5:$AU$501,22,)/VLOOKUP($D55,$C$5:$AU$501,3,))*$E55)</f>
        <v>0</v>
      </c>
      <c r="Y55" s="65">
        <f>IF(VLOOKUP($D55,$C$5:$AU$501,3,)=0,0,(VLOOKUP($D55,$C$5:$AU$501,23,)/VLOOKUP($D55,$C$5:$AU$501,3,))*$E55)</f>
        <v>0</v>
      </c>
      <c r="Z55" s="65">
        <f>IF(VLOOKUP($D55,$C$5:$AU$501,3,)=0,0,(VLOOKUP($D55,$C$5:$AU$501,24,)/VLOOKUP($D55,$C$5:$AU$501,3,))*$E55)</f>
        <v>0</v>
      </c>
      <c r="AA55" s="65">
        <f>IF(VLOOKUP($D55,$C$5:$AU$501,3,)=0,0,(VLOOKUP($D55,$C$5:$AU$501,25,)/VLOOKUP($D55,$C$5:$AU$501,3,))*$E55)</f>
        <v>0</v>
      </c>
      <c r="AB55" s="65">
        <f>IF(VLOOKUP($D55,$C$5:$AU$501,3,)=0,0,(VLOOKUP($D55,$C$5:$AU$501,26,)/VLOOKUP($D55,$C$5:$AU$501,3,))*$E55)</f>
        <v>0</v>
      </c>
      <c r="AC55" s="65">
        <f>IF(VLOOKUP($D55,$C$5:$AU$501,3,)=0,0,(VLOOKUP($D55,$C$5:$AU$501,27,)/VLOOKUP($D55,$C$5:$AU$501,3,))*$E55)</f>
        <v>0</v>
      </c>
      <c r="AD55" s="65">
        <f>IF(VLOOKUP($D55,$C$5:$AU$501,3,)=0,0,(VLOOKUP($D55,$C$5:$AU$501,28,)/VLOOKUP($D55,$C$5:$AU$501,3,))*$E55)</f>
        <v>0</v>
      </c>
      <c r="AE55" s="65">
        <f>IF(VLOOKUP($D55,$C$5:$AU$501,3,)=0,0,(VLOOKUP($D55,$C$5:$AU$501,29,)/VLOOKUP($D55,$C$5:$AU$501,3,))*$E55)</f>
        <v>0</v>
      </c>
      <c r="AF55" s="65">
        <f>IF(VLOOKUP($D55,$C$5:$AU$501,3,)=0,0,(VLOOKUP($D55,$C$5:$AU$501,30,)/VLOOKUP($D55,$C$5:$AU$501,3,))*$E55)</f>
        <v>0</v>
      </c>
      <c r="AG55" s="90">
        <f>SUM(F55:AF55)</f>
        <v>19436149.79598365</v>
      </c>
      <c r="AH55" s="29" t="str">
        <f>IF(ABS(E55-AG55)&lt;0.01,"ok","err")</f>
        <v>ok</v>
      </c>
    </row>
    <row r="56" spans="1:34" x14ac:dyDescent="0.2">
      <c r="E56" s="255"/>
    </row>
    <row r="57" spans="1:34" x14ac:dyDescent="0.2">
      <c r="A57" s="13" t="s">
        <v>2</v>
      </c>
      <c r="E57" s="255"/>
    </row>
    <row r="58" spans="1:34" x14ac:dyDescent="0.2">
      <c r="A58" s="93" t="s">
        <v>209</v>
      </c>
      <c r="C58" s="14" t="s">
        <v>241</v>
      </c>
      <c r="D58" s="14" t="s">
        <v>607</v>
      </c>
      <c r="E58" s="254">
        <f>'Func &amp; Classif'!O126</f>
        <v>42260749.51327499</v>
      </c>
      <c r="F58" s="65">
        <f>IF(VLOOKUP($D58,$C$5:$AU$501,3,)=0,0,(VLOOKUP($D58,$C$5:$AU$501,4,)/VLOOKUP($D58,$C$5:$AU$501,3,))*$E58)</f>
        <v>35607694.856247872</v>
      </c>
      <c r="G58" s="65">
        <f>IF(VLOOKUP($D58,$C$5:$AU$501,3,)=0,0,(VLOOKUP($D58,$C$5:$AU$501,5,)/VLOOKUP($D58,$C$5:$AU$501,3,))*$E58)</f>
        <v>2169017.2172825877</v>
      </c>
      <c r="H58" s="65">
        <f>IF(VLOOKUP($D58,$C$5:$AU$501,3,)=0,0,(VLOOKUP($D58,$C$5:$AU$501,6,)/VLOOKUP($D58,$C$5:$AU$501,3,))*$E58)</f>
        <v>3425780.7786633172</v>
      </c>
      <c r="I58" s="65">
        <f>IF(VLOOKUP($D58,$C$5:$AU$501,3,)=0,0,(VLOOKUP($D58,$C$5:$AU$501,7,)/VLOOKUP($D58,$C$5:$AU$501,3,))*$E58)</f>
        <v>46694.857307537255</v>
      </c>
      <c r="J58" s="65">
        <f>IF(VLOOKUP($D58,$C$5:$AU$501,3,)=0,0,(VLOOKUP($D58,$C$5:$AU$501,8,)/VLOOKUP($D58,$C$5:$AU$501,3,))*$E58)</f>
        <v>582045.18163994793</v>
      </c>
      <c r="K58" s="65">
        <f>IF(VLOOKUP($D58,$C$5:$AU$501,3,)=0,0,(VLOOKUP($D58,$C$5:$AU$501,9,)/VLOOKUP($D58,$C$5:$AU$501,3,))*$E58)</f>
        <v>389136.18154929474</v>
      </c>
      <c r="L58" s="65">
        <f>IF(VLOOKUP($D58,$C$5:$AU$501,3,)=0,0,(VLOOKUP($D58,$C$5:$AU$501,10,)/VLOOKUP($D58,$C$5:$AU$501,3,))*$E58)</f>
        <v>40380.440584435091</v>
      </c>
      <c r="M58" s="65">
        <f>IF(VLOOKUP($D58,$C$5:$AU$501,3,)=0,0,(VLOOKUP($D58,$C$5:$AU$501,11,)/VLOOKUP($D58,$C$5:$AU$501,3,))*$E58)</f>
        <v>0</v>
      </c>
      <c r="N58" s="65">
        <f>IF(VLOOKUP($D58,$C$5:$AU$501,3,)=0,0,(VLOOKUP($D58,$C$5:$AU$501,12,)/VLOOKUP($D58,$C$5:$AU$501,3,))*$E58)</f>
        <v>0</v>
      </c>
      <c r="O58" s="65">
        <f>IF(VLOOKUP($D58,$C$5:$AU$501,3,)=0,0,(VLOOKUP($D58,$C$5:$AU$501,13,)/VLOOKUP($D58,$C$5:$AU$501,3,))*$E58)</f>
        <v>0</v>
      </c>
      <c r="P58" s="65">
        <f>IF(VLOOKUP($D58,$C$5:$AU$501,3,)=0,0,(VLOOKUP($D58,$C$5:$AU$501,14,)/VLOOKUP($D58,$C$5:$AU$501,3,))*$E58)</f>
        <v>0</v>
      </c>
      <c r="Q58" s="65">
        <f>IF(VLOOKUP($D58,$C$5:$AU$501,3,)=0,0,(VLOOKUP($D58,$C$5:$AU$501,15,)/VLOOKUP($D58,$C$5:$AU$501,3,))*$E58)</f>
        <v>0</v>
      </c>
      <c r="R58" s="65">
        <f>IF(VLOOKUP($D58,$C$5:$AU$501,3,)=0,0,(VLOOKUP($D58,$C$5:$AU$501,16,)/VLOOKUP($D58,$C$5:$AU$501,3,))*$E58)</f>
        <v>0</v>
      </c>
      <c r="S58" s="65">
        <f>IF(VLOOKUP($D58,$C$5:$AU$501,3,)=0,0,(VLOOKUP($D58,$C$5:$AU$501,17,)/VLOOKUP($D58,$C$5:$AU$501,3,))*$E58)</f>
        <v>0</v>
      </c>
      <c r="T58" s="65">
        <f>IF(VLOOKUP($D58,$C$5:$AU$501,3,)=0,0,(VLOOKUP($D58,$C$5:$AU$501,18,)/VLOOKUP($D58,$C$5:$AU$501,3,))*$E58)</f>
        <v>0</v>
      </c>
      <c r="U58" s="65">
        <f>IF(VLOOKUP($D58,$C$5:$AU$501,3,)=0,0,(VLOOKUP($D58,$C$5:$AU$501,19,)/VLOOKUP($D58,$C$5:$AU$501,3,))*$E58)</f>
        <v>0</v>
      </c>
      <c r="V58" s="65">
        <f>IF(VLOOKUP($D58,$C$5:$AU$501,3,)=0,0,(VLOOKUP($D58,$C$5:$AU$501,20,)/VLOOKUP($D58,$C$5:$AU$501,3,))*$E58)</f>
        <v>0</v>
      </c>
      <c r="W58" s="65">
        <f>IF(VLOOKUP($D58,$C$5:$AU$501,3,)=0,0,(VLOOKUP($D58,$C$5:$AU$501,21,)/VLOOKUP($D58,$C$5:$AU$501,3,))*$E58)</f>
        <v>0</v>
      </c>
      <c r="X58" s="65">
        <f>IF(VLOOKUP($D58,$C$5:$AU$501,3,)=0,0,(VLOOKUP($D58,$C$5:$AU$501,22,)/VLOOKUP($D58,$C$5:$AU$501,3,))*$E58)</f>
        <v>0</v>
      </c>
      <c r="Y58" s="65">
        <f>IF(VLOOKUP($D58,$C$5:$AU$501,3,)=0,0,(VLOOKUP($D58,$C$5:$AU$501,23,)/VLOOKUP($D58,$C$5:$AU$501,3,))*$E58)</f>
        <v>0</v>
      </c>
      <c r="Z58" s="65">
        <f>IF(VLOOKUP($D58,$C$5:$AU$501,3,)=0,0,(VLOOKUP($D58,$C$5:$AU$501,24,)/VLOOKUP($D58,$C$5:$AU$501,3,))*$E58)</f>
        <v>0</v>
      </c>
      <c r="AA58" s="65">
        <f>IF(VLOOKUP($D58,$C$5:$AU$501,3,)=0,0,(VLOOKUP($D58,$C$5:$AU$501,25,)/VLOOKUP($D58,$C$5:$AU$501,3,))*$E58)</f>
        <v>0</v>
      </c>
      <c r="AB58" s="65">
        <f>IF(VLOOKUP($D58,$C$5:$AU$501,3,)=0,0,(VLOOKUP($D58,$C$5:$AU$501,26,)/VLOOKUP($D58,$C$5:$AU$501,3,))*$E58)</f>
        <v>0</v>
      </c>
      <c r="AC58" s="65">
        <f>IF(VLOOKUP($D58,$C$5:$AU$501,3,)=0,0,(VLOOKUP($D58,$C$5:$AU$501,27,)/VLOOKUP($D58,$C$5:$AU$501,3,))*$E58)</f>
        <v>0</v>
      </c>
      <c r="AD58" s="65">
        <f>IF(VLOOKUP($D58,$C$5:$AU$501,3,)=0,0,(VLOOKUP($D58,$C$5:$AU$501,28,)/VLOOKUP($D58,$C$5:$AU$501,3,))*$E58)</f>
        <v>0</v>
      </c>
      <c r="AE58" s="65">
        <f>IF(VLOOKUP($D58,$C$5:$AU$501,3,)=0,0,(VLOOKUP($D58,$C$5:$AU$501,29,)/VLOOKUP($D58,$C$5:$AU$501,3,))*$E58)</f>
        <v>0</v>
      </c>
      <c r="AF58" s="65">
        <f>IF(VLOOKUP($D58,$C$5:$AU$501,3,)=0,0,(VLOOKUP($D58,$C$5:$AU$501,30,)/VLOOKUP($D58,$C$5:$AU$501,3,))*$E58)</f>
        <v>0</v>
      </c>
      <c r="AG58" s="90">
        <f>SUM(F58:AF58)</f>
        <v>42260749.51327499</v>
      </c>
      <c r="AH58" s="29" t="str">
        <f>IF(ABS(E58-AG58)&lt;0.01,"ok","err")</f>
        <v>ok</v>
      </c>
    </row>
    <row r="59" spans="1:34" x14ac:dyDescent="0.2">
      <c r="A59" s="93" t="s">
        <v>221</v>
      </c>
      <c r="C59" s="14" t="s">
        <v>242</v>
      </c>
      <c r="D59" s="14" t="s">
        <v>223</v>
      </c>
      <c r="E59" s="255">
        <f>'Func &amp; Classif'!P126</f>
        <v>72020953.01890339</v>
      </c>
      <c r="F59" s="65">
        <f>IF(VLOOKUP($D59,$C$5:$AU$501,3,)=0,0,(VLOOKUP($D59,$C$5:$AU$501,4,)/VLOOKUP($D59,$C$5:$AU$501,3,))*$E59)</f>
        <v>66918479.936237834</v>
      </c>
      <c r="G59" s="65">
        <f>IF(VLOOKUP($D59,$C$5:$AU$501,3,)=0,0,(VLOOKUP($D59,$C$5:$AU$501,5,)/VLOOKUP($D59,$C$5:$AU$501,3,))*$E59)</f>
        <v>4161813.286515886</v>
      </c>
      <c r="H59" s="65">
        <f>IF(VLOOKUP($D59,$C$5:$AU$501,3,)=0,0,(VLOOKUP($D59,$C$5:$AU$501,6,)/VLOOKUP($D59,$C$5:$AU$501,3,))*$E59)</f>
        <v>919763.0242877329</v>
      </c>
      <c r="I59" s="65">
        <f>IF(VLOOKUP($D59,$C$5:$AU$501,3,)=0,0,(VLOOKUP($D59,$C$5:$AU$501,7,)/VLOOKUP($D59,$C$5:$AU$501,3,))*$E59)</f>
        <v>9151.8708884351545</v>
      </c>
      <c r="J59" s="65">
        <f>IF(VLOOKUP($D59,$C$5:$AU$501,3,)=0,0,(VLOOKUP($D59,$C$5:$AU$501,8,)/VLOOKUP($D59,$C$5:$AU$501,3,))*$E59)</f>
        <v>11439.838610543942</v>
      </c>
      <c r="K59" s="65">
        <f>IF(VLOOKUP($D59,$C$5:$AU$501,3,)=0,0,(VLOOKUP($D59,$C$5:$AU$501,9,)/VLOOKUP($D59,$C$5:$AU$501,3,))*$E59)</f>
        <v>0</v>
      </c>
      <c r="L59" s="65">
        <f>IF(VLOOKUP($D59,$C$5:$AU$501,3,)=0,0,(VLOOKUP($D59,$C$5:$AU$501,10,)/VLOOKUP($D59,$C$5:$AU$501,3,))*$E59)</f>
        <v>305.06236294783844</v>
      </c>
      <c r="M59" s="65">
        <f>IF(VLOOKUP($D59,$C$5:$AU$501,3,)=0,0,(VLOOKUP($D59,$C$5:$AU$501,11,)/VLOOKUP($D59,$C$5:$AU$501,3,))*$E59)</f>
        <v>0</v>
      </c>
      <c r="N59" s="65">
        <f>IF(VLOOKUP($D59,$C$5:$AU$501,3,)=0,0,(VLOOKUP($D59,$C$5:$AU$501,12,)/VLOOKUP($D59,$C$5:$AU$501,3,))*$E59)</f>
        <v>0</v>
      </c>
      <c r="O59" s="65">
        <f>IF(VLOOKUP($D59,$C$5:$AU$501,3,)=0,0,(VLOOKUP($D59,$C$5:$AU$501,13,)/VLOOKUP($D59,$C$5:$AU$501,3,))*$E59)</f>
        <v>0</v>
      </c>
      <c r="P59" s="65">
        <f>IF(VLOOKUP($D59,$C$5:$AU$501,3,)=0,0,(VLOOKUP($D59,$C$5:$AU$501,14,)/VLOOKUP($D59,$C$5:$AU$501,3,))*$E59)</f>
        <v>0</v>
      </c>
      <c r="Q59" s="65">
        <f>IF(VLOOKUP($D59,$C$5:$AU$501,3,)=0,0,(VLOOKUP($D59,$C$5:$AU$501,15,)/VLOOKUP($D59,$C$5:$AU$501,3,))*$E59)</f>
        <v>0</v>
      </c>
      <c r="R59" s="65">
        <f>IF(VLOOKUP($D59,$C$5:$AU$501,3,)=0,0,(VLOOKUP($D59,$C$5:$AU$501,16,)/VLOOKUP($D59,$C$5:$AU$501,3,))*$E59)</f>
        <v>0</v>
      </c>
      <c r="S59" s="65">
        <f>IF(VLOOKUP($D59,$C$5:$AU$501,3,)=0,0,(VLOOKUP($D59,$C$5:$AU$501,17,)/VLOOKUP($D59,$C$5:$AU$501,3,))*$E59)</f>
        <v>0</v>
      </c>
      <c r="T59" s="65">
        <f>IF(VLOOKUP($D59,$C$5:$AU$501,3,)=0,0,(VLOOKUP($D59,$C$5:$AU$501,18,)/VLOOKUP($D59,$C$5:$AU$501,3,))*$E59)</f>
        <v>0</v>
      </c>
      <c r="U59" s="65">
        <f>IF(VLOOKUP($D59,$C$5:$AU$501,3,)=0,0,(VLOOKUP($D59,$C$5:$AU$501,19,)/VLOOKUP($D59,$C$5:$AU$501,3,))*$E59)</f>
        <v>0</v>
      </c>
      <c r="V59" s="65">
        <f>IF(VLOOKUP($D59,$C$5:$AU$501,3,)=0,0,(VLOOKUP($D59,$C$5:$AU$501,20,)/VLOOKUP($D59,$C$5:$AU$501,3,))*$E59)</f>
        <v>0</v>
      </c>
      <c r="W59" s="65">
        <f>IF(VLOOKUP($D59,$C$5:$AU$501,3,)=0,0,(VLOOKUP($D59,$C$5:$AU$501,21,)/VLOOKUP($D59,$C$5:$AU$501,3,))*$E59)</f>
        <v>0</v>
      </c>
      <c r="X59" s="65">
        <f>IF(VLOOKUP($D59,$C$5:$AU$501,3,)=0,0,(VLOOKUP($D59,$C$5:$AU$501,22,)/VLOOKUP($D59,$C$5:$AU$501,3,))*$E59)</f>
        <v>0</v>
      </c>
      <c r="Y59" s="65">
        <f>IF(VLOOKUP($D59,$C$5:$AU$501,3,)=0,0,(VLOOKUP($D59,$C$5:$AU$501,23,)/VLOOKUP($D59,$C$5:$AU$501,3,))*$E59)</f>
        <v>0</v>
      </c>
      <c r="Z59" s="65">
        <f>IF(VLOOKUP($D59,$C$5:$AU$501,3,)=0,0,(VLOOKUP($D59,$C$5:$AU$501,24,)/VLOOKUP($D59,$C$5:$AU$501,3,))*$E59)</f>
        <v>0</v>
      </c>
      <c r="AA59" s="65">
        <f>IF(VLOOKUP($D59,$C$5:$AU$501,3,)=0,0,(VLOOKUP($D59,$C$5:$AU$501,25,)/VLOOKUP($D59,$C$5:$AU$501,3,))*$E59)</f>
        <v>0</v>
      </c>
      <c r="AB59" s="65">
        <f>IF(VLOOKUP($D59,$C$5:$AU$501,3,)=0,0,(VLOOKUP($D59,$C$5:$AU$501,26,)/VLOOKUP($D59,$C$5:$AU$501,3,))*$E59)</f>
        <v>0</v>
      </c>
      <c r="AC59" s="65">
        <f>IF(VLOOKUP($D59,$C$5:$AU$501,3,)=0,0,(VLOOKUP($D59,$C$5:$AU$501,27,)/VLOOKUP($D59,$C$5:$AU$501,3,))*$E59)</f>
        <v>0</v>
      </c>
      <c r="AD59" s="65">
        <f>IF(VLOOKUP($D59,$C$5:$AU$501,3,)=0,0,(VLOOKUP($D59,$C$5:$AU$501,28,)/VLOOKUP($D59,$C$5:$AU$501,3,))*$E59)</f>
        <v>0</v>
      </c>
      <c r="AE59" s="65">
        <f>IF(VLOOKUP($D59,$C$5:$AU$501,3,)=0,0,(VLOOKUP($D59,$C$5:$AU$501,29,)/VLOOKUP($D59,$C$5:$AU$501,3,))*$E59)</f>
        <v>0</v>
      </c>
      <c r="AF59" s="65">
        <f>IF(VLOOKUP($D59,$C$5:$AU$501,3,)=0,0,(VLOOKUP($D59,$C$5:$AU$501,30,)/VLOOKUP($D59,$C$5:$AU$501,3,))*$E59)</f>
        <v>0</v>
      </c>
      <c r="AG59" s="90">
        <f>SUM(F59:AF59)</f>
        <v>72020953.01890339</v>
      </c>
      <c r="AH59" s="29" t="str">
        <f>IF(ABS(E59-AG59)&lt;0.01,"ok","err")</f>
        <v>ok</v>
      </c>
    </row>
    <row r="60" spans="1:34" x14ac:dyDescent="0.2">
      <c r="A60" s="14" t="s">
        <v>224</v>
      </c>
      <c r="E60" s="254">
        <f t="shared" ref="E60:T60" si="10">E58+E59</f>
        <v>114281702.53217837</v>
      </c>
      <c r="F60" s="65">
        <f t="shared" si="10"/>
        <v>102526174.79248571</v>
      </c>
      <c r="G60" s="65">
        <f t="shared" si="10"/>
        <v>6330830.5037984736</v>
      </c>
      <c r="H60" s="65">
        <f t="shared" si="10"/>
        <v>4345543.80295105</v>
      </c>
      <c r="I60" s="65">
        <f t="shared" si="10"/>
        <v>55846.728195972406</v>
      </c>
      <c r="J60" s="65">
        <f t="shared" si="10"/>
        <v>593485.02025049191</v>
      </c>
      <c r="K60" s="65">
        <f t="shared" si="10"/>
        <v>389136.18154929474</v>
      </c>
      <c r="L60" s="65">
        <f t="shared" si="10"/>
        <v>40685.502947382927</v>
      </c>
      <c r="M60" s="65">
        <f t="shared" si="10"/>
        <v>0</v>
      </c>
      <c r="N60" s="65">
        <f t="shared" si="10"/>
        <v>0</v>
      </c>
      <c r="O60" s="65">
        <f t="shared" si="10"/>
        <v>0</v>
      </c>
      <c r="P60" s="65">
        <f t="shared" si="10"/>
        <v>0</v>
      </c>
      <c r="Q60" s="65">
        <f t="shared" si="10"/>
        <v>0</v>
      </c>
      <c r="R60" s="65">
        <f t="shared" si="10"/>
        <v>0</v>
      </c>
      <c r="S60" s="65">
        <f t="shared" si="10"/>
        <v>0</v>
      </c>
      <c r="T60" s="65">
        <f t="shared" si="10"/>
        <v>0</v>
      </c>
      <c r="U60" s="65">
        <f t="shared" ref="U60:AF60" si="11">U58+U59</f>
        <v>0</v>
      </c>
      <c r="V60" s="65">
        <f t="shared" si="11"/>
        <v>0</v>
      </c>
      <c r="W60" s="65">
        <f t="shared" si="11"/>
        <v>0</v>
      </c>
      <c r="X60" s="65">
        <f t="shared" si="11"/>
        <v>0</v>
      </c>
      <c r="Y60" s="65">
        <f t="shared" si="11"/>
        <v>0</v>
      </c>
      <c r="Z60" s="65">
        <f t="shared" si="11"/>
        <v>0</v>
      </c>
      <c r="AA60" s="65">
        <f t="shared" si="11"/>
        <v>0</v>
      </c>
      <c r="AB60" s="65">
        <f t="shared" si="11"/>
        <v>0</v>
      </c>
      <c r="AC60" s="65">
        <f t="shared" si="11"/>
        <v>0</v>
      </c>
      <c r="AD60" s="65">
        <f t="shared" si="11"/>
        <v>0</v>
      </c>
      <c r="AE60" s="65">
        <f t="shared" si="11"/>
        <v>0</v>
      </c>
      <c r="AF60" s="65">
        <f t="shared" si="11"/>
        <v>0</v>
      </c>
      <c r="AG60" s="90">
        <f>SUM(F60:AF60)</f>
        <v>114281702.53217839</v>
      </c>
      <c r="AH60" s="29" t="str">
        <f>IF(ABS(E60-AG60)&lt;0.01,"ok","err")</f>
        <v>ok</v>
      </c>
    </row>
    <row r="61" spans="1:34" x14ac:dyDescent="0.2">
      <c r="E61" s="255"/>
    </row>
    <row r="62" spans="1:34" x14ac:dyDescent="0.2">
      <c r="A62" s="13" t="s">
        <v>3</v>
      </c>
      <c r="E62" s="255"/>
    </row>
    <row r="63" spans="1:34" x14ac:dyDescent="0.2">
      <c r="A63" s="93" t="s">
        <v>209</v>
      </c>
      <c r="C63" s="14" t="s">
        <v>243</v>
      </c>
      <c r="D63" s="14" t="s">
        <v>619</v>
      </c>
      <c r="E63" s="254">
        <f>'Func &amp; Classif'!R126</f>
        <v>0</v>
      </c>
      <c r="F63" s="65">
        <f>IF(VLOOKUP($D63,$C$5:$AU$501,3,)=0,0,(VLOOKUP($D63,$C$5:$AU$501,4,)/VLOOKUP($D63,$C$5:$AU$501,3,))*$E63)</f>
        <v>0</v>
      </c>
      <c r="G63" s="65">
        <f>IF(VLOOKUP($D63,$C$5:$AU$501,3,)=0,0,(VLOOKUP($D63,$C$5:$AU$501,5,)/VLOOKUP($D63,$C$5:$AU$501,3,))*$E63)</f>
        <v>0</v>
      </c>
      <c r="H63" s="65">
        <f>IF(VLOOKUP($D63,$C$5:$AU$501,3,)=0,0,(VLOOKUP($D63,$C$5:$AU$501,6,)/VLOOKUP($D63,$C$5:$AU$501,3,))*$E63)</f>
        <v>0</v>
      </c>
      <c r="I63" s="65">
        <f>IF(VLOOKUP($D63,$C$5:$AU$501,3,)=0,0,(VLOOKUP($D63,$C$5:$AU$501,7,)/VLOOKUP($D63,$C$5:$AU$501,3,))*$E63)</f>
        <v>0</v>
      </c>
      <c r="J63" s="65">
        <f>IF(VLOOKUP($D63,$C$5:$AU$501,3,)=0,0,(VLOOKUP($D63,$C$5:$AU$501,8,)/VLOOKUP($D63,$C$5:$AU$501,3,))*$E63)</f>
        <v>0</v>
      </c>
      <c r="K63" s="65">
        <f>IF(VLOOKUP($D63,$C$5:$AU$501,3,)=0,0,(VLOOKUP($D63,$C$5:$AU$501,9,)/VLOOKUP($D63,$C$5:$AU$501,3,))*$E63)</f>
        <v>0</v>
      </c>
      <c r="L63" s="65">
        <f>IF(VLOOKUP($D63,$C$5:$AU$501,3,)=0,0,(VLOOKUP($D63,$C$5:$AU$501,10,)/VLOOKUP($D63,$C$5:$AU$501,3,))*$E63)</f>
        <v>0</v>
      </c>
      <c r="M63" s="65">
        <f>IF(VLOOKUP($D63,$C$5:$AU$501,3,)=0,0,(VLOOKUP($D63,$C$5:$AU$501,11,)/VLOOKUP($D63,$C$5:$AU$501,3,))*$E63)</f>
        <v>0</v>
      </c>
      <c r="N63" s="65">
        <f>IF(VLOOKUP($D63,$C$5:$AU$501,3,)=0,0,(VLOOKUP($D63,$C$5:$AU$501,12,)/VLOOKUP($D63,$C$5:$AU$501,3,))*$E63)</f>
        <v>0</v>
      </c>
      <c r="O63" s="65">
        <f>IF(VLOOKUP($D63,$C$5:$AU$501,3,)=0,0,(VLOOKUP($D63,$C$5:$AU$501,13,)/VLOOKUP($D63,$C$5:$AU$501,3,))*$E63)</f>
        <v>0</v>
      </c>
      <c r="P63" s="65">
        <f>IF(VLOOKUP($D63,$C$5:$AU$501,3,)=0,0,(VLOOKUP($D63,$C$5:$AU$501,14,)/VLOOKUP($D63,$C$5:$AU$501,3,))*$E63)</f>
        <v>0</v>
      </c>
      <c r="Q63" s="65">
        <f>IF(VLOOKUP($D63,$C$5:$AU$501,3,)=0,0,(VLOOKUP($D63,$C$5:$AU$501,15,)/VLOOKUP($D63,$C$5:$AU$501,3,))*$E63)</f>
        <v>0</v>
      </c>
      <c r="R63" s="65">
        <f>IF(VLOOKUP($D63,$C$5:$AU$501,3,)=0,0,(VLOOKUP($D63,$C$5:$AU$501,16,)/VLOOKUP($D63,$C$5:$AU$501,3,))*$E63)</f>
        <v>0</v>
      </c>
      <c r="S63" s="65">
        <f>IF(VLOOKUP($D63,$C$5:$AU$501,3,)=0,0,(VLOOKUP($D63,$C$5:$AU$501,17,)/VLOOKUP($D63,$C$5:$AU$501,3,))*$E63)</f>
        <v>0</v>
      </c>
      <c r="T63" s="65">
        <f>IF(VLOOKUP($D63,$C$5:$AU$501,3,)=0,0,(VLOOKUP($D63,$C$5:$AU$501,18,)/VLOOKUP($D63,$C$5:$AU$501,3,))*$E63)</f>
        <v>0</v>
      </c>
      <c r="U63" s="65">
        <f>IF(VLOOKUP($D63,$C$5:$AU$501,3,)=0,0,(VLOOKUP($D63,$C$5:$AU$501,19,)/VLOOKUP($D63,$C$5:$AU$501,3,))*$E63)</f>
        <v>0</v>
      </c>
      <c r="V63" s="65">
        <f>IF(VLOOKUP($D63,$C$5:$AU$501,3,)=0,0,(VLOOKUP($D63,$C$5:$AU$501,20,)/VLOOKUP($D63,$C$5:$AU$501,3,))*$E63)</f>
        <v>0</v>
      </c>
      <c r="W63" s="65">
        <f>IF(VLOOKUP($D63,$C$5:$AU$501,3,)=0,0,(VLOOKUP($D63,$C$5:$AU$501,21,)/VLOOKUP($D63,$C$5:$AU$501,3,))*$E63)</f>
        <v>0</v>
      </c>
      <c r="X63" s="65">
        <f>IF(VLOOKUP($D63,$C$5:$AU$501,3,)=0,0,(VLOOKUP($D63,$C$5:$AU$501,22,)/VLOOKUP($D63,$C$5:$AU$501,3,))*$E63)</f>
        <v>0</v>
      </c>
      <c r="Y63" s="65">
        <f>IF(VLOOKUP($D63,$C$5:$AU$501,3,)=0,0,(VLOOKUP($D63,$C$5:$AU$501,23,)/VLOOKUP($D63,$C$5:$AU$501,3,))*$E63)</f>
        <v>0</v>
      </c>
      <c r="Z63" s="65">
        <f>IF(VLOOKUP($D63,$C$5:$AU$501,3,)=0,0,(VLOOKUP($D63,$C$5:$AU$501,24,)/VLOOKUP($D63,$C$5:$AU$501,3,))*$E63)</f>
        <v>0</v>
      </c>
      <c r="AA63" s="65">
        <f>IF(VLOOKUP($D63,$C$5:$AU$501,3,)=0,0,(VLOOKUP($D63,$C$5:$AU$501,25,)/VLOOKUP($D63,$C$5:$AU$501,3,))*$E63)</f>
        <v>0</v>
      </c>
      <c r="AB63" s="65">
        <f>IF(VLOOKUP($D63,$C$5:$AU$501,3,)=0,0,(VLOOKUP($D63,$C$5:$AU$501,26,)/VLOOKUP($D63,$C$5:$AU$501,3,))*$E63)</f>
        <v>0</v>
      </c>
      <c r="AC63" s="65">
        <f>IF(VLOOKUP($D63,$C$5:$AU$501,3,)=0,0,(VLOOKUP($D63,$C$5:$AU$501,27,)/VLOOKUP($D63,$C$5:$AU$501,3,))*$E63)</f>
        <v>0</v>
      </c>
      <c r="AD63" s="65">
        <f>IF(VLOOKUP($D63,$C$5:$AU$501,3,)=0,0,(VLOOKUP($D63,$C$5:$AU$501,28,)/VLOOKUP($D63,$C$5:$AU$501,3,))*$E63)</f>
        <v>0</v>
      </c>
      <c r="AE63" s="65">
        <f>IF(VLOOKUP($D63,$C$5:$AU$501,3,)=0,0,(VLOOKUP($D63,$C$5:$AU$501,29,)/VLOOKUP($D63,$C$5:$AU$501,3,))*$E63)</f>
        <v>0</v>
      </c>
      <c r="AF63" s="65">
        <f>IF(VLOOKUP($D63,$C$5:$AU$501,3,)=0,0,(VLOOKUP($D63,$C$5:$AU$501,30,)/VLOOKUP($D63,$C$5:$AU$501,3,))*$E63)</f>
        <v>0</v>
      </c>
      <c r="AG63" s="90">
        <f>SUM(F63:AF63)</f>
        <v>0</v>
      </c>
      <c r="AH63" s="29" t="str">
        <f>IF(ABS(E63-AG63)&lt;0.01,"ok","err")</f>
        <v>ok</v>
      </c>
    </row>
    <row r="64" spans="1:34" x14ac:dyDescent="0.2">
      <c r="A64" s="93" t="s">
        <v>221</v>
      </c>
      <c r="C64" s="14" t="s">
        <v>244</v>
      </c>
      <c r="D64" s="14" t="s">
        <v>701</v>
      </c>
      <c r="E64" s="255">
        <f>'Func &amp; Classif'!S126</f>
        <v>5814374.0713876653</v>
      </c>
      <c r="F64" s="65">
        <f>IF(VLOOKUP($D64,$C$5:$AU$501,3,)=0,0,(VLOOKUP($D64,$C$5:$AU$501,4,)/VLOOKUP($D64,$C$5:$AU$501,3,))*$E64)</f>
        <v>5208428.6012900975</v>
      </c>
      <c r="G64" s="65">
        <f>IF(VLOOKUP($D64,$C$5:$AU$501,3,)=0,0,(VLOOKUP($D64,$C$5:$AU$501,5,)/VLOOKUP($D64,$C$5:$AU$501,3,))*$E64)</f>
        <v>366434.53564145829</v>
      </c>
      <c r="H64" s="65">
        <f>IF(VLOOKUP($D64,$C$5:$AU$501,3,)=0,0,(VLOOKUP($D64,$C$5:$AU$501,6,)/VLOOKUP($D64,$C$5:$AU$501,3,))*$E64)</f>
        <v>229569.11366371362</v>
      </c>
      <c r="I64" s="65">
        <f>IF(VLOOKUP($D64,$C$5:$AU$501,3,)=0,0,(VLOOKUP($D64,$C$5:$AU$501,7,)/VLOOKUP($D64,$C$5:$AU$501,3,))*$E64)</f>
        <v>2284.2697876986426</v>
      </c>
      <c r="J64" s="65">
        <f>IF(VLOOKUP($D64,$C$5:$AU$501,3,)=0,0,(VLOOKUP($D64,$C$5:$AU$501,8,)/VLOOKUP($D64,$C$5:$AU$501,3,))*$E64)</f>
        <v>6872.3123369563045</v>
      </c>
      <c r="K64" s="65">
        <f>IF(VLOOKUP($D64,$C$5:$AU$501,3,)=0,0,(VLOOKUP($D64,$C$5:$AU$501,9,)/VLOOKUP($D64,$C$5:$AU$501,3,))*$E64)</f>
        <v>0</v>
      </c>
      <c r="L64" s="65">
        <f>IF(VLOOKUP($D64,$C$5:$AU$501,3,)=0,0,(VLOOKUP($D64,$C$5:$AU$501,10,)/VLOOKUP($D64,$C$5:$AU$501,3,))*$E64)</f>
        <v>785.23866774176258</v>
      </c>
      <c r="M64" s="65">
        <f>IF(VLOOKUP($D64,$C$5:$AU$501,3,)=0,0,(VLOOKUP($D64,$C$5:$AU$501,11,)/VLOOKUP($D64,$C$5:$AU$501,3,))*$E64)</f>
        <v>0</v>
      </c>
      <c r="N64" s="65">
        <f>IF(VLOOKUP($D64,$C$5:$AU$501,3,)=0,0,(VLOOKUP($D64,$C$5:$AU$501,12,)/VLOOKUP($D64,$C$5:$AU$501,3,))*$E64)</f>
        <v>0</v>
      </c>
      <c r="O64" s="65">
        <f>IF(VLOOKUP($D64,$C$5:$AU$501,3,)=0,0,(VLOOKUP($D64,$C$5:$AU$501,13,)/VLOOKUP($D64,$C$5:$AU$501,3,))*$E64)</f>
        <v>0</v>
      </c>
      <c r="P64" s="65">
        <f>IF(VLOOKUP($D64,$C$5:$AU$501,3,)=0,0,(VLOOKUP($D64,$C$5:$AU$501,14,)/VLOOKUP($D64,$C$5:$AU$501,3,))*$E64)</f>
        <v>0</v>
      </c>
      <c r="Q64" s="65">
        <f>IF(VLOOKUP($D64,$C$5:$AU$501,3,)=0,0,(VLOOKUP($D64,$C$5:$AU$501,15,)/VLOOKUP($D64,$C$5:$AU$501,3,))*$E64)</f>
        <v>0</v>
      </c>
      <c r="R64" s="65">
        <f>IF(VLOOKUP($D64,$C$5:$AU$501,3,)=0,0,(VLOOKUP($D64,$C$5:$AU$501,16,)/VLOOKUP($D64,$C$5:$AU$501,3,))*$E64)</f>
        <v>0</v>
      </c>
      <c r="S64" s="65">
        <f>IF(VLOOKUP($D64,$C$5:$AU$501,3,)=0,0,(VLOOKUP($D64,$C$5:$AU$501,17,)/VLOOKUP($D64,$C$5:$AU$501,3,))*$E64)</f>
        <v>0</v>
      </c>
      <c r="T64" s="65">
        <f>IF(VLOOKUP($D64,$C$5:$AU$501,3,)=0,0,(VLOOKUP($D64,$C$5:$AU$501,18,)/VLOOKUP($D64,$C$5:$AU$501,3,))*$E64)</f>
        <v>0</v>
      </c>
      <c r="U64" s="65">
        <f>IF(VLOOKUP($D64,$C$5:$AU$501,3,)=0,0,(VLOOKUP($D64,$C$5:$AU$501,19,)/VLOOKUP($D64,$C$5:$AU$501,3,))*$E64)</f>
        <v>0</v>
      </c>
      <c r="V64" s="65">
        <f>IF(VLOOKUP($D64,$C$5:$AU$501,3,)=0,0,(VLOOKUP($D64,$C$5:$AU$501,20,)/VLOOKUP($D64,$C$5:$AU$501,3,))*$E64)</f>
        <v>0</v>
      </c>
      <c r="W64" s="65">
        <f>IF(VLOOKUP($D64,$C$5:$AU$501,3,)=0,0,(VLOOKUP($D64,$C$5:$AU$501,21,)/VLOOKUP($D64,$C$5:$AU$501,3,))*$E64)</f>
        <v>0</v>
      </c>
      <c r="X64" s="65">
        <f>IF(VLOOKUP($D64,$C$5:$AU$501,3,)=0,0,(VLOOKUP($D64,$C$5:$AU$501,22,)/VLOOKUP($D64,$C$5:$AU$501,3,))*$E64)</f>
        <v>0</v>
      </c>
      <c r="Y64" s="65">
        <f>IF(VLOOKUP($D64,$C$5:$AU$501,3,)=0,0,(VLOOKUP($D64,$C$5:$AU$501,23,)/VLOOKUP($D64,$C$5:$AU$501,3,))*$E64)</f>
        <v>0</v>
      </c>
      <c r="Z64" s="65">
        <f>IF(VLOOKUP($D64,$C$5:$AU$501,3,)=0,0,(VLOOKUP($D64,$C$5:$AU$501,24,)/VLOOKUP($D64,$C$5:$AU$501,3,))*$E64)</f>
        <v>0</v>
      </c>
      <c r="AA64" s="65">
        <f>IF(VLOOKUP($D64,$C$5:$AU$501,3,)=0,0,(VLOOKUP($D64,$C$5:$AU$501,25,)/VLOOKUP($D64,$C$5:$AU$501,3,))*$E64)</f>
        <v>0</v>
      </c>
      <c r="AB64" s="65">
        <f>IF(VLOOKUP($D64,$C$5:$AU$501,3,)=0,0,(VLOOKUP($D64,$C$5:$AU$501,26,)/VLOOKUP($D64,$C$5:$AU$501,3,))*$E64)</f>
        <v>0</v>
      </c>
      <c r="AC64" s="65">
        <f>IF(VLOOKUP($D64,$C$5:$AU$501,3,)=0,0,(VLOOKUP($D64,$C$5:$AU$501,27,)/VLOOKUP($D64,$C$5:$AU$501,3,))*$E64)</f>
        <v>0</v>
      </c>
      <c r="AD64" s="65">
        <f>IF(VLOOKUP($D64,$C$5:$AU$501,3,)=0,0,(VLOOKUP($D64,$C$5:$AU$501,28,)/VLOOKUP($D64,$C$5:$AU$501,3,))*$E64)</f>
        <v>0</v>
      </c>
      <c r="AE64" s="65">
        <f>IF(VLOOKUP($D64,$C$5:$AU$501,3,)=0,0,(VLOOKUP($D64,$C$5:$AU$501,29,)/VLOOKUP($D64,$C$5:$AU$501,3,))*$E64)</f>
        <v>0</v>
      </c>
      <c r="AF64" s="65">
        <f>IF(VLOOKUP($D64,$C$5:$AU$501,3,)=0,0,(VLOOKUP($D64,$C$5:$AU$501,30,)/VLOOKUP($D64,$C$5:$AU$501,3,))*$E64)</f>
        <v>0</v>
      </c>
      <c r="AG64" s="90">
        <f>SUM(F64:AF64)</f>
        <v>5814374.0713876653</v>
      </c>
      <c r="AH64" s="29" t="str">
        <f>IF(ABS(E64-AG64)&lt;0.01,"ok","err")</f>
        <v>ok</v>
      </c>
    </row>
    <row r="65" spans="1:34" x14ac:dyDescent="0.2">
      <c r="A65" s="14" t="s">
        <v>228</v>
      </c>
      <c r="E65" s="254">
        <f t="shared" ref="E65:T65" si="12">E63+E64</f>
        <v>5814374.0713876653</v>
      </c>
      <c r="F65" s="65">
        <f t="shared" si="12"/>
        <v>5208428.6012900975</v>
      </c>
      <c r="G65" s="65">
        <f t="shared" si="12"/>
        <v>366434.53564145829</v>
      </c>
      <c r="H65" s="65">
        <f t="shared" si="12"/>
        <v>229569.11366371362</v>
      </c>
      <c r="I65" s="65">
        <f t="shared" si="12"/>
        <v>2284.2697876986426</v>
      </c>
      <c r="J65" s="65">
        <f t="shared" si="12"/>
        <v>6872.3123369563045</v>
      </c>
      <c r="K65" s="65">
        <f t="shared" si="12"/>
        <v>0</v>
      </c>
      <c r="L65" s="65">
        <f t="shared" si="12"/>
        <v>785.23866774176258</v>
      </c>
      <c r="M65" s="65">
        <f t="shared" si="12"/>
        <v>0</v>
      </c>
      <c r="N65" s="65">
        <f t="shared" si="12"/>
        <v>0</v>
      </c>
      <c r="O65" s="65">
        <f t="shared" si="12"/>
        <v>0</v>
      </c>
      <c r="P65" s="65">
        <f t="shared" si="12"/>
        <v>0</v>
      </c>
      <c r="Q65" s="65">
        <f t="shared" si="12"/>
        <v>0</v>
      </c>
      <c r="R65" s="65">
        <f t="shared" si="12"/>
        <v>0</v>
      </c>
      <c r="S65" s="65">
        <f t="shared" si="12"/>
        <v>0</v>
      </c>
      <c r="T65" s="65">
        <f t="shared" si="12"/>
        <v>0</v>
      </c>
      <c r="U65" s="65">
        <f t="shared" ref="U65:AF65" si="13">U63+U64</f>
        <v>0</v>
      </c>
      <c r="V65" s="65">
        <f t="shared" si="13"/>
        <v>0</v>
      </c>
      <c r="W65" s="65">
        <f t="shared" si="13"/>
        <v>0</v>
      </c>
      <c r="X65" s="65">
        <f t="shared" si="13"/>
        <v>0</v>
      </c>
      <c r="Y65" s="65">
        <f t="shared" si="13"/>
        <v>0</v>
      </c>
      <c r="Z65" s="65">
        <f t="shared" si="13"/>
        <v>0</v>
      </c>
      <c r="AA65" s="65">
        <f t="shared" si="13"/>
        <v>0</v>
      </c>
      <c r="AB65" s="65">
        <f t="shared" si="13"/>
        <v>0</v>
      </c>
      <c r="AC65" s="65">
        <f t="shared" si="13"/>
        <v>0</v>
      </c>
      <c r="AD65" s="65">
        <f t="shared" si="13"/>
        <v>0</v>
      </c>
      <c r="AE65" s="65">
        <f t="shared" si="13"/>
        <v>0</v>
      </c>
      <c r="AF65" s="65">
        <f t="shared" si="13"/>
        <v>0</v>
      </c>
      <c r="AG65" s="90">
        <f>SUM(F65:AF65)</f>
        <v>5814374.0713876653</v>
      </c>
      <c r="AH65" s="29" t="str">
        <f>IF(ABS(E65-AG65)&lt;0.01,"ok","err")</f>
        <v>ok</v>
      </c>
    </row>
    <row r="66" spans="1:34" x14ac:dyDescent="0.2">
      <c r="E66" s="255"/>
    </row>
    <row r="67" spans="1:34" x14ac:dyDescent="0.2">
      <c r="A67" s="13" t="s">
        <v>4</v>
      </c>
      <c r="E67" s="255"/>
    </row>
    <row r="68" spans="1:34" x14ac:dyDescent="0.2">
      <c r="A68" s="93" t="s">
        <v>221</v>
      </c>
      <c r="C68" s="14" t="s">
        <v>245</v>
      </c>
      <c r="D68" s="14" t="s">
        <v>230</v>
      </c>
      <c r="E68" s="254">
        <f>'Func &amp; Classif'!U126</f>
        <v>5743826.3903059978</v>
      </c>
      <c r="F68" s="65">
        <f>IF(VLOOKUP($D68,$C$5:$AU$501,3,)=0,0,(VLOOKUP($D68,$C$5:$AU$501,4,)/VLOOKUP($D68,$C$5:$AU$501,3,))*$E68)</f>
        <v>4444730.5796091398</v>
      </c>
      <c r="G68" s="65">
        <f>IF(VLOOKUP($D68,$C$5:$AU$501,3,)=0,0,(VLOOKUP($D68,$C$5:$AU$501,5,)/VLOOKUP($D68,$C$5:$AU$501,3,))*$E68)</f>
        <v>434423.3976574206</v>
      </c>
      <c r="H68" s="65">
        <f>IF(VLOOKUP($D68,$C$5:$AU$501,3,)=0,0,(VLOOKUP($D68,$C$5:$AU$501,6,)/VLOOKUP($D68,$C$5:$AU$501,3,))*$E68)</f>
        <v>737833.51038085332</v>
      </c>
      <c r="I68" s="65">
        <f>IF(VLOOKUP($D68,$C$5:$AU$501,3,)=0,0,(VLOOKUP($D68,$C$5:$AU$501,7,)/VLOOKUP($D68,$C$5:$AU$501,3,))*$E68)</f>
        <v>56372.845626037903</v>
      </c>
      <c r="J68" s="65">
        <f>IF(VLOOKUP($D68,$C$5:$AU$501,3,)=0,0,(VLOOKUP($D68,$C$5:$AU$501,8,)/VLOOKUP($D68,$C$5:$AU$501,3,))*$E68)</f>
        <v>70466.057032547382</v>
      </c>
      <c r="K68" s="65">
        <f>IF(VLOOKUP($D68,$C$5:$AU$501,3,)=0,0,(VLOOKUP($D68,$C$5:$AU$501,9,)/VLOOKUP($D68,$C$5:$AU$501,3,))*$E68)</f>
        <v>0</v>
      </c>
      <c r="L68" s="65">
        <f>IF(VLOOKUP($D68,$C$5:$AU$501,3,)=0,0,(VLOOKUP($D68,$C$5:$AU$501,10,)/VLOOKUP($D68,$C$5:$AU$501,3,))*$E68)</f>
        <v>0</v>
      </c>
      <c r="M68" s="65">
        <f>IF(VLOOKUP($D68,$C$5:$AU$501,3,)=0,0,(VLOOKUP($D68,$C$5:$AU$501,11,)/VLOOKUP($D68,$C$5:$AU$501,3,))*$E68)</f>
        <v>0</v>
      </c>
      <c r="N68" s="65">
        <f>IF(VLOOKUP($D68,$C$5:$AU$501,3,)=0,0,(VLOOKUP($D68,$C$5:$AU$501,12,)/VLOOKUP($D68,$C$5:$AU$501,3,))*$E68)</f>
        <v>0</v>
      </c>
      <c r="O68" s="65">
        <f>IF(VLOOKUP($D68,$C$5:$AU$501,3,)=0,0,(VLOOKUP($D68,$C$5:$AU$501,13,)/VLOOKUP($D68,$C$5:$AU$501,3,))*$E68)</f>
        <v>0</v>
      </c>
      <c r="P68" s="65">
        <f>IF(VLOOKUP($D68,$C$5:$AU$501,3,)=0,0,(VLOOKUP($D68,$C$5:$AU$501,14,)/VLOOKUP($D68,$C$5:$AU$501,3,))*$E68)</f>
        <v>0</v>
      </c>
      <c r="Q68" s="65">
        <f>IF(VLOOKUP($D68,$C$5:$AU$501,3,)=0,0,(VLOOKUP($D68,$C$5:$AU$501,15,)/VLOOKUP($D68,$C$5:$AU$501,3,))*$E68)</f>
        <v>0</v>
      </c>
      <c r="R68" s="65">
        <f>IF(VLOOKUP($D68,$C$5:$AU$501,3,)=0,0,(VLOOKUP($D68,$C$5:$AU$501,16,)/VLOOKUP($D68,$C$5:$AU$501,3,))*$E68)</f>
        <v>0</v>
      </c>
      <c r="S68" s="65">
        <f>IF(VLOOKUP($D68,$C$5:$AU$501,3,)=0,0,(VLOOKUP($D68,$C$5:$AU$501,17,)/VLOOKUP($D68,$C$5:$AU$501,3,))*$E68)</f>
        <v>0</v>
      </c>
      <c r="T68" s="65">
        <f>IF(VLOOKUP($D68,$C$5:$AU$501,3,)=0,0,(VLOOKUP($D68,$C$5:$AU$501,18,)/VLOOKUP($D68,$C$5:$AU$501,3,))*$E68)</f>
        <v>0</v>
      </c>
      <c r="U68" s="65">
        <f>IF(VLOOKUP($D68,$C$5:$AU$501,3,)=0,0,(VLOOKUP($D68,$C$5:$AU$501,19,)/VLOOKUP($D68,$C$5:$AU$501,3,))*$E68)</f>
        <v>0</v>
      </c>
      <c r="V68" s="65">
        <f>IF(VLOOKUP($D68,$C$5:$AU$501,3,)=0,0,(VLOOKUP($D68,$C$5:$AU$501,20,)/VLOOKUP($D68,$C$5:$AU$501,3,))*$E68)</f>
        <v>0</v>
      </c>
      <c r="W68" s="65">
        <f>IF(VLOOKUP($D68,$C$5:$AU$501,3,)=0,0,(VLOOKUP($D68,$C$5:$AU$501,21,)/VLOOKUP($D68,$C$5:$AU$501,3,))*$E68)</f>
        <v>0</v>
      </c>
      <c r="X68" s="65">
        <f>IF(VLOOKUP($D68,$C$5:$AU$501,3,)=0,0,(VLOOKUP($D68,$C$5:$AU$501,22,)/VLOOKUP($D68,$C$5:$AU$501,3,))*$E68)</f>
        <v>0</v>
      </c>
      <c r="Y68" s="65">
        <f>IF(VLOOKUP($D68,$C$5:$AU$501,3,)=0,0,(VLOOKUP($D68,$C$5:$AU$501,23,)/VLOOKUP($D68,$C$5:$AU$501,3,))*$E68)</f>
        <v>0</v>
      </c>
      <c r="Z68" s="65">
        <f>IF(VLOOKUP($D68,$C$5:$AU$501,3,)=0,0,(VLOOKUP($D68,$C$5:$AU$501,24,)/VLOOKUP($D68,$C$5:$AU$501,3,))*$E68)</f>
        <v>0</v>
      </c>
      <c r="AA68" s="65">
        <f>IF(VLOOKUP($D68,$C$5:$AU$501,3,)=0,0,(VLOOKUP($D68,$C$5:$AU$501,25,)/VLOOKUP($D68,$C$5:$AU$501,3,))*$E68)</f>
        <v>0</v>
      </c>
      <c r="AB68" s="65">
        <f>IF(VLOOKUP($D68,$C$5:$AU$501,3,)=0,0,(VLOOKUP($D68,$C$5:$AU$501,26,)/VLOOKUP($D68,$C$5:$AU$501,3,))*$E68)</f>
        <v>0</v>
      </c>
      <c r="AC68" s="65">
        <f>IF(VLOOKUP($D68,$C$5:$AU$501,3,)=0,0,(VLOOKUP($D68,$C$5:$AU$501,27,)/VLOOKUP($D68,$C$5:$AU$501,3,))*$E68)</f>
        <v>0</v>
      </c>
      <c r="AD68" s="65">
        <f>IF(VLOOKUP($D68,$C$5:$AU$501,3,)=0,0,(VLOOKUP($D68,$C$5:$AU$501,28,)/VLOOKUP($D68,$C$5:$AU$501,3,))*$E68)</f>
        <v>0</v>
      </c>
      <c r="AE68" s="65">
        <f>IF(VLOOKUP($D68,$C$5:$AU$501,3,)=0,0,(VLOOKUP($D68,$C$5:$AU$501,29,)/VLOOKUP($D68,$C$5:$AU$501,3,))*$E68)</f>
        <v>0</v>
      </c>
      <c r="AF68" s="65">
        <f>IF(VLOOKUP($D68,$C$5:$AU$501,3,)=0,0,(VLOOKUP($D68,$C$5:$AU$501,30,)/VLOOKUP($D68,$C$5:$AU$501,3,))*$E68)</f>
        <v>0</v>
      </c>
      <c r="AG68" s="90">
        <f>SUM(F68:AF68)</f>
        <v>5743826.3903059978</v>
      </c>
      <c r="AH68" s="29" t="str">
        <f>IF(ABS(E68-AG68)&lt;0.01,"ok","err")</f>
        <v>ok</v>
      </c>
    </row>
    <row r="69" spans="1:34" x14ac:dyDescent="0.2">
      <c r="E69" s="255"/>
    </row>
    <row r="70" spans="1:34" x14ac:dyDescent="0.2">
      <c r="A70" s="13" t="s">
        <v>5</v>
      </c>
      <c r="E70" s="255"/>
    </row>
    <row r="71" spans="1:34" x14ac:dyDescent="0.2">
      <c r="A71" s="93" t="s">
        <v>221</v>
      </c>
      <c r="C71" s="14" t="s">
        <v>246</v>
      </c>
      <c r="D71" s="14" t="s">
        <v>232</v>
      </c>
      <c r="E71" s="254">
        <f>'Func &amp; Classif'!W126</f>
        <v>5646631.6901443135</v>
      </c>
      <c r="F71" s="65">
        <f>IF(VLOOKUP($D71,$C$5:$AU$501,3,)=0,0,(VLOOKUP($D71,$C$5:$AU$501,4,)/VLOOKUP($D71,$C$5:$AU$501,3,))*$E71)</f>
        <v>0</v>
      </c>
      <c r="G71" s="65">
        <f>IF(VLOOKUP($D71,$C$5:$AU$501,3,)=0,0,(VLOOKUP($D71,$C$5:$AU$501,5,)/VLOOKUP($D71,$C$5:$AU$501,3,))*$E71)</f>
        <v>0</v>
      </c>
      <c r="H71" s="65">
        <f>IF(VLOOKUP($D71,$C$5:$AU$501,3,)=0,0,(VLOOKUP($D71,$C$5:$AU$501,6,)/VLOOKUP($D71,$C$5:$AU$501,3,))*$E71)</f>
        <v>0</v>
      </c>
      <c r="I71" s="65">
        <f>IF(VLOOKUP($D71,$C$5:$AU$501,3,)=0,0,(VLOOKUP($D71,$C$5:$AU$501,7,)/VLOOKUP($D71,$C$5:$AU$501,3,))*$E71)</f>
        <v>0</v>
      </c>
      <c r="J71" s="65">
        <f>IF(VLOOKUP($D71,$C$5:$AU$501,3,)=0,0,(VLOOKUP($D71,$C$5:$AU$501,8,)/VLOOKUP($D71,$C$5:$AU$501,3,))*$E71)</f>
        <v>0</v>
      </c>
      <c r="K71" s="65">
        <f>IF(VLOOKUP($D71,$C$5:$AU$501,3,)=0,0,(VLOOKUP($D71,$C$5:$AU$501,9,)/VLOOKUP($D71,$C$5:$AU$501,3,))*$E71)</f>
        <v>5115805.8301722594</v>
      </c>
      <c r="L71" s="65">
        <f>IF(VLOOKUP($D71,$C$5:$AU$501,3,)=0,0,(VLOOKUP($D71,$C$5:$AU$501,10,)/VLOOKUP($D71,$C$5:$AU$501,3,))*$E71)</f>
        <v>530825.85997205426</v>
      </c>
      <c r="M71" s="65">
        <f>IF(VLOOKUP($D71,$C$5:$AU$501,3,)=0,0,(VLOOKUP($D71,$C$5:$AU$501,11,)/VLOOKUP($D71,$C$5:$AU$501,3,))*$E71)</f>
        <v>0</v>
      </c>
      <c r="N71" s="65">
        <f>IF(VLOOKUP($D71,$C$5:$AU$501,3,)=0,0,(VLOOKUP($D71,$C$5:$AU$501,12,)/VLOOKUP($D71,$C$5:$AU$501,3,))*$E71)</f>
        <v>0</v>
      </c>
      <c r="O71" s="65">
        <f>IF(VLOOKUP($D71,$C$5:$AU$501,3,)=0,0,(VLOOKUP($D71,$C$5:$AU$501,13,)/VLOOKUP($D71,$C$5:$AU$501,3,))*$E71)</f>
        <v>0</v>
      </c>
      <c r="P71" s="65">
        <f>IF(VLOOKUP($D71,$C$5:$AU$501,3,)=0,0,(VLOOKUP($D71,$C$5:$AU$501,14,)/VLOOKUP($D71,$C$5:$AU$501,3,))*$E71)</f>
        <v>0</v>
      </c>
      <c r="Q71" s="65">
        <f>IF(VLOOKUP($D71,$C$5:$AU$501,3,)=0,0,(VLOOKUP($D71,$C$5:$AU$501,15,)/VLOOKUP($D71,$C$5:$AU$501,3,))*$E71)</f>
        <v>0</v>
      </c>
      <c r="R71" s="65">
        <f>IF(VLOOKUP($D71,$C$5:$AU$501,3,)=0,0,(VLOOKUP($D71,$C$5:$AU$501,16,)/VLOOKUP($D71,$C$5:$AU$501,3,))*$E71)</f>
        <v>0</v>
      </c>
      <c r="S71" s="65">
        <f>IF(VLOOKUP($D71,$C$5:$AU$501,3,)=0,0,(VLOOKUP($D71,$C$5:$AU$501,17,)/VLOOKUP($D71,$C$5:$AU$501,3,))*$E71)</f>
        <v>0</v>
      </c>
      <c r="T71" s="65">
        <f>IF(VLOOKUP($D71,$C$5:$AU$501,3,)=0,0,(VLOOKUP($D71,$C$5:$AU$501,18,)/VLOOKUP($D71,$C$5:$AU$501,3,))*$E71)</f>
        <v>0</v>
      </c>
      <c r="U71" s="65">
        <f>IF(VLOOKUP($D71,$C$5:$AU$501,3,)=0,0,(VLOOKUP($D71,$C$5:$AU$501,19,)/VLOOKUP($D71,$C$5:$AU$501,3,))*$E71)</f>
        <v>0</v>
      </c>
      <c r="V71" s="65">
        <f>IF(VLOOKUP($D71,$C$5:$AU$501,3,)=0,0,(VLOOKUP($D71,$C$5:$AU$501,20,)/VLOOKUP($D71,$C$5:$AU$501,3,))*$E71)</f>
        <v>0</v>
      </c>
      <c r="W71" s="65">
        <f>IF(VLOOKUP($D71,$C$5:$AU$501,3,)=0,0,(VLOOKUP($D71,$C$5:$AU$501,21,)/VLOOKUP($D71,$C$5:$AU$501,3,))*$E71)</f>
        <v>0</v>
      </c>
      <c r="X71" s="65">
        <f>IF(VLOOKUP($D71,$C$5:$AU$501,3,)=0,0,(VLOOKUP($D71,$C$5:$AU$501,22,)/VLOOKUP($D71,$C$5:$AU$501,3,))*$E71)</f>
        <v>0</v>
      </c>
      <c r="Y71" s="65">
        <f>IF(VLOOKUP($D71,$C$5:$AU$501,3,)=0,0,(VLOOKUP($D71,$C$5:$AU$501,23,)/VLOOKUP($D71,$C$5:$AU$501,3,))*$E71)</f>
        <v>0</v>
      </c>
      <c r="Z71" s="65">
        <f>IF(VLOOKUP($D71,$C$5:$AU$501,3,)=0,0,(VLOOKUP($D71,$C$5:$AU$501,24,)/VLOOKUP($D71,$C$5:$AU$501,3,))*$E71)</f>
        <v>0</v>
      </c>
      <c r="AA71" s="65">
        <f>IF(VLOOKUP($D71,$C$5:$AU$501,3,)=0,0,(VLOOKUP($D71,$C$5:$AU$501,25,)/VLOOKUP($D71,$C$5:$AU$501,3,))*$E71)</f>
        <v>0</v>
      </c>
      <c r="AB71" s="65">
        <f>IF(VLOOKUP($D71,$C$5:$AU$501,3,)=0,0,(VLOOKUP($D71,$C$5:$AU$501,26,)/VLOOKUP($D71,$C$5:$AU$501,3,))*$E71)</f>
        <v>0</v>
      </c>
      <c r="AC71" s="65">
        <f>IF(VLOOKUP($D71,$C$5:$AU$501,3,)=0,0,(VLOOKUP($D71,$C$5:$AU$501,27,)/VLOOKUP($D71,$C$5:$AU$501,3,))*$E71)</f>
        <v>0</v>
      </c>
      <c r="AD71" s="65">
        <f>IF(VLOOKUP($D71,$C$5:$AU$501,3,)=0,0,(VLOOKUP($D71,$C$5:$AU$501,28,)/VLOOKUP($D71,$C$5:$AU$501,3,))*$E71)</f>
        <v>0</v>
      </c>
      <c r="AE71" s="65">
        <f>IF(VLOOKUP($D71,$C$5:$AU$501,3,)=0,0,(VLOOKUP($D71,$C$5:$AU$501,29,)/VLOOKUP($D71,$C$5:$AU$501,3,))*$E71)</f>
        <v>0</v>
      </c>
      <c r="AF71" s="65">
        <f>IF(VLOOKUP($D71,$C$5:$AU$501,3,)=0,0,(VLOOKUP($D71,$C$5:$AU$501,30,)/VLOOKUP($D71,$C$5:$AU$501,3,))*$E71)</f>
        <v>0</v>
      </c>
      <c r="AG71" s="90">
        <f>SUM(F71:AF71)</f>
        <v>5646631.6901443135</v>
      </c>
      <c r="AH71" s="29" t="str">
        <f>IF(ABS(E71-AG71)&lt;0.01,"ok","err")</f>
        <v>ok</v>
      </c>
    </row>
    <row r="72" spans="1:34" x14ac:dyDescent="0.2">
      <c r="E72" s="255"/>
    </row>
    <row r="73" spans="1:34" x14ac:dyDescent="0.2">
      <c r="A73" s="13" t="s">
        <v>545</v>
      </c>
      <c r="E73" s="255"/>
    </row>
    <row r="74" spans="1:34" x14ac:dyDescent="0.2">
      <c r="A74" s="93" t="s">
        <v>221</v>
      </c>
      <c r="C74" s="14" t="s">
        <v>247</v>
      </c>
      <c r="D74" s="14" t="s">
        <v>234</v>
      </c>
      <c r="E74" s="254">
        <f>'Func &amp; Classif'!Y126</f>
        <v>0</v>
      </c>
      <c r="F74" s="65">
        <f>IF(VLOOKUP($D74,$C$5:$AU$501,3,)=0,0,(VLOOKUP($D74,$C$5:$AU$501,4,)/VLOOKUP($D74,$C$5:$AU$501,3,))*$E74)</f>
        <v>0</v>
      </c>
      <c r="G74" s="65">
        <f>IF(VLOOKUP($D74,$C$5:$AU$501,3,)=0,0,(VLOOKUP($D74,$C$5:$AU$501,5,)/VLOOKUP($D74,$C$5:$AU$501,3,))*$E74)</f>
        <v>0</v>
      </c>
      <c r="H74" s="65">
        <f>IF(VLOOKUP($D74,$C$5:$AU$501,3,)=0,0,(VLOOKUP($D74,$C$5:$AU$501,6,)/VLOOKUP($D74,$C$5:$AU$501,3,))*$E74)</f>
        <v>0</v>
      </c>
      <c r="I74" s="65">
        <f>IF(VLOOKUP($D74,$C$5:$AU$501,3,)=0,0,(VLOOKUP($D74,$C$5:$AU$501,7,)/VLOOKUP($D74,$C$5:$AU$501,3,))*$E74)</f>
        <v>0</v>
      </c>
      <c r="J74" s="65">
        <f>IF(VLOOKUP($D74,$C$5:$AU$501,3,)=0,0,(VLOOKUP($D74,$C$5:$AU$501,8,)/VLOOKUP($D74,$C$5:$AU$501,3,))*$E74)</f>
        <v>0</v>
      </c>
      <c r="K74" s="65">
        <f>IF(VLOOKUP($D74,$C$5:$AU$501,3,)=0,0,(VLOOKUP($D74,$C$5:$AU$501,9,)/VLOOKUP($D74,$C$5:$AU$501,3,))*$E74)</f>
        <v>0</v>
      </c>
      <c r="L74" s="65">
        <f>IF(VLOOKUP($D74,$C$5:$AU$501,3,)=0,0,(VLOOKUP($D74,$C$5:$AU$501,10,)/VLOOKUP($D74,$C$5:$AU$501,3,))*$E74)</f>
        <v>0</v>
      </c>
      <c r="M74" s="65">
        <f>IF(VLOOKUP($D74,$C$5:$AU$501,3,)=0,0,(VLOOKUP($D74,$C$5:$AU$501,11,)/VLOOKUP($D74,$C$5:$AU$501,3,))*$E74)</f>
        <v>0</v>
      </c>
      <c r="N74" s="65">
        <f>IF(VLOOKUP($D74,$C$5:$AU$501,3,)=0,0,(VLOOKUP($D74,$C$5:$AU$501,12,)/VLOOKUP($D74,$C$5:$AU$501,3,))*$E74)</f>
        <v>0</v>
      </c>
      <c r="O74" s="65">
        <f>IF(VLOOKUP($D74,$C$5:$AU$501,3,)=0,0,(VLOOKUP($D74,$C$5:$AU$501,13,)/VLOOKUP($D74,$C$5:$AU$501,3,))*$E74)</f>
        <v>0</v>
      </c>
      <c r="P74" s="65">
        <f>IF(VLOOKUP($D74,$C$5:$AU$501,3,)=0,0,(VLOOKUP($D74,$C$5:$AU$501,14,)/VLOOKUP($D74,$C$5:$AU$501,3,))*$E74)</f>
        <v>0</v>
      </c>
      <c r="Q74" s="65">
        <f>IF(VLOOKUP($D74,$C$5:$AU$501,3,)=0,0,(VLOOKUP($D74,$C$5:$AU$501,15,)/VLOOKUP($D74,$C$5:$AU$501,3,))*$E74)</f>
        <v>0</v>
      </c>
      <c r="R74" s="65">
        <f>IF(VLOOKUP($D74,$C$5:$AU$501,3,)=0,0,(VLOOKUP($D74,$C$5:$AU$501,16,)/VLOOKUP($D74,$C$5:$AU$501,3,))*$E74)</f>
        <v>0</v>
      </c>
      <c r="S74" s="65">
        <f>IF(VLOOKUP($D74,$C$5:$AU$501,3,)=0,0,(VLOOKUP($D74,$C$5:$AU$501,17,)/VLOOKUP($D74,$C$5:$AU$501,3,))*$E74)</f>
        <v>0</v>
      </c>
      <c r="T74" s="65">
        <f>IF(VLOOKUP($D74,$C$5:$AU$501,3,)=0,0,(VLOOKUP($D74,$C$5:$AU$501,18,)/VLOOKUP($D74,$C$5:$AU$501,3,))*$E74)</f>
        <v>0</v>
      </c>
      <c r="U74" s="65">
        <f>IF(VLOOKUP($D74,$C$5:$AU$501,3,)=0,0,(VLOOKUP($D74,$C$5:$AU$501,19,)/VLOOKUP($D74,$C$5:$AU$501,3,))*$E74)</f>
        <v>0</v>
      </c>
      <c r="V74" s="65">
        <f>IF(VLOOKUP($D74,$C$5:$AU$501,3,)=0,0,(VLOOKUP($D74,$C$5:$AU$501,20,)/VLOOKUP($D74,$C$5:$AU$501,3,))*$E74)</f>
        <v>0</v>
      </c>
      <c r="W74" s="65">
        <f>IF(VLOOKUP($D74,$C$5:$AU$501,3,)=0,0,(VLOOKUP($D74,$C$5:$AU$501,21,)/VLOOKUP($D74,$C$5:$AU$501,3,))*$E74)</f>
        <v>0</v>
      </c>
      <c r="X74" s="65">
        <f>IF(VLOOKUP($D74,$C$5:$AU$501,3,)=0,0,(VLOOKUP($D74,$C$5:$AU$501,22,)/VLOOKUP($D74,$C$5:$AU$501,3,))*$E74)</f>
        <v>0</v>
      </c>
      <c r="Y74" s="65">
        <f>IF(VLOOKUP($D74,$C$5:$AU$501,3,)=0,0,(VLOOKUP($D74,$C$5:$AU$501,23,)/VLOOKUP($D74,$C$5:$AU$501,3,))*$E74)</f>
        <v>0</v>
      </c>
      <c r="Z74" s="65">
        <f>IF(VLOOKUP($D74,$C$5:$AU$501,3,)=0,0,(VLOOKUP($D74,$C$5:$AU$501,24,)/VLOOKUP($D74,$C$5:$AU$501,3,))*$E74)</f>
        <v>0</v>
      </c>
      <c r="AA74" s="65">
        <f>IF(VLOOKUP($D74,$C$5:$AU$501,3,)=0,0,(VLOOKUP($D74,$C$5:$AU$501,25,)/VLOOKUP($D74,$C$5:$AU$501,3,))*$E74)</f>
        <v>0</v>
      </c>
      <c r="AB74" s="65">
        <f>IF(VLOOKUP($D74,$C$5:$AU$501,3,)=0,0,(VLOOKUP($D74,$C$5:$AU$501,26,)/VLOOKUP($D74,$C$5:$AU$501,3,))*$E74)</f>
        <v>0</v>
      </c>
      <c r="AC74" s="65">
        <f>IF(VLOOKUP($D74,$C$5:$AU$501,3,)=0,0,(VLOOKUP($D74,$C$5:$AU$501,27,)/VLOOKUP($D74,$C$5:$AU$501,3,))*$E74)</f>
        <v>0</v>
      </c>
      <c r="AD74" s="65">
        <f>IF(VLOOKUP($D74,$C$5:$AU$501,3,)=0,0,(VLOOKUP($D74,$C$5:$AU$501,28,)/VLOOKUP($D74,$C$5:$AU$501,3,))*$E74)</f>
        <v>0</v>
      </c>
      <c r="AE74" s="65">
        <f>IF(VLOOKUP($D74,$C$5:$AU$501,3,)=0,0,(VLOOKUP($D74,$C$5:$AU$501,29,)/VLOOKUP($D74,$C$5:$AU$501,3,))*$E74)</f>
        <v>0</v>
      </c>
      <c r="AF74" s="65">
        <f>IF(VLOOKUP($D74,$C$5:$AU$501,3,)=0,0,(VLOOKUP($D74,$C$5:$AU$501,30,)/VLOOKUP($D74,$C$5:$AU$501,3,))*$E74)</f>
        <v>0</v>
      </c>
      <c r="AG74" s="90">
        <f>SUM(F74:AF74)</f>
        <v>0</v>
      </c>
      <c r="AH74" s="29" t="str">
        <f>IF(ABS(E74-AG74)&lt;0.01,"ok","err")</f>
        <v>ok</v>
      </c>
    </row>
    <row r="75" spans="1:34" x14ac:dyDescent="0.2">
      <c r="E75" s="255"/>
    </row>
    <row r="76" spans="1:34" x14ac:dyDescent="0.2">
      <c r="A76" s="13" t="s">
        <v>470</v>
      </c>
      <c r="E76" s="255"/>
    </row>
    <row r="77" spans="1:34" x14ac:dyDescent="0.2">
      <c r="A77" s="93" t="s">
        <v>221</v>
      </c>
      <c r="C77" s="14" t="s">
        <v>244</v>
      </c>
      <c r="D77" s="14" t="s">
        <v>235</v>
      </c>
      <c r="E77" s="254">
        <f>'Func &amp; Classif'!AA126</f>
        <v>0</v>
      </c>
      <c r="F77" s="65">
        <f>IF(VLOOKUP($D77,$C$5:$AU$501,3,)=0,0,(VLOOKUP($D77,$C$5:$AU$501,4,)/VLOOKUP($D77,$C$5:$AU$501,3,))*$E77)</f>
        <v>0</v>
      </c>
      <c r="G77" s="65">
        <f>IF(VLOOKUP($D77,$C$5:$AU$501,3,)=0,0,(VLOOKUP($D77,$C$5:$AU$501,5,)/VLOOKUP($D77,$C$5:$AU$501,3,))*$E77)</f>
        <v>0</v>
      </c>
      <c r="H77" s="65">
        <f>IF(VLOOKUP($D77,$C$5:$AU$501,3,)=0,0,(VLOOKUP($D77,$C$5:$AU$501,6,)/VLOOKUP($D77,$C$5:$AU$501,3,))*$E77)</f>
        <v>0</v>
      </c>
      <c r="I77" s="65">
        <f>IF(VLOOKUP($D77,$C$5:$AU$501,3,)=0,0,(VLOOKUP($D77,$C$5:$AU$501,7,)/VLOOKUP($D77,$C$5:$AU$501,3,))*$E77)</f>
        <v>0</v>
      </c>
      <c r="J77" s="65">
        <f>IF(VLOOKUP($D77,$C$5:$AU$501,3,)=0,0,(VLOOKUP($D77,$C$5:$AU$501,8,)/VLOOKUP($D77,$C$5:$AU$501,3,))*$E77)</f>
        <v>0</v>
      </c>
      <c r="K77" s="65">
        <f>IF(VLOOKUP($D77,$C$5:$AU$501,3,)=0,0,(VLOOKUP($D77,$C$5:$AU$501,9,)/VLOOKUP($D77,$C$5:$AU$501,3,))*$E77)</f>
        <v>0</v>
      </c>
      <c r="L77" s="65">
        <f>IF(VLOOKUP($D77,$C$5:$AU$501,3,)=0,0,(VLOOKUP($D77,$C$5:$AU$501,10,)/VLOOKUP($D77,$C$5:$AU$501,3,))*$E77)</f>
        <v>0</v>
      </c>
      <c r="M77" s="65">
        <f>IF(VLOOKUP($D77,$C$5:$AU$501,3,)=0,0,(VLOOKUP($D77,$C$5:$AU$501,11,)/VLOOKUP($D77,$C$5:$AU$501,3,))*$E77)</f>
        <v>0</v>
      </c>
      <c r="N77" s="65">
        <f>IF(VLOOKUP($D77,$C$5:$AU$501,3,)=0,0,(VLOOKUP($D77,$C$5:$AU$501,12,)/VLOOKUP($D77,$C$5:$AU$501,3,))*$E77)</f>
        <v>0</v>
      </c>
      <c r="O77" s="65">
        <f>IF(VLOOKUP($D77,$C$5:$AU$501,3,)=0,0,(VLOOKUP($D77,$C$5:$AU$501,13,)/VLOOKUP($D77,$C$5:$AU$501,3,))*$E77)</f>
        <v>0</v>
      </c>
      <c r="P77" s="65">
        <f>IF(VLOOKUP($D77,$C$5:$AU$501,3,)=0,0,(VLOOKUP($D77,$C$5:$AU$501,14,)/VLOOKUP($D77,$C$5:$AU$501,3,))*$E77)</f>
        <v>0</v>
      </c>
      <c r="Q77" s="65">
        <f>IF(VLOOKUP($D77,$C$5:$AU$501,3,)=0,0,(VLOOKUP($D77,$C$5:$AU$501,15,)/VLOOKUP($D77,$C$5:$AU$501,3,))*$E77)</f>
        <v>0</v>
      </c>
      <c r="R77" s="65">
        <f>IF(VLOOKUP($D77,$C$5:$AU$501,3,)=0,0,(VLOOKUP($D77,$C$5:$AU$501,16,)/VLOOKUP($D77,$C$5:$AU$501,3,))*$E77)</f>
        <v>0</v>
      </c>
      <c r="S77" s="65">
        <f>IF(VLOOKUP($D77,$C$5:$AU$501,3,)=0,0,(VLOOKUP($D77,$C$5:$AU$501,17,)/VLOOKUP($D77,$C$5:$AU$501,3,))*$E77)</f>
        <v>0</v>
      </c>
      <c r="T77" s="65">
        <f>IF(VLOOKUP($D77,$C$5:$AU$501,3,)=0,0,(VLOOKUP($D77,$C$5:$AU$501,18,)/VLOOKUP($D77,$C$5:$AU$501,3,))*$E77)</f>
        <v>0</v>
      </c>
      <c r="U77" s="65">
        <f>IF(VLOOKUP($D77,$C$5:$AU$501,3,)=0,0,(VLOOKUP($D77,$C$5:$AU$501,19,)/VLOOKUP($D77,$C$5:$AU$501,3,))*$E77)</f>
        <v>0</v>
      </c>
      <c r="V77" s="65">
        <f>IF(VLOOKUP($D77,$C$5:$AU$501,3,)=0,0,(VLOOKUP($D77,$C$5:$AU$501,20,)/VLOOKUP($D77,$C$5:$AU$501,3,))*$E77)</f>
        <v>0</v>
      </c>
      <c r="W77" s="65">
        <f>IF(VLOOKUP($D77,$C$5:$AU$501,3,)=0,0,(VLOOKUP($D77,$C$5:$AU$501,21,)/VLOOKUP($D77,$C$5:$AU$501,3,))*$E77)</f>
        <v>0</v>
      </c>
      <c r="X77" s="65">
        <f>IF(VLOOKUP($D77,$C$5:$AU$501,3,)=0,0,(VLOOKUP($D77,$C$5:$AU$501,22,)/VLOOKUP($D77,$C$5:$AU$501,3,))*$E77)</f>
        <v>0</v>
      </c>
      <c r="Y77" s="65">
        <f>IF(VLOOKUP($D77,$C$5:$AU$501,3,)=0,0,(VLOOKUP($D77,$C$5:$AU$501,23,)/VLOOKUP($D77,$C$5:$AU$501,3,))*$E77)</f>
        <v>0</v>
      </c>
      <c r="Z77" s="65">
        <f>IF(VLOOKUP($D77,$C$5:$AU$501,3,)=0,0,(VLOOKUP($D77,$C$5:$AU$501,24,)/VLOOKUP($D77,$C$5:$AU$501,3,))*$E77)</f>
        <v>0</v>
      </c>
      <c r="AA77" s="65">
        <f>IF(VLOOKUP($D77,$C$5:$AU$501,3,)=0,0,(VLOOKUP($D77,$C$5:$AU$501,25,)/VLOOKUP($D77,$C$5:$AU$501,3,))*$E77)</f>
        <v>0</v>
      </c>
      <c r="AB77" s="65">
        <f>IF(VLOOKUP($D77,$C$5:$AU$501,3,)=0,0,(VLOOKUP($D77,$C$5:$AU$501,26,)/VLOOKUP($D77,$C$5:$AU$501,3,))*$E77)</f>
        <v>0</v>
      </c>
      <c r="AC77" s="65">
        <f>IF(VLOOKUP($D77,$C$5:$AU$501,3,)=0,0,(VLOOKUP($D77,$C$5:$AU$501,27,)/VLOOKUP($D77,$C$5:$AU$501,3,))*$E77)</f>
        <v>0</v>
      </c>
      <c r="AD77" s="65">
        <f>IF(VLOOKUP($D77,$C$5:$AU$501,3,)=0,0,(VLOOKUP($D77,$C$5:$AU$501,28,)/VLOOKUP($D77,$C$5:$AU$501,3,))*$E77)</f>
        <v>0</v>
      </c>
      <c r="AE77" s="65">
        <f>IF(VLOOKUP($D77,$C$5:$AU$501,3,)=0,0,(VLOOKUP($D77,$C$5:$AU$501,29,)/VLOOKUP($D77,$C$5:$AU$501,3,))*$E77)</f>
        <v>0</v>
      </c>
      <c r="AF77" s="65">
        <f>IF(VLOOKUP($D77,$C$5:$AU$501,3,)=0,0,(VLOOKUP($D77,$C$5:$AU$501,30,)/VLOOKUP($D77,$C$5:$AU$501,3,))*$E77)</f>
        <v>0</v>
      </c>
      <c r="AG77" s="90">
        <f>SUM(F77:AF77)</f>
        <v>0</v>
      </c>
      <c r="AH77" s="29" t="str">
        <f>IF(ABS(E77-AG77)&lt;0.01,"ok","err")</f>
        <v>ok</v>
      </c>
    </row>
    <row r="78" spans="1:34" x14ac:dyDescent="0.2">
      <c r="E78" s="255"/>
    </row>
    <row r="79" spans="1:34" x14ac:dyDescent="0.2">
      <c r="A79" s="14" t="s">
        <v>0</v>
      </c>
      <c r="C79" s="14" t="s">
        <v>248</v>
      </c>
      <c r="E79" s="254">
        <f>E49+E52+E55+E60+E65+E68+E71+E74+E77</f>
        <v>150922684.47999999</v>
      </c>
      <c r="F79" s="65">
        <f t="shared" ref="F79:R79" si="14">F49+F52+F55+F60+F65+F68+F71+F74+F77</f>
        <v>126904442.16808322</v>
      </c>
      <c r="G79" s="65">
        <f t="shared" si="14"/>
        <v>8440378.9415048584</v>
      </c>
      <c r="H79" s="65">
        <f t="shared" si="14"/>
        <v>7995930.0545385471</v>
      </c>
      <c r="I79" s="65">
        <f t="shared" si="14"/>
        <v>152398.84501526656</v>
      </c>
      <c r="J79" s="65">
        <f t="shared" si="14"/>
        <v>1056840.2783610937</v>
      </c>
      <c r="K79" s="65">
        <f t="shared" si="14"/>
        <v>5772718.5916409642</v>
      </c>
      <c r="L79" s="65">
        <f t="shared" si="14"/>
        <v>599975.60085605329</v>
      </c>
      <c r="M79" s="65">
        <f t="shared" si="14"/>
        <v>0</v>
      </c>
      <c r="N79" s="65">
        <f t="shared" si="14"/>
        <v>0</v>
      </c>
      <c r="O79" s="65">
        <f t="shared" si="14"/>
        <v>0</v>
      </c>
      <c r="P79" s="65">
        <f t="shared" si="14"/>
        <v>0</v>
      </c>
      <c r="Q79" s="65">
        <f t="shared" si="14"/>
        <v>0</v>
      </c>
      <c r="R79" s="65">
        <f t="shared" si="14"/>
        <v>0</v>
      </c>
      <c r="S79" s="65">
        <f t="shared" ref="S79:AF79" si="15">S49+S55+S60+S65+S68+S71+S74+S77</f>
        <v>0</v>
      </c>
      <c r="T79" s="65">
        <f t="shared" si="15"/>
        <v>0</v>
      </c>
      <c r="U79" s="65">
        <f t="shared" si="15"/>
        <v>0</v>
      </c>
      <c r="V79" s="65">
        <f t="shared" si="15"/>
        <v>0</v>
      </c>
      <c r="W79" s="65">
        <f t="shared" si="15"/>
        <v>0</v>
      </c>
      <c r="X79" s="65">
        <f t="shared" si="15"/>
        <v>0</v>
      </c>
      <c r="Y79" s="65">
        <f t="shared" si="15"/>
        <v>0</v>
      </c>
      <c r="Z79" s="65">
        <f t="shared" si="15"/>
        <v>0</v>
      </c>
      <c r="AA79" s="65">
        <f t="shared" si="15"/>
        <v>0</v>
      </c>
      <c r="AB79" s="65">
        <f t="shared" si="15"/>
        <v>0</v>
      </c>
      <c r="AC79" s="65">
        <f t="shared" si="15"/>
        <v>0</v>
      </c>
      <c r="AD79" s="65">
        <f t="shared" si="15"/>
        <v>0</v>
      </c>
      <c r="AE79" s="65">
        <f t="shared" si="15"/>
        <v>0</v>
      </c>
      <c r="AF79" s="65">
        <f t="shared" si="15"/>
        <v>0</v>
      </c>
      <c r="AG79" s="90">
        <f>SUM(F79:AF79)</f>
        <v>150922684.48000002</v>
      </c>
      <c r="AH79" s="29" t="str">
        <f>IF(ABS(E79-AG79)&lt;0.01,"ok","err")</f>
        <v>ok</v>
      </c>
    </row>
    <row r="80" spans="1:34" x14ac:dyDescent="0.2">
      <c r="F80" s="47">
        <f>F79/E79</f>
        <v>0.84085730786812485</v>
      </c>
    </row>
    <row r="82" spans="1:34" x14ac:dyDescent="0.2">
      <c r="A82" s="27" t="s">
        <v>249</v>
      </c>
    </row>
    <row r="84" spans="1:34" x14ac:dyDescent="0.2">
      <c r="A84" s="13" t="s">
        <v>896</v>
      </c>
    </row>
    <row r="85" spans="1:34" x14ac:dyDescent="0.2">
      <c r="A85" s="93" t="s">
        <v>209</v>
      </c>
      <c r="C85" s="14" t="s">
        <v>250</v>
      </c>
      <c r="D85" s="14" t="s">
        <v>657</v>
      </c>
      <c r="E85" s="254">
        <f>'Func &amp; Classif'!H144</f>
        <v>0</v>
      </c>
      <c r="F85" s="65">
        <f>IF(VLOOKUP($D85,$C$5:$AU$501,3,)=0,0,(VLOOKUP($D85,$C$5:$AU$501,4,)/VLOOKUP($D85,$C$5:$AU$501,3,))*$E85)</f>
        <v>0</v>
      </c>
      <c r="G85" s="65">
        <f>IF(VLOOKUP($D85,$C$5:$AU$501,3,)=0,0,(VLOOKUP($D85,$C$5:$AU$501,5,)/VLOOKUP($D85,$C$5:$AU$501,3,))*$E85)</f>
        <v>0</v>
      </c>
      <c r="H85" s="65">
        <f>IF(VLOOKUP($D85,$C$5:$AU$501,3,)=0,0,(VLOOKUP($D85,$C$5:$AU$501,6,)/VLOOKUP($D85,$C$5:$AU$501,3,))*$E85)</f>
        <v>0</v>
      </c>
      <c r="I85" s="65">
        <f>IF(VLOOKUP($D85,$C$5:$AU$501,3,)=0,0,(VLOOKUP($D85,$C$5:$AU$501,7,)/VLOOKUP($D85,$C$5:$AU$501,3,))*$E85)</f>
        <v>0</v>
      </c>
      <c r="J85" s="65">
        <f>IF(VLOOKUP($D85,$C$5:$AU$501,3,)=0,0,(VLOOKUP($D85,$C$5:$AU$501,8,)/VLOOKUP($D85,$C$5:$AU$501,3,))*$E85)</f>
        <v>0</v>
      </c>
      <c r="K85" s="65">
        <f>IF(VLOOKUP($D85,$C$5:$AU$501,3,)=0,0,(VLOOKUP($D85,$C$5:$AU$501,9,)/VLOOKUP($D85,$C$5:$AU$501,3,))*$E85)</f>
        <v>0</v>
      </c>
      <c r="L85" s="65">
        <f>IF(VLOOKUP($D85,$C$5:$AU$501,3,)=0,0,(VLOOKUP($D85,$C$5:$AU$501,10,)/VLOOKUP($D85,$C$5:$AU$501,3,))*$E85)</f>
        <v>0</v>
      </c>
      <c r="M85" s="65">
        <f>IF(VLOOKUP($D85,$C$5:$AU$501,3,)=0,0,(VLOOKUP($D85,$C$5:$AU$501,11,)/VLOOKUP($D85,$C$5:$AU$501,3,))*$E85)</f>
        <v>0</v>
      </c>
      <c r="N85" s="65">
        <f>IF(VLOOKUP($D85,$C$5:$AU$501,3,)=0,0,(VLOOKUP($D85,$C$5:$AU$501,12,)/VLOOKUP($D85,$C$5:$AU$501,3,))*$E85)</f>
        <v>0</v>
      </c>
      <c r="O85" s="65">
        <f>IF(VLOOKUP($D85,$C$5:$AU$501,3,)=0,0,(VLOOKUP($D85,$C$5:$AU$501,13,)/VLOOKUP($D85,$C$5:$AU$501,3,))*$E85)</f>
        <v>0</v>
      </c>
      <c r="P85" s="65">
        <f>IF(VLOOKUP($D85,$C$5:$AU$501,3,)=0,0,(VLOOKUP($D85,$C$5:$AU$501,14,)/VLOOKUP($D85,$C$5:$AU$501,3,))*$E85)</f>
        <v>0</v>
      </c>
      <c r="Q85" s="65">
        <f>IF(VLOOKUP($D85,$C$5:$AU$501,3,)=0,0,(VLOOKUP($D85,$C$5:$AU$501,15,)/VLOOKUP($D85,$C$5:$AU$501,3,))*$E85)</f>
        <v>0</v>
      </c>
      <c r="R85" s="65">
        <f>IF(VLOOKUP($D85,$C$5:$AU$501,3,)=0,0,(VLOOKUP($D85,$C$5:$AU$501,16,)/VLOOKUP($D85,$C$5:$AU$501,3,))*$E85)</f>
        <v>0</v>
      </c>
      <c r="S85" s="65">
        <f>IF(VLOOKUP($D85,$C$5:$AU$501,3,)=0,0,(VLOOKUP($D85,$C$5:$AU$501,17,)/VLOOKUP($D85,$C$5:$AU$501,3,))*$E85)</f>
        <v>0</v>
      </c>
      <c r="T85" s="65">
        <f>IF(VLOOKUP($D85,$C$5:$AU$501,3,)=0,0,(VLOOKUP($D85,$C$5:$AU$501,18,)/VLOOKUP($D85,$C$5:$AU$501,3,))*$E85)</f>
        <v>0</v>
      </c>
      <c r="U85" s="65">
        <f>IF(VLOOKUP($D85,$C$5:$AU$501,3,)=0,0,(VLOOKUP($D85,$C$5:$AU$501,19,)/VLOOKUP($D85,$C$5:$AU$501,3,))*$E85)</f>
        <v>0</v>
      </c>
      <c r="V85" s="65">
        <f>IF(VLOOKUP($D85,$C$5:$AU$501,3,)=0,0,(VLOOKUP($D85,$C$5:$AU$501,20,)/VLOOKUP($D85,$C$5:$AU$501,3,))*$E85)</f>
        <v>0</v>
      </c>
      <c r="W85" s="65">
        <f>IF(VLOOKUP($D85,$C$5:$AU$501,3,)=0,0,(VLOOKUP($D85,$C$5:$AU$501,21,)/VLOOKUP($D85,$C$5:$AU$501,3,))*$E85)</f>
        <v>0</v>
      </c>
      <c r="X85" s="65">
        <f>IF(VLOOKUP($D85,$C$5:$AU$501,3,)=0,0,(VLOOKUP($D85,$C$5:$AU$501,22,)/VLOOKUP($D85,$C$5:$AU$501,3,))*$E85)</f>
        <v>0</v>
      </c>
      <c r="Y85" s="65">
        <f>IF(VLOOKUP($D85,$C$5:$AU$501,3,)=0,0,(VLOOKUP($D85,$C$5:$AU$501,23,)/VLOOKUP($D85,$C$5:$AU$501,3,))*$E85)</f>
        <v>0</v>
      </c>
      <c r="Z85" s="65">
        <f>IF(VLOOKUP($D85,$C$5:$AU$501,3,)=0,0,(VLOOKUP($D85,$C$5:$AU$501,24,)/VLOOKUP($D85,$C$5:$AU$501,3,))*$E85)</f>
        <v>0</v>
      </c>
      <c r="AA85" s="65">
        <f>IF(VLOOKUP($D85,$C$5:$AU$501,3,)=0,0,(VLOOKUP($D85,$C$5:$AU$501,25,)/VLOOKUP($D85,$C$5:$AU$501,3,))*$E85)</f>
        <v>0</v>
      </c>
      <c r="AB85" s="65">
        <f>IF(VLOOKUP($D85,$C$5:$AU$501,3,)=0,0,(VLOOKUP($D85,$C$5:$AU$501,26,)/VLOOKUP($D85,$C$5:$AU$501,3,))*$E85)</f>
        <v>0</v>
      </c>
      <c r="AC85" s="65">
        <f>IF(VLOOKUP($D85,$C$5:$AU$501,3,)=0,0,(VLOOKUP($D85,$C$5:$AU$501,27,)/VLOOKUP($D85,$C$5:$AU$501,3,))*$E85)</f>
        <v>0</v>
      </c>
      <c r="AD85" s="65">
        <f>IF(VLOOKUP($D85,$C$5:$AU$501,3,)=0,0,(VLOOKUP($D85,$C$5:$AU$501,28,)/VLOOKUP($D85,$C$5:$AU$501,3,))*$E85)</f>
        <v>0</v>
      </c>
      <c r="AE85" s="65">
        <f>IF(VLOOKUP($D85,$C$5:$AU$501,3,)=0,0,(VLOOKUP($D85,$C$5:$AU$501,29,)/VLOOKUP($D85,$C$5:$AU$501,3,))*$E85)</f>
        <v>0</v>
      </c>
      <c r="AF85" s="65">
        <f>IF(VLOOKUP($D85,$C$5:$AU$501,3,)=0,0,(VLOOKUP($D85,$C$5:$AU$501,30,)/VLOOKUP($D85,$C$5:$AU$501,3,))*$E85)</f>
        <v>0</v>
      </c>
      <c r="AG85" s="90">
        <f>SUM(F85:AF85)</f>
        <v>0</v>
      </c>
      <c r="AH85" s="29" t="str">
        <f>IF(ABS(E85-AG85)&lt;0.01,"ok","err")</f>
        <v>ok</v>
      </c>
    </row>
    <row r="86" spans="1:34" x14ac:dyDescent="0.2">
      <c r="A86" s="93" t="s">
        <v>212</v>
      </c>
      <c r="C86" s="14" t="s">
        <v>251</v>
      </c>
      <c r="D86" s="14" t="s">
        <v>666</v>
      </c>
      <c r="E86" s="255">
        <f>'Func &amp; Classif'!I144</f>
        <v>0</v>
      </c>
      <c r="F86" s="65">
        <f>IF(VLOOKUP($D86,$C$5:$AU$501,3,)=0,0,(VLOOKUP($D86,$C$5:$AU$501,4,)/VLOOKUP($D86,$C$5:$AU$501,3,))*$E86)</f>
        <v>0</v>
      </c>
      <c r="G86" s="65">
        <f>IF(VLOOKUP($D86,$C$5:$AU$501,3,)=0,0,(VLOOKUP($D86,$C$5:$AU$501,5,)/VLOOKUP($D86,$C$5:$AU$501,3,))*$E86)</f>
        <v>0</v>
      </c>
      <c r="H86" s="65">
        <f>IF(VLOOKUP($D86,$C$5:$AU$501,3,)=0,0,(VLOOKUP($D86,$C$5:$AU$501,6,)/VLOOKUP($D86,$C$5:$AU$501,3,))*$E86)</f>
        <v>0</v>
      </c>
      <c r="I86" s="65">
        <f>IF(VLOOKUP($D86,$C$5:$AU$501,3,)=0,0,(VLOOKUP($D86,$C$5:$AU$501,7,)/VLOOKUP($D86,$C$5:$AU$501,3,))*$E86)</f>
        <v>0</v>
      </c>
      <c r="J86" s="65">
        <f>IF(VLOOKUP($D86,$C$5:$AU$501,3,)=0,0,(VLOOKUP($D86,$C$5:$AU$501,8,)/VLOOKUP($D86,$C$5:$AU$501,3,))*$E86)</f>
        <v>0</v>
      </c>
      <c r="K86" s="65">
        <f>IF(VLOOKUP($D86,$C$5:$AU$501,3,)=0,0,(VLOOKUP($D86,$C$5:$AU$501,9,)/VLOOKUP($D86,$C$5:$AU$501,3,))*$E86)</f>
        <v>0</v>
      </c>
      <c r="L86" s="65">
        <f>IF(VLOOKUP($D86,$C$5:$AU$501,3,)=0,0,(VLOOKUP($D86,$C$5:$AU$501,10,)/VLOOKUP($D86,$C$5:$AU$501,3,))*$E86)</f>
        <v>0</v>
      </c>
      <c r="M86" s="65">
        <f>IF(VLOOKUP($D86,$C$5:$AU$501,3,)=0,0,(VLOOKUP($D86,$C$5:$AU$501,11,)/VLOOKUP($D86,$C$5:$AU$501,3,))*$E86)</f>
        <v>0</v>
      </c>
      <c r="N86" s="65">
        <f>IF(VLOOKUP($D86,$C$5:$AU$501,3,)=0,0,(VLOOKUP($D86,$C$5:$AU$501,12,)/VLOOKUP($D86,$C$5:$AU$501,3,))*$E86)</f>
        <v>0</v>
      </c>
      <c r="O86" s="65">
        <f>IF(VLOOKUP($D86,$C$5:$AU$501,3,)=0,0,(VLOOKUP($D86,$C$5:$AU$501,13,)/VLOOKUP($D86,$C$5:$AU$501,3,))*$E86)</f>
        <v>0</v>
      </c>
      <c r="P86" s="65">
        <f>IF(VLOOKUP($D86,$C$5:$AU$501,3,)=0,0,(VLOOKUP($D86,$C$5:$AU$501,14,)/VLOOKUP($D86,$C$5:$AU$501,3,))*$E86)</f>
        <v>0</v>
      </c>
      <c r="Q86" s="65">
        <f>IF(VLOOKUP($D86,$C$5:$AU$501,3,)=0,0,(VLOOKUP($D86,$C$5:$AU$501,15,)/VLOOKUP($D86,$C$5:$AU$501,3,))*$E86)</f>
        <v>0</v>
      </c>
      <c r="R86" s="65">
        <f>IF(VLOOKUP($D86,$C$5:$AU$501,3,)=0,0,(VLOOKUP($D86,$C$5:$AU$501,16,)/VLOOKUP($D86,$C$5:$AU$501,3,))*$E86)</f>
        <v>0</v>
      </c>
      <c r="S86" s="65">
        <f>IF(VLOOKUP($D86,$C$5:$AU$501,3,)=0,0,(VLOOKUP($D86,$C$5:$AU$501,17,)/VLOOKUP($D86,$C$5:$AU$501,3,))*$E86)</f>
        <v>0</v>
      </c>
      <c r="T86" s="65">
        <f>IF(VLOOKUP($D86,$C$5:$AU$501,3,)=0,0,(VLOOKUP($D86,$C$5:$AU$501,18,)/VLOOKUP($D86,$C$5:$AU$501,3,))*$E86)</f>
        <v>0</v>
      </c>
      <c r="U86" s="65">
        <f>IF(VLOOKUP($D86,$C$5:$AU$501,3,)=0,0,(VLOOKUP($D86,$C$5:$AU$501,19,)/VLOOKUP($D86,$C$5:$AU$501,3,))*$E86)</f>
        <v>0</v>
      </c>
      <c r="V86" s="65">
        <f>IF(VLOOKUP($D86,$C$5:$AU$501,3,)=0,0,(VLOOKUP($D86,$C$5:$AU$501,20,)/VLOOKUP($D86,$C$5:$AU$501,3,))*$E86)</f>
        <v>0</v>
      </c>
      <c r="W86" s="65">
        <f>IF(VLOOKUP($D86,$C$5:$AU$501,3,)=0,0,(VLOOKUP($D86,$C$5:$AU$501,21,)/VLOOKUP($D86,$C$5:$AU$501,3,))*$E86)</f>
        <v>0</v>
      </c>
      <c r="X86" s="65">
        <f>IF(VLOOKUP($D86,$C$5:$AU$501,3,)=0,0,(VLOOKUP($D86,$C$5:$AU$501,22,)/VLOOKUP($D86,$C$5:$AU$501,3,))*$E86)</f>
        <v>0</v>
      </c>
      <c r="Y86" s="65">
        <f>IF(VLOOKUP($D86,$C$5:$AU$501,3,)=0,0,(VLOOKUP($D86,$C$5:$AU$501,23,)/VLOOKUP($D86,$C$5:$AU$501,3,))*$E86)</f>
        <v>0</v>
      </c>
      <c r="Z86" s="65">
        <f>IF(VLOOKUP($D86,$C$5:$AU$501,3,)=0,0,(VLOOKUP($D86,$C$5:$AU$501,24,)/VLOOKUP($D86,$C$5:$AU$501,3,))*$E86)</f>
        <v>0</v>
      </c>
      <c r="AA86" s="65">
        <f>IF(VLOOKUP($D86,$C$5:$AU$501,3,)=0,0,(VLOOKUP($D86,$C$5:$AU$501,25,)/VLOOKUP($D86,$C$5:$AU$501,3,))*$E86)</f>
        <v>0</v>
      </c>
      <c r="AB86" s="65">
        <f>IF(VLOOKUP($D86,$C$5:$AU$501,3,)=0,0,(VLOOKUP($D86,$C$5:$AU$501,26,)/VLOOKUP($D86,$C$5:$AU$501,3,))*$E86)</f>
        <v>0</v>
      </c>
      <c r="AC86" s="65">
        <f>IF(VLOOKUP($D86,$C$5:$AU$501,3,)=0,0,(VLOOKUP($D86,$C$5:$AU$501,27,)/VLOOKUP($D86,$C$5:$AU$501,3,))*$E86)</f>
        <v>0</v>
      </c>
      <c r="AD86" s="65">
        <f>IF(VLOOKUP($D86,$C$5:$AU$501,3,)=0,0,(VLOOKUP($D86,$C$5:$AU$501,28,)/VLOOKUP($D86,$C$5:$AU$501,3,))*$E86)</f>
        <v>0</v>
      </c>
      <c r="AE86" s="65">
        <f>IF(VLOOKUP($D86,$C$5:$AU$501,3,)=0,0,(VLOOKUP($D86,$C$5:$AU$501,29,)/VLOOKUP($D86,$C$5:$AU$501,3,))*$E86)</f>
        <v>0</v>
      </c>
      <c r="AF86" s="65">
        <f>IF(VLOOKUP($D86,$C$5:$AU$501,3,)=0,0,(VLOOKUP($D86,$C$5:$AU$501,30,)/VLOOKUP($D86,$C$5:$AU$501,3,))*$E86)</f>
        <v>0</v>
      </c>
      <c r="AG86" s="90">
        <f>SUM(F86:AF86)</f>
        <v>0</v>
      </c>
      <c r="AH86" s="29" t="str">
        <f>IF(ABS(E86-AG86)&lt;0.01,"ok","err")</f>
        <v>ok</v>
      </c>
    </row>
    <row r="87" spans="1:34" x14ac:dyDescent="0.2">
      <c r="A87" s="14" t="s">
        <v>215</v>
      </c>
      <c r="C87" s="14" t="s">
        <v>252</v>
      </c>
      <c r="E87" s="255">
        <f t="shared" ref="E87:T87" si="16">E85+E86</f>
        <v>0</v>
      </c>
      <c r="F87" s="65">
        <f t="shared" si="16"/>
        <v>0</v>
      </c>
      <c r="G87" s="65">
        <f t="shared" si="16"/>
        <v>0</v>
      </c>
      <c r="H87" s="65">
        <f t="shared" si="16"/>
        <v>0</v>
      </c>
      <c r="I87" s="65">
        <f t="shared" si="16"/>
        <v>0</v>
      </c>
      <c r="J87" s="65">
        <f t="shared" si="16"/>
        <v>0</v>
      </c>
      <c r="K87" s="65">
        <f t="shared" si="16"/>
        <v>0</v>
      </c>
      <c r="L87" s="65">
        <f t="shared" si="16"/>
        <v>0</v>
      </c>
      <c r="M87" s="65">
        <f t="shared" si="16"/>
        <v>0</v>
      </c>
      <c r="N87" s="65">
        <f t="shared" si="16"/>
        <v>0</v>
      </c>
      <c r="O87" s="65">
        <f t="shared" si="16"/>
        <v>0</v>
      </c>
      <c r="P87" s="65">
        <f t="shared" si="16"/>
        <v>0</v>
      </c>
      <c r="Q87" s="65">
        <f t="shared" si="16"/>
        <v>0</v>
      </c>
      <c r="R87" s="65">
        <f t="shared" si="16"/>
        <v>0</v>
      </c>
      <c r="S87" s="65">
        <f t="shared" si="16"/>
        <v>0</v>
      </c>
      <c r="T87" s="65">
        <f t="shared" si="16"/>
        <v>0</v>
      </c>
      <c r="U87" s="65">
        <f t="shared" ref="U87:AF87" si="17">U85+U86</f>
        <v>0</v>
      </c>
      <c r="V87" s="65">
        <f t="shared" si="17"/>
        <v>0</v>
      </c>
      <c r="W87" s="65">
        <f t="shared" si="17"/>
        <v>0</v>
      </c>
      <c r="X87" s="65">
        <f t="shared" si="17"/>
        <v>0</v>
      </c>
      <c r="Y87" s="65">
        <f t="shared" si="17"/>
        <v>0</v>
      </c>
      <c r="Z87" s="65">
        <f t="shared" si="17"/>
        <v>0</v>
      </c>
      <c r="AA87" s="65">
        <f t="shared" si="17"/>
        <v>0</v>
      </c>
      <c r="AB87" s="65">
        <f t="shared" si="17"/>
        <v>0</v>
      </c>
      <c r="AC87" s="65">
        <f t="shared" si="17"/>
        <v>0</v>
      </c>
      <c r="AD87" s="65">
        <f t="shared" si="17"/>
        <v>0</v>
      </c>
      <c r="AE87" s="65">
        <f t="shared" si="17"/>
        <v>0</v>
      </c>
      <c r="AF87" s="65">
        <f t="shared" si="17"/>
        <v>0</v>
      </c>
      <c r="AG87" s="90">
        <f>SUM(F87:AF87)</f>
        <v>0</v>
      </c>
      <c r="AH87" s="29" t="str">
        <f>IF(ABS(E87-AG87)&lt;0.01,"ok","err")</f>
        <v>ok</v>
      </c>
    </row>
    <row r="88" spans="1:34" x14ac:dyDescent="0.2">
      <c r="E88" s="255"/>
      <c r="F88" s="49"/>
    </row>
    <row r="89" spans="1:34" x14ac:dyDescent="0.2">
      <c r="A89" s="13" t="s">
        <v>350</v>
      </c>
      <c r="E89" s="255"/>
      <c r="F89" s="49"/>
    </row>
    <row r="90" spans="1:34" x14ac:dyDescent="0.2">
      <c r="A90" s="93" t="s">
        <v>209</v>
      </c>
      <c r="C90" s="14" t="s">
        <v>887</v>
      </c>
      <c r="D90" s="14" t="s">
        <v>599</v>
      </c>
      <c r="E90" s="254">
        <f>'Func &amp; Classif'!K144</f>
        <v>0</v>
      </c>
      <c r="F90" s="65">
        <f>IF(VLOOKUP($D90,$C$5:$AU$501,3,)=0,0,(VLOOKUP($D90,$C$5:$AU$501,4,)/VLOOKUP($D90,$C$5:$AU$501,3,))*$E90)</f>
        <v>0</v>
      </c>
      <c r="G90" s="65">
        <f>IF(VLOOKUP($D90,$C$5:$AU$501,3,)=0,0,(VLOOKUP($D90,$C$5:$AU$501,5,)/VLOOKUP($D90,$C$5:$AU$501,3,))*$E90)</f>
        <v>0</v>
      </c>
      <c r="H90" s="65">
        <f>IF(VLOOKUP($D90,$C$5:$AU$501,3,)=0,0,(VLOOKUP($D90,$C$5:$AU$501,6,)/VLOOKUP($D90,$C$5:$AU$501,3,))*$E90)</f>
        <v>0</v>
      </c>
      <c r="I90" s="65">
        <f>IF(VLOOKUP($D90,$C$5:$AU$501,3,)=0,0,(VLOOKUP($D90,$C$5:$AU$501,7,)/VLOOKUP($D90,$C$5:$AU$501,3,))*$E90)</f>
        <v>0</v>
      </c>
      <c r="J90" s="65">
        <f>IF(VLOOKUP($D90,$C$5:$AU$501,3,)=0,0,(VLOOKUP($D90,$C$5:$AU$501,8,)/VLOOKUP($D90,$C$5:$AU$501,3,))*$E90)</f>
        <v>0</v>
      </c>
      <c r="K90" s="65">
        <f>IF(VLOOKUP($D90,$C$5:$AU$501,3,)=0,0,(VLOOKUP($D90,$C$5:$AU$501,9,)/VLOOKUP($D90,$C$5:$AU$501,3,))*$E90)</f>
        <v>0</v>
      </c>
      <c r="L90" s="65">
        <f>IF(VLOOKUP($D90,$C$5:$AU$501,3,)=0,0,(VLOOKUP($D90,$C$5:$AU$501,10,)/VLOOKUP($D90,$C$5:$AU$501,3,))*$E90)</f>
        <v>0</v>
      </c>
      <c r="M90" s="65">
        <f>IF(VLOOKUP($D90,$C$5:$AU$501,3,)=0,0,(VLOOKUP($D90,$C$5:$AU$501,11,)/VLOOKUP($D90,$C$5:$AU$501,3,))*$E90)</f>
        <v>0</v>
      </c>
      <c r="N90" s="65">
        <f>IF(VLOOKUP($D90,$C$5:$AU$501,3,)=0,0,(VLOOKUP($D90,$C$5:$AU$501,12,)/VLOOKUP($D90,$C$5:$AU$501,3,))*$E90)</f>
        <v>0</v>
      </c>
      <c r="O90" s="65">
        <f>IF(VLOOKUP($D90,$C$5:$AU$501,3,)=0,0,(VLOOKUP($D90,$C$5:$AU$501,13,)/VLOOKUP($D90,$C$5:$AU$501,3,))*$E90)</f>
        <v>0</v>
      </c>
      <c r="P90" s="65">
        <f>IF(VLOOKUP($D90,$C$5:$AU$501,3,)=0,0,(VLOOKUP($D90,$C$5:$AU$501,14,)/VLOOKUP($D90,$C$5:$AU$501,3,))*$E90)</f>
        <v>0</v>
      </c>
      <c r="Q90" s="65">
        <f>IF(VLOOKUP($D90,$C$5:$AU$501,3,)=0,0,(VLOOKUP($D90,$C$5:$AU$501,15,)/VLOOKUP($D90,$C$5:$AU$501,3,))*$E90)</f>
        <v>0</v>
      </c>
      <c r="R90" s="65">
        <f>IF(VLOOKUP($D90,$C$5:$AU$501,3,)=0,0,(VLOOKUP($D90,$C$5:$AU$501,16,)/VLOOKUP($D90,$C$5:$AU$501,3,))*$E90)</f>
        <v>0</v>
      </c>
      <c r="S90" s="65">
        <f>IF(VLOOKUP($D90,$C$5:$AU$501,3,)=0,0,(VLOOKUP($D90,$C$5:$AU$501,17,)/VLOOKUP($D90,$C$5:$AU$501,3,))*$E90)</f>
        <v>0</v>
      </c>
      <c r="T90" s="65">
        <f>IF(VLOOKUP($D90,$C$5:$AU$501,3,)=0,0,(VLOOKUP($D90,$C$5:$AU$501,18,)/VLOOKUP($D90,$C$5:$AU$501,3,))*$E90)</f>
        <v>0</v>
      </c>
      <c r="U90" s="65">
        <f>IF(VLOOKUP($D90,$C$5:$AU$501,3,)=0,0,(VLOOKUP($D90,$C$5:$AU$501,19,)/VLOOKUP($D90,$C$5:$AU$501,3,))*$E90)</f>
        <v>0</v>
      </c>
      <c r="V90" s="65">
        <f>IF(VLOOKUP($D90,$C$5:$AU$501,3,)=0,0,(VLOOKUP($D90,$C$5:$AU$501,20,)/VLOOKUP($D90,$C$5:$AU$501,3,))*$E90)</f>
        <v>0</v>
      </c>
      <c r="W90" s="65">
        <f>IF(VLOOKUP($D90,$C$5:$AU$501,3,)=0,0,(VLOOKUP($D90,$C$5:$AU$501,21,)/VLOOKUP($D90,$C$5:$AU$501,3,))*$E90)</f>
        <v>0</v>
      </c>
      <c r="X90" s="65">
        <f>IF(VLOOKUP($D90,$C$5:$AU$501,3,)=0,0,(VLOOKUP($D90,$C$5:$AU$501,22,)/VLOOKUP($D90,$C$5:$AU$501,3,))*$E90)</f>
        <v>0</v>
      </c>
      <c r="Y90" s="65">
        <f>IF(VLOOKUP($D90,$C$5:$AU$501,3,)=0,0,(VLOOKUP($D90,$C$5:$AU$501,23,)/VLOOKUP($D90,$C$5:$AU$501,3,))*$E90)</f>
        <v>0</v>
      </c>
      <c r="Z90" s="65">
        <f>IF(VLOOKUP($D90,$C$5:$AU$501,3,)=0,0,(VLOOKUP($D90,$C$5:$AU$501,24,)/VLOOKUP($D90,$C$5:$AU$501,3,))*$E90)</f>
        <v>0</v>
      </c>
      <c r="AA90" s="65">
        <f>IF(VLOOKUP($D90,$C$5:$AU$501,3,)=0,0,(VLOOKUP($D90,$C$5:$AU$501,25,)/VLOOKUP($D90,$C$5:$AU$501,3,))*$E90)</f>
        <v>0</v>
      </c>
      <c r="AB90" s="65">
        <f>IF(VLOOKUP($D90,$C$5:$AU$501,3,)=0,0,(VLOOKUP($D90,$C$5:$AU$501,26,)/VLOOKUP($D90,$C$5:$AU$501,3,))*$E90)</f>
        <v>0</v>
      </c>
      <c r="AC90" s="65">
        <f>IF(VLOOKUP($D90,$C$5:$AU$501,3,)=0,0,(VLOOKUP($D90,$C$5:$AU$501,27,)/VLOOKUP($D90,$C$5:$AU$501,3,))*$E90)</f>
        <v>0</v>
      </c>
      <c r="AD90" s="65">
        <f>IF(VLOOKUP($D90,$C$5:$AU$501,3,)=0,0,(VLOOKUP($D90,$C$5:$AU$501,28,)/VLOOKUP($D90,$C$5:$AU$501,3,))*$E90)</f>
        <v>0</v>
      </c>
      <c r="AE90" s="65">
        <f>IF(VLOOKUP($D90,$C$5:$AU$501,3,)=0,0,(VLOOKUP($D90,$C$5:$AU$501,29,)/VLOOKUP($D90,$C$5:$AU$501,3,))*$E90)</f>
        <v>0</v>
      </c>
      <c r="AF90" s="65">
        <f>IF(VLOOKUP($D90,$C$5:$AU$501,3,)=0,0,(VLOOKUP($D90,$C$5:$AU$501,30,)/VLOOKUP($D90,$C$5:$AU$501,3,))*$E90)</f>
        <v>0</v>
      </c>
      <c r="AG90" s="90">
        <f>SUM(F90:AF90)</f>
        <v>0</v>
      </c>
      <c r="AH90" s="29" t="str">
        <f>IF(ABS(E90-AG90)&lt;0.01,"ok","err")</f>
        <v>ok</v>
      </c>
    </row>
    <row r="91" spans="1:34" x14ac:dyDescent="0.2">
      <c r="E91" s="255"/>
    </row>
    <row r="92" spans="1:34" x14ac:dyDescent="0.2">
      <c r="A92" s="13" t="s">
        <v>1</v>
      </c>
      <c r="E92" s="255"/>
      <c r="F92" s="49"/>
    </row>
    <row r="93" spans="1:34" x14ac:dyDescent="0.2">
      <c r="A93" s="93" t="s">
        <v>209</v>
      </c>
      <c r="C93" s="14" t="s">
        <v>253</v>
      </c>
      <c r="D93" s="14" t="s">
        <v>615</v>
      </c>
      <c r="E93" s="254">
        <f>'Func &amp; Classif'!M144</f>
        <v>19955459.490629051</v>
      </c>
      <c r="F93" s="65">
        <f>IF(VLOOKUP($D93,$C$5:$AU$501,3,)=0,0,(VLOOKUP($D93,$C$5:$AU$501,4,)/VLOOKUP($D93,$C$5:$AU$501,3,))*$E93)</f>
        <v>15118544.730250672</v>
      </c>
      <c r="G93" s="65">
        <f>IF(VLOOKUP($D93,$C$5:$AU$501,3,)=0,0,(VLOOKUP($D93,$C$5:$AU$501,5,)/VLOOKUP($D93,$C$5:$AU$501,3,))*$E93)</f>
        <v>1343657.0833525623</v>
      </c>
      <c r="H93" s="65">
        <f>IF(VLOOKUP($D93,$C$5:$AU$501,3,)=0,0,(VLOOKUP($D93,$C$5:$AU$501,6,)/VLOOKUP($D93,$C$5:$AU$501,3,))*$E93)</f>
        <v>2754669.6056292821</v>
      </c>
      <c r="I93" s="65">
        <f>IF(VLOOKUP($D93,$C$5:$AU$501,3,)=0,0,(VLOOKUP($D93,$C$5:$AU$501,7,)/VLOOKUP($D93,$C$5:$AU$501,3,))*$E93)</f>
        <v>38907.50860554706</v>
      </c>
      <c r="J93" s="65">
        <f>IF(VLOOKUP($D93,$C$5:$AU$501,3,)=0,0,(VLOOKUP($D93,$C$5:$AU$501,8,)/VLOOKUP($D93,$C$5:$AU$501,3,))*$E93)</f>
        <v>396330.77882346069</v>
      </c>
      <c r="K93" s="65">
        <f>IF(VLOOKUP($D93,$C$5:$AU$501,3,)=0,0,(VLOOKUP($D93,$C$5:$AU$501,9,)/VLOOKUP($D93,$C$5:$AU$501,3,))*$E93)</f>
        <v>274931.23634111881</v>
      </c>
      <c r="L93" s="65">
        <f>IF(VLOOKUP($D93,$C$5:$AU$501,3,)=0,0,(VLOOKUP($D93,$C$5:$AU$501,10,)/VLOOKUP($D93,$C$5:$AU$501,3,))*$E93)</f>
        <v>28418.547626408614</v>
      </c>
      <c r="M93" s="65">
        <f>IF(VLOOKUP($D93,$C$5:$AU$501,3,)=0,0,(VLOOKUP($D93,$C$5:$AU$501,11,)/VLOOKUP($D93,$C$5:$AU$501,3,))*$E93)</f>
        <v>0</v>
      </c>
      <c r="N93" s="65">
        <f>IF(VLOOKUP($D93,$C$5:$AU$501,3,)=0,0,(VLOOKUP($D93,$C$5:$AU$501,12,)/VLOOKUP($D93,$C$5:$AU$501,3,))*$E93)</f>
        <v>0</v>
      </c>
      <c r="O93" s="65">
        <f>IF(VLOOKUP($D93,$C$5:$AU$501,3,)=0,0,(VLOOKUP($D93,$C$5:$AU$501,13,)/VLOOKUP($D93,$C$5:$AU$501,3,))*$E93)</f>
        <v>0</v>
      </c>
      <c r="P93" s="65">
        <f>IF(VLOOKUP($D93,$C$5:$AU$501,3,)=0,0,(VLOOKUP($D93,$C$5:$AU$501,14,)/VLOOKUP($D93,$C$5:$AU$501,3,))*$E93)</f>
        <v>0</v>
      </c>
      <c r="Q93" s="65">
        <f>IF(VLOOKUP($D93,$C$5:$AU$501,3,)=0,0,(VLOOKUP($D93,$C$5:$AU$501,15,)/VLOOKUP($D93,$C$5:$AU$501,3,))*$E93)</f>
        <v>0</v>
      </c>
      <c r="R93" s="65">
        <f>IF(VLOOKUP($D93,$C$5:$AU$501,3,)=0,0,(VLOOKUP($D93,$C$5:$AU$501,16,)/VLOOKUP($D93,$C$5:$AU$501,3,))*$E93)</f>
        <v>0</v>
      </c>
      <c r="S93" s="65">
        <f>IF(VLOOKUP($D93,$C$5:$AU$501,3,)=0,0,(VLOOKUP($D93,$C$5:$AU$501,17,)/VLOOKUP($D93,$C$5:$AU$501,3,))*$E93)</f>
        <v>0</v>
      </c>
      <c r="T93" s="65">
        <f>IF(VLOOKUP($D93,$C$5:$AU$501,3,)=0,0,(VLOOKUP($D93,$C$5:$AU$501,18,)/VLOOKUP($D93,$C$5:$AU$501,3,))*$E93)</f>
        <v>0</v>
      </c>
      <c r="U93" s="65">
        <f>IF(VLOOKUP($D93,$C$5:$AU$501,3,)=0,0,(VLOOKUP($D93,$C$5:$AU$501,19,)/VLOOKUP($D93,$C$5:$AU$501,3,))*$E93)</f>
        <v>0</v>
      </c>
      <c r="V93" s="65">
        <f>IF(VLOOKUP($D93,$C$5:$AU$501,3,)=0,0,(VLOOKUP($D93,$C$5:$AU$501,20,)/VLOOKUP($D93,$C$5:$AU$501,3,))*$E93)</f>
        <v>0</v>
      </c>
      <c r="W93" s="65">
        <f>IF(VLOOKUP($D93,$C$5:$AU$501,3,)=0,0,(VLOOKUP($D93,$C$5:$AU$501,21,)/VLOOKUP($D93,$C$5:$AU$501,3,))*$E93)</f>
        <v>0</v>
      </c>
      <c r="X93" s="65">
        <f>IF(VLOOKUP($D93,$C$5:$AU$501,3,)=0,0,(VLOOKUP($D93,$C$5:$AU$501,22,)/VLOOKUP($D93,$C$5:$AU$501,3,))*$E93)</f>
        <v>0</v>
      </c>
      <c r="Y93" s="65">
        <f>IF(VLOOKUP($D93,$C$5:$AU$501,3,)=0,0,(VLOOKUP($D93,$C$5:$AU$501,23,)/VLOOKUP($D93,$C$5:$AU$501,3,))*$E93)</f>
        <v>0</v>
      </c>
      <c r="Z93" s="65">
        <f>IF(VLOOKUP($D93,$C$5:$AU$501,3,)=0,0,(VLOOKUP($D93,$C$5:$AU$501,24,)/VLOOKUP($D93,$C$5:$AU$501,3,))*$E93)</f>
        <v>0</v>
      </c>
      <c r="AA93" s="65">
        <f>IF(VLOOKUP($D93,$C$5:$AU$501,3,)=0,0,(VLOOKUP($D93,$C$5:$AU$501,25,)/VLOOKUP($D93,$C$5:$AU$501,3,))*$E93)</f>
        <v>0</v>
      </c>
      <c r="AB93" s="65">
        <f>IF(VLOOKUP($D93,$C$5:$AU$501,3,)=0,0,(VLOOKUP($D93,$C$5:$AU$501,26,)/VLOOKUP($D93,$C$5:$AU$501,3,))*$E93)</f>
        <v>0</v>
      </c>
      <c r="AC93" s="65">
        <f>IF(VLOOKUP($D93,$C$5:$AU$501,3,)=0,0,(VLOOKUP($D93,$C$5:$AU$501,27,)/VLOOKUP($D93,$C$5:$AU$501,3,))*$E93)</f>
        <v>0</v>
      </c>
      <c r="AD93" s="65">
        <f>IF(VLOOKUP($D93,$C$5:$AU$501,3,)=0,0,(VLOOKUP($D93,$C$5:$AU$501,28,)/VLOOKUP($D93,$C$5:$AU$501,3,))*$E93)</f>
        <v>0</v>
      </c>
      <c r="AE93" s="65">
        <f>IF(VLOOKUP($D93,$C$5:$AU$501,3,)=0,0,(VLOOKUP($D93,$C$5:$AU$501,29,)/VLOOKUP($D93,$C$5:$AU$501,3,))*$E93)</f>
        <v>0</v>
      </c>
      <c r="AF93" s="65">
        <f>IF(VLOOKUP($D93,$C$5:$AU$501,3,)=0,0,(VLOOKUP($D93,$C$5:$AU$501,30,)/VLOOKUP($D93,$C$5:$AU$501,3,))*$E93)</f>
        <v>0</v>
      </c>
      <c r="AG93" s="90">
        <f>SUM(F93:AF93)</f>
        <v>19955459.490629055</v>
      </c>
      <c r="AH93" s="29" t="str">
        <f>IF(ABS(E93-AG93)&lt;0.01,"ok","err")</f>
        <v>ok</v>
      </c>
    </row>
    <row r="94" spans="1:34" x14ac:dyDescent="0.2">
      <c r="E94" s="255"/>
    </row>
    <row r="95" spans="1:34" x14ac:dyDescent="0.2">
      <c r="A95" s="13" t="s">
        <v>2</v>
      </c>
      <c r="E95" s="255"/>
    </row>
    <row r="96" spans="1:34" x14ac:dyDescent="0.2">
      <c r="A96" s="93" t="s">
        <v>209</v>
      </c>
      <c r="C96" s="14" t="s">
        <v>254</v>
      </c>
      <c r="D96" s="14" t="s">
        <v>607</v>
      </c>
      <c r="E96" s="254">
        <f>'Func &amp; Classif'!O144</f>
        <v>43576696.773579009</v>
      </c>
      <c r="F96" s="65">
        <f>IF(VLOOKUP($D96,$C$5:$AU$501,3,)=0,0,(VLOOKUP($D96,$C$5:$AU$501,4,)/VLOOKUP($D96,$C$5:$AU$501,3,))*$E96)</f>
        <v>36716474.256317481</v>
      </c>
      <c r="G96" s="65">
        <f>IF(VLOOKUP($D96,$C$5:$AU$501,3,)=0,0,(VLOOKUP($D96,$C$5:$AU$501,5,)/VLOOKUP($D96,$C$5:$AU$501,3,))*$E96)</f>
        <v>2236557.7199359699</v>
      </c>
      <c r="H96" s="65">
        <f>IF(VLOOKUP($D96,$C$5:$AU$501,3,)=0,0,(VLOOKUP($D96,$C$5:$AU$501,6,)/VLOOKUP($D96,$C$5:$AU$501,3,))*$E96)</f>
        <v>3532455.3379649231</v>
      </c>
      <c r="I96" s="65">
        <f>IF(VLOOKUP($D96,$C$5:$AU$501,3,)=0,0,(VLOOKUP($D96,$C$5:$AU$501,7,)/VLOOKUP($D96,$C$5:$AU$501,3,))*$E96)</f>
        <v>48148.877178264789</v>
      </c>
      <c r="J96" s="65">
        <f>IF(VLOOKUP($D96,$C$5:$AU$501,3,)=0,0,(VLOOKUP($D96,$C$5:$AU$501,8,)/VLOOKUP($D96,$C$5:$AU$501,3,))*$E96)</f>
        <v>600169.34581057262</v>
      </c>
      <c r="K96" s="65">
        <f>IF(VLOOKUP($D96,$C$5:$AU$501,3,)=0,0,(VLOOKUP($D96,$C$5:$AU$501,9,)/VLOOKUP($D96,$C$5:$AU$501,3,))*$E96)</f>
        <v>401253.39901213476</v>
      </c>
      <c r="L96" s="65">
        <f>IF(VLOOKUP($D96,$C$5:$AU$501,3,)=0,0,(VLOOKUP($D96,$C$5:$AU$501,10,)/VLOOKUP($D96,$C$5:$AU$501,3,))*$E96)</f>
        <v>41637.83735966892</v>
      </c>
      <c r="M96" s="65">
        <f>IF(VLOOKUP($D96,$C$5:$AU$501,3,)=0,0,(VLOOKUP($D96,$C$5:$AU$501,11,)/VLOOKUP($D96,$C$5:$AU$501,3,))*$E96)</f>
        <v>0</v>
      </c>
      <c r="N96" s="65">
        <f>IF(VLOOKUP($D96,$C$5:$AU$501,3,)=0,0,(VLOOKUP($D96,$C$5:$AU$501,12,)/VLOOKUP($D96,$C$5:$AU$501,3,))*$E96)</f>
        <v>0</v>
      </c>
      <c r="O96" s="65">
        <f>IF(VLOOKUP($D96,$C$5:$AU$501,3,)=0,0,(VLOOKUP($D96,$C$5:$AU$501,13,)/VLOOKUP($D96,$C$5:$AU$501,3,))*$E96)</f>
        <v>0</v>
      </c>
      <c r="P96" s="65">
        <f>IF(VLOOKUP($D96,$C$5:$AU$501,3,)=0,0,(VLOOKUP($D96,$C$5:$AU$501,14,)/VLOOKUP($D96,$C$5:$AU$501,3,))*$E96)</f>
        <v>0</v>
      </c>
      <c r="Q96" s="65">
        <f>IF(VLOOKUP($D96,$C$5:$AU$501,3,)=0,0,(VLOOKUP($D96,$C$5:$AU$501,15,)/VLOOKUP($D96,$C$5:$AU$501,3,))*$E96)</f>
        <v>0</v>
      </c>
      <c r="R96" s="65">
        <f>IF(VLOOKUP($D96,$C$5:$AU$501,3,)=0,0,(VLOOKUP($D96,$C$5:$AU$501,16,)/VLOOKUP($D96,$C$5:$AU$501,3,))*$E96)</f>
        <v>0</v>
      </c>
      <c r="S96" s="65">
        <f>IF(VLOOKUP($D96,$C$5:$AU$501,3,)=0,0,(VLOOKUP($D96,$C$5:$AU$501,17,)/VLOOKUP($D96,$C$5:$AU$501,3,))*$E96)</f>
        <v>0</v>
      </c>
      <c r="T96" s="65">
        <f>IF(VLOOKUP($D96,$C$5:$AU$501,3,)=0,0,(VLOOKUP($D96,$C$5:$AU$501,18,)/VLOOKUP($D96,$C$5:$AU$501,3,))*$E96)</f>
        <v>0</v>
      </c>
      <c r="U96" s="65">
        <f>IF(VLOOKUP($D96,$C$5:$AU$501,3,)=0,0,(VLOOKUP($D96,$C$5:$AU$501,19,)/VLOOKUP($D96,$C$5:$AU$501,3,))*$E96)</f>
        <v>0</v>
      </c>
      <c r="V96" s="65">
        <f>IF(VLOOKUP($D96,$C$5:$AU$501,3,)=0,0,(VLOOKUP($D96,$C$5:$AU$501,20,)/VLOOKUP($D96,$C$5:$AU$501,3,))*$E96)</f>
        <v>0</v>
      </c>
      <c r="W96" s="65">
        <f>IF(VLOOKUP($D96,$C$5:$AU$501,3,)=0,0,(VLOOKUP($D96,$C$5:$AU$501,21,)/VLOOKUP($D96,$C$5:$AU$501,3,))*$E96)</f>
        <v>0</v>
      </c>
      <c r="X96" s="65">
        <f>IF(VLOOKUP($D96,$C$5:$AU$501,3,)=0,0,(VLOOKUP($D96,$C$5:$AU$501,22,)/VLOOKUP($D96,$C$5:$AU$501,3,))*$E96)</f>
        <v>0</v>
      </c>
      <c r="Y96" s="65">
        <f>IF(VLOOKUP($D96,$C$5:$AU$501,3,)=0,0,(VLOOKUP($D96,$C$5:$AU$501,23,)/VLOOKUP($D96,$C$5:$AU$501,3,))*$E96)</f>
        <v>0</v>
      </c>
      <c r="Z96" s="65">
        <f>IF(VLOOKUP($D96,$C$5:$AU$501,3,)=0,0,(VLOOKUP($D96,$C$5:$AU$501,24,)/VLOOKUP($D96,$C$5:$AU$501,3,))*$E96)</f>
        <v>0</v>
      </c>
      <c r="AA96" s="65">
        <f>IF(VLOOKUP($D96,$C$5:$AU$501,3,)=0,0,(VLOOKUP($D96,$C$5:$AU$501,25,)/VLOOKUP($D96,$C$5:$AU$501,3,))*$E96)</f>
        <v>0</v>
      </c>
      <c r="AB96" s="65">
        <f>IF(VLOOKUP($D96,$C$5:$AU$501,3,)=0,0,(VLOOKUP($D96,$C$5:$AU$501,26,)/VLOOKUP($D96,$C$5:$AU$501,3,))*$E96)</f>
        <v>0</v>
      </c>
      <c r="AC96" s="65">
        <f>IF(VLOOKUP($D96,$C$5:$AU$501,3,)=0,0,(VLOOKUP($D96,$C$5:$AU$501,27,)/VLOOKUP($D96,$C$5:$AU$501,3,))*$E96)</f>
        <v>0</v>
      </c>
      <c r="AD96" s="65">
        <f>IF(VLOOKUP($D96,$C$5:$AU$501,3,)=0,0,(VLOOKUP($D96,$C$5:$AU$501,28,)/VLOOKUP($D96,$C$5:$AU$501,3,))*$E96)</f>
        <v>0</v>
      </c>
      <c r="AE96" s="65">
        <f>IF(VLOOKUP($D96,$C$5:$AU$501,3,)=0,0,(VLOOKUP($D96,$C$5:$AU$501,29,)/VLOOKUP($D96,$C$5:$AU$501,3,))*$E96)</f>
        <v>0</v>
      </c>
      <c r="AF96" s="65">
        <f>IF(VLOOKUP($D96,$C$5:$AU$501,3,)=0,0,(VLOOKUP($D96,$C$5:$AU$501,30,)/VLOOKUP($D96,$C$5:$AU$501,3,))*$E96)</f>
        <v>0</v>
      </c>
      <c r="AG96" s="90">
        <f>SUM(F96:AF96)</f>
        <v>43576696.773579009</v>
      </c>
      <c r="AH96" s="29" t="str">
        <f>IF(ABS(E96-AG96)&lt;0.01,"ok","err")</f>
        <v>ok</v>
      </c>
    </row>
    <row r="97" spans="1:34" x14ac:dyDescent="0.2">
      <c r="A97" s="93" t="s">
        <v>221</v>
      </c>
      <c r="C97" s="14" t="s">
        <v>255</v>
      </c>
      <c r="D97" s="14" t="s">
        <v>223</v>
      </c>
      <c r="E97" s="255">
        <f>'Func &amp; Classif'!P144</f>
        <v>74281993.942838147</v>
      </c>
      <c r="F97" s="65">
        <f>IF(VLOOKUP($D97,$C$5:$AU$501,3,)=0,0,(VLOOKUP($D97,$C$5:$AU$501,4,)/VLOOKUP($D97,$C$5:$AU$501,3,))*$E97)</f>
        <v>69019332.748663515</v>
      </c>
      <c r="G97" s="65">
        <f>IF(VLOOKUP($D97,$C$5:$AU$501,3,)=0,0,(VLOOKUP($D97,$C$5:$AU$501,5,)/VLOOKUP($D97,$C$5:$AU$501,3,))*$E97)</f>
        <v>4292470.1268400894</v>
      </c>
      <c r="H97" s="65">
        <f>IF(VLOOKUP($D97,$C$5:$AU$501,3,)=0,0,(VLOOKUP($D97,$C$5:$AU$501,6,)/VLOOKUP($D97,$C$5:$AU$501,3,))*$E97)</f>
        <v>948638.25782832108</v>
      </c>
      <c r="I97" s="65">
        <f>IF(VLOOKUP($D97,$C$5:$AU$501,3,)=0,0,(VLOOKUP($D97,$C$5:$AU$501,7,)/VLOOKUP($D97,$C$5:$AU$501,3,))*$E97)</f>
        <v>9439.1866450579219</v>
      </c>
      <c r="J97" s="65">
        <f>IF(VLOOKUP($D97,$C$5:$AU$501,3,)=0,0,(VLOOKUP($D97,$C$5:$AU$501,8,)/VLOOKUP($D97,$C$5:$AU$501,3,))*$E97)</f>
        <v>11798.983306322401</v>
      </c>
      <c r="K97" s="65">
        <f>IF(VLOOKUP($D97,$C$5:$AU$501,3,)=0,0,(VLOOKUP($D97,$C$5:$AU$501,9,)/VLOOKUP($D97,$C$5:$AU$501,3,))*$E97)</f>
        <v>0</v>
      </c>
      <c r="L97" s="65">
        <f>IF(VLOOKUP($D97,$C$5:$AU$501,3,)=0,0,(VLOOKUP($D97,$C$5:$AU$501,10,)/VLOOKUP($D97,$C$5:$AU$501,3,))*$E97)</f>
        <v>314.63955483526399</v>
      </c>
      <c r="M97" s="65">
        <f>IF(VLOOKUP($D97,$C$5:$AU$501,3,)=0,0,(VLOOKUP($D97,$C$5:$AU$501,11,)/VLOOKUP($D97,$C$5:$AU$501,3,))*$E97)</f>
        <v>0</v>
      </c>
      <c r="N97" s="65">
        <f>IF(VLOOKUP($D97,$C$5:$AU$501,3,)=0,0,(VLOOKUP($D97,$C$5:$AU$501,12,)/VLOOKUP($D97,$C$5:$AU$501,3,))*$E97)</f>
        <v>0</v>
      </c>
      <c r="O97" s="65">
        <f>IF(VLOOKUP($D97,$C$5:$AU$501,3,)=0,0,(VLOOKUP($D97,$C$5:$AU$501,13,)/VLOOKUP($D97,$C$5:$AU$501,3,))*$E97)</f>
        <v>0</v>
      </c>
      <c r="P97" s="65">
        <f>IF(VLOOKUP($D97,$C$5:$AU$501,3,)=0,0,(VLOOKUP($D97,$C$5:$AU$501,14,)/VLOOKUP($D97,$C$5:$AU$501,3,))*$E97)</f>
        <v>0</v>
      </c>
      <c r="Q97" s="65">
        <f>IF(VLOOKUP($D97,$C$5:$AU$501,3,)=0,0,(VLOOKUP($D97,$C$5:$AU$501,15,)/VLOOKUP($D97,$C$5:$AU$501,3,))*$E97)</f>
        <v>0</v>
      </c>
      <c r="R97" s="65">
        <f>IF(VLOOKUP($D97,$C$5:$AU$501,3,)=0,0,(VLOOKUP($D97,$C$5:$AU$501,16,)/VLOOKUP($D97,$C$5:$AU$501,3,))*$E97)</f>
        <v>0</v>
      </c>
      <c r="S97" s="65">
        <f>IF(VLOOKUP($D97,$C$5:$AU$501,3,)=0,0,(VLOOKUP($D97,$C$5:$AU$501,17,)/VLOOKUP($D97,$C$5:$AU$501,3,))*$E97)</f>
        <v>0</v>
      </c>
      <c r="T97" s="65">
        <f>IF(VLOOKUP($D97,$C$5:$AU$501,3,)=0,0,(VLOOKUP($D97,$C$5:$AU$501,18,)/VLOOKUP($D97,$C$5:$AU$501,3,))*$E97)</f>
        <v>0</v>
      </c>
      <c r="U97" s="65">
        <f>IF(VLOOKUP($D97,$C$5:$AU$501,3,)=0,0,(VLOOKUP($D97,$C$5:$AU$501,19,)/VLOOKUP($D97,$C$5:$AU$501,3,))*$E97)</f>
        <v>0</v>
      </c>
      <c r="V97" s="65">
        <f>IF(VLOOKUP($D97,$C$5:$AU$501,3,)=0,0,(VLOOKUP($D97,$C$5:$AU$501,20,)/VLOOKUP($D97,$C$5:$AU$501,3,))*$E97)</f>
        <v>0</v>
      </c>
      <c r="W97" s="65">
        <f>IF(VLOOKUP($D97,$C$5:$AU$501,3,)=0,0,(VLOOKUP($D97,$C$5:$AU$501,21,)/VLOOKUP($D97,$C$5:$AU$501,3,))*$E97)</f>
        <v>0</v>
      </c>
      <c r="X97" s="65">
        <f>IF(VLOOKUP($D97,$C$5:$AU$501,3,)=0,0,(VLOOKUP($D97,$C$5:$AU$501,22,)/VLOOKUP($D97,$C$5:$AU$501,3,))*$E97)</f>
        <v>0</v>
      </c>
      <c r="Y97" s="65">
        <f>IF(VLOOKUP($D97,$C$5:$AU$501,3,)=0,0,(VLOOKUP($D97,$C$5:$AU$501,23,)/VLOOKUP($D97,$C$5:$AU$501,3,))*$E97)</f>
        <v>0</v>
      </c>
      <c r="Z97" s="65">
        <f>IF(VLOOKUP($D97,$C$5:$AU$501,3,)=0,0,(VLOOKUP($D97,$C$5:$AU$501,24,)/VLOOKUP($D97,$C$5:$AU$501,3,))*$E97)</f>
        <v>0</v>
      </c>
      <c r="AA97" s="65">
        <f>IF(VLOOKUP($D97,$C$5:$AU$501,3,)=0,0,(VLOOKUP($D97,$C$5:$AU$501,25,)/VLOOKUP($D97,$C$5:$AU$501,3,))*$E97)</f>
        <v>0</v>
      </c>
      <c r="AB97" s="65">
        <f>IF(VLOOKUP($D97,$C$5:$AU$501,3,)=0,0,(VLOOKUP($D97,$C$5:$AU$501,26,)/VLOOKUP($D97,$C$5:$AU$501,3,))*$E97)</f>
        <v>0</v>
      </c>
      <c r="AC97" s="65">
        <f>IF(VLOOKUP($D97,$C$5:$AU$501,3,)=0,0,(VLOOKUP($D97,$C$5:$AU$501,27,)/VLOOKUP($D97,$C$5:$AU$501,3,))*$E97)</f>
        <v>0</v>
      </c>
      <c r="AD97" s="65">
        <f>IF(VLOOKUP($D97,$C$5:$AU$501,3,)=0,0,(VLOOKUP($D97,$C$5:$AU$501,28,)/VLOOKUP($D97,$C$5:$AU$501,3,))*$E97)</f>
        <v>0</v>
      </c>
      <c r="AE97" s="65">
        <f>IF(VLOOKUP($D97,$C$5:$AU$501,3,)=0,0,(VLOOKUP($D97,$C$5:$AU$501,29,)/VLOOKUP($D97,$C$5:$AU$501,3,))*$E97)</f>
        <v>0</v>
      </c>
      <c r="AF97" s="65">
        <f>IF(VLOOKUP($D97,$C$5:$AU$501,3,)=0,0,(VLOOKUP($D97,$C$5:$AU$501,30,)/VLOOKUP($D97,$C$5:$AU$501,3,))*$E97)</f>
        <v>0</v>
      </c>
      <c r="AG97" s="90">
        <f>SUM(F97:AF97)</f>
        <v>74281993.942838132</v>
      </c>
      <c r="AH97" s="29" t="str">
        <f>IF(ABS(E97-AG97)&lt;0.01,"ok","err")</f>
        <v>ok</v>
      </c>
    </row>
    <row r="98" spans="1:34" x14ac:dyDescent="0.2">
      <c r="A98" s="14" t="s">
        <v>224</v>
      </c>
      <c r="E98" s="254">
        <f t="shared" ref="E98:T98" si="18">E96+E97</f>
        <v>117858690.71641716</v>
      </c>
      <c r="F98" s="65">
        <f t="shared" si="18"/>
        <v>105735807.004981</v>
      </c>
      <c r="G98" s="65">
        <f t="shared" si="18"/>
        <v>6529027.8467760589</v>
      </c>
      <c r="H98" s="65">
        <f t="shared" si="18"/>
        <v>4481093.5957932444</v>
      </c>
      <c r="I98" s="65">
        <f t="shared" si="18"/>
        <v>57588.063823322707</v>
      </c>
      <c r="J98" s="65">
        <f t="shared" si="18"/>
        <v>611968.32911689498</v>
      </c>
      <c r="K98" s="65">
        <f t="shared" si="18"/>
        <v>401253.39901213476</v>
      </c>
      <c r="L98" s="65">
        <f t="shared" si="18"/>
        <v>41952.476914504186</v>
      </c>
      <c r="M98" s="65">
        <f t="shared" si="18"/>
        <v>0</v>
      </c>
      <c r="N98" s="65">
        <f t="shared" si="18"/>
        <v>0</v>
      </c>
      <c r="O98" s="65">
        <f t="shared" si="18"/>
        <v>0</v>
      </c>
      <c r="P98" s="65">
        <f t="shared" si="18"/>
        <v>0</v>
      </c>
      <c r="Q98" s="65">
        <f t="shared" si="18"/>
        <v>0</v>
      </c>
      <c r="R98" s="65">
        <f t="shared" si="18"/>
        <v>0</v>
      </c>
      <c r="S98" s="65">
        <f t="shared" si="18"/>
        <v>0</v>
      </c>
      <c r="T98" s="65">
        <f t="shared" si="18"/>
        <v>0</v>
      </c>
      <c r="U98" s="65">
        <f t="shared" ref="U98:AF98" si="19">U96+U97</f>
        <v>0</v>
      </c>
      <c r="V98" s="65">
        <f t="shared" si="19"/>
        <v>0</v>
      </c>
      <c r="W98" s="65">
        <f t="shared" si="19"/>
        <v>0</v>
      </c>
      <c r="X98" s="65">
        <f t="shared" si="19"/>
        <v>0</v>
      </c>
      <c r="Y98" s="65">
        <f t="shared" si="19"/>
        <v>0</v>
      </c>
      <c r="Z98" s="65">
        <f t="shared" si="19"/>
        <v>0</v>
      </c>
      <c r="AA98" s="65">
        <f t="shared" si="19"/>
        <v>0</v>
      </c>
      <c r="AB98" s="65">
        <f t="shared" si="19"/>
        <v>0</v>
      </c>
      <c r="AC98" s="65">
        <f t="shared" si="19"/>
        <v>0</v>
      </c>
      <c r="AD98" s="65">
        <f t="shared" si="19"/>
        <v>0</v>
      </c>
      <c r="AE98" s="65">
        <f t="shared" si="19"/>
        <v>0</v>
      </c>
      <c r="AF98" s="65">
        <f t="shared" si="19"/>
        <v>0</v>
      </c>
      <c r="AG98" s="90">
        <f>SUM(F98:AF98)</f>
        <v>117858690.71641716</v>
      </c>
      <c r="AH98" s="29" t="str">
        <f>IF(ABS(E98-AG98)&lt;0.01,"ok","err")</f>
        <v>ok</v>
      </c>
    </row>
    <row r="99" spans="1:34" x14ac:dyDescent="0.2">
      <c r="E99" s="255"/>
    </row>
    <row r="100" spans="1:34" x14ac:dyDescent="0.2">
      <c r="A100" s="13" t="s">
        <v>3</v>
      </c>
      <c r="E100" s="255"/>
    </row>
    <row r="101" spans="1:34" x14ac:dyDescent="0.2">
      <c r="A101" s="93" t="s">
        <v>209</v>
      </c>
      <c r="C101" s="14" t="s">
        <v>256</v>
      </c>
      <c r="D101" s="14" t="s">
        <v>619</v>
      </c>
      <c r="E101" s="254">
        <f>'Func &amp; Classif'!R144</f>
        <v>0</v>
      </c>
      <c r="F101" s="65">
        <f>IF(VLOOKUP($D101,$C$5:$AU$501,3,)=0,0,(VLOOKUP($D101,$C$5:$AU$501,4,)/VLOOKUP($D101,$C$5:$AU$501,3,))*$E101)</f>
        <v>0</v>
      </c>
      <c r="G101" s="65">
        <f>IF(VLOOKUP($D101,$C$5:$AU$501,3,)=0,0,(VLOOKUP($D101,$C$5:$AU$501,5,)/VLOOKUP($D101,$C$5:$AU$501,3,))*$E101)</f>
        <v>0</v>
      </c>
      <c r="H101" s="65">
        <f>IF(VLOOKUP($D101,$C$5:$AU$501,3,)=0,0,(VLOOKUP($D101,$C$5:$AU$501,6,)/VLOOKUP($D101,$C$5:$AU$501,3,))*$E101)</f>
        <v>0</v>
      </c>
      <c r="I101" s="65">
        <f>IF(VLOOKUP($D101,$C$5:$AU$501,3,)=0,0,(VLOOKUP($D101,$C$5:$AU$501,7,)/VLOOKUP($D101,$C$5:$AU$501,3,))*$E101)</f>
        <v>0</v>
      </c>
      <c r="J101" s="65">
        <f>IF(VLOOKUP($D101,$C$5:$AU$501,3,)=0,0,(VLOOKUP($D101,$C$5:$AU$501,8,)/VLOOKUP($D101,$C$5:$AU$501,3,))*$E101)</f>
        <v>0</v>
      </c>
      <c r="K101" s="65">
        <f>IF(VLOOKUP($D101,$C$5:$AU$501,3,)=0,0,(VLOOKUP($D101,$C$5:$AU$501,9,)/VLOOKUP($D101,$C$5:$AU$501,3,))*$E101)</f>
        <v>0</v>
      </c>
      <c r="L101" s="65">
        <f>IF(VLOOKUP($D101,$C$5:$AU$501,3,)=0,0,(VLOOKUP($D101,$C$5:$AU$501,10,)/VLOOKUP($D101,$C$5:$AU$501,3,))*$E101)</f>
        <v>0</v>
      </c>
      <c r="M101" s="65">
        <f>IF(VLOOKUP($D101,$C$5:$AU$501,3,)=0,0,(VLOOKUP($D101,$C$5:$AU$501,11,)/VLOOKUP($D101,$C$5:$AU$501,3,))*$E101)</f>
        <v>0</v>
      </c>
      <c r="N101" s="65">
        <f>IF(VLOOKUP($D101,$C$5:$AU$501,3,)=0,0,(VLOOKUP($D101,$C$5:$AU$501,12,)/VLOOKUP($D101,$C$5:$AU$501,3,))*$E101)</f>
        <v>0</v>
      </c>
      <c r="O101" s="65">
        <f>IF(VLOOKUP($D101,$C$5:$AU$501,3,)=0,0,(VLOOKUP($D101,$C$5:$AU$501,13,)/VLOOKUP($D101,$C$5:$AU$501,3,))*$E101)</f>
        <v>0</v>
      </c>
      <c r="P101" s="65">
        <f>IF(VLOOKUP($D101,$C$5:$AU$501,3,)=0,0,(VLOOKUP($D101,$C$5:$AU$501,14,)/VLOOKUP($D101,$C$5:$AU$501,3,))*$E101)</f>
        <v>0</v>
      </c>
      <c r="Q101" s="65">
        <f>IF(VLOOKUP($D101,$C$5:$AU$501,3,)=0,0,(VLOOKUP($D101,$C$5:$AU$501,15,)/VLOOKUP($D101,$C$5:$AU$501,3,))*$E101)</f>
        <v>0</v>
      </c>
      <c r="R101" s="65">
        <f>IF(VLOOKUP($D101,$C$5:$AU$501,3,)=0,0,(VLOOKUP($D101,$C$5:$AU$501,16,)/VLOOKUP($D101,$C$5:$AU$501,3,))*$E101)</f>
        <v>0</v>
      </c>
      <c r="S101" s="65">
        <f>IF(VLOOKUP($D101,$C$5:$AU$501,3,)=0,0,(VLOOKUP($D101,$C$5:$AU$501,17,)/VLOOKUP($D101,$C$5:$AU$501,3,))*$E101)</f>
        <v>0</v>
      </c>
      <c r="T101" s="65">
        <f>IF(VLOOKUP($D101,$C$5:$AU$501,3,)=0,0,(VLOOKUP($D101,$C$5:$AU$501,18,)/VLOOKUP($D101,$C$5:$AU$501,3,))*$E101)</f>
        <v>0</v>
      </c>
      <c r="U101" s="65">
        <f>IF(VLOOKUP($D101,$C$5:$AU$501,3,)=0,0,(VLOOKUP($D101,$C$5:$AU$501,19,)/VLOOKUP($D101,$C$5:$AU$501,3,))*$E101)</f>
        <v>0</v>
      </c>
      <c r="V101" s="65">
        <f>IF(VLOOKUP($D101,$C$5:$AU$501,3,)=0,0,(VLOOKUP($D101,$C$5:$AU$501,20,)/VLOOKUP($D101,$C$5:$AU$501,3,))*$E101)</f>
        <v>0</v>
      </c>
      <c r="W101" s="65">
        <f>IF(VLOOKUP($D101,$C$5:$AU$501,3,)=0,0,(VLOOKUP($D101,$C$5:$AU$501,21,)/VLOOKUP($D101,$C$5:$AU$501,3,))*$E101)</f>
        <v>0</v>
      </c>
      <c r="X101" s="65">
        <f>IF(VLOOKUP($D101,$C$5:$AU$501,3,)=0,0,(VLOOKUP($D101,$C$5:$AU$501,22,)/VLOOKUP($D101,$C$5:$AU$501,3,))*$E101)</f>
        <v>0</v>
      </c>
      <c r="Y101" s="65">
        <f>IF(VLOOKUP($D101,$C$5:$AU$501,3,)=0,0,(VLOOKUP($D101,$C$5:$AU$501,23,)/VLOOKUP($D101,$C$5:$AU$501,3,))*$E101)</f>
        <v>0</v>
      </c>
      <c r="Z101" s="65">
        <f>IF(VLOOKUP($D101,$C$5:$AU$501,3,)=0,0,(VLOOKUP($D101,$C$5:$AU$501,24,)/VLOOKUP($D101,$C$5:$AU$501,3,))*$E101)</f>
        <v>0</v>
      </c>
      <c r="AA101" s="65">
        <f>IF(VLOOKUP($D101,$C$5:$AU$501,3,)=0,0,(VLOOKUP($D101,$C$5:$AU$501,25,)/VLOOKUP($D101,$C$5:$AU$501,3,))*$E101)</f>
        <v>0</v>
      </c>
      <c r="AB101" s="65">
        <f>IF(VLOOKUP($D101,$C$5:$AU$501,3,)=0,0,(VLOOKUP($D101,$C$5:$AU$501,26,)/VLOOKUP($D101,$C$5:$AU$501,3,))*$E101)</f>
        <v>0</v>
      </c>
      <c r="AC101" s="65">
        <f>IF(VLOOKUP($D101,$C$5:$AU$501,3,)=0,0,(VLOOKUP($D101,$C$5:$AU$501,27,)/VLOOKUP($D101,$C$5:$AU$501,3,))*$E101)</f>
        <v>0</v>
      </c>
      <c r="AD101" s="65">
        <f>IF(VLOOKUP($D101,$C$5:$AU$501,3,)=0,0,(VLOOKUP($D101,$C$5:$AU$501,28,)/VLOOKUP($D101,$C$5:$AU$501,3,))*$E101)</f>
        <v>0</v>
      </c>
      <c r="AE101" s="65">
        <f>IF(VLOOKUP($D101,$C$5:$AU$501,3,)=0,0,(VLOOKUP($D101,$C$5:$AU$501,29,)/VLOOKUP($D101,$C$5:$AU$501,3,))*$E101)</f>
        <v>0</v>
      </c>
      <c r="AF101" s="65">
        <f>IF(VLOOKUP($D101,$C$5:$AU$501,3,)=0,0,(VLOOKUP($D101,$C$5:$AU$501,30,)/VLOOKUP($D101,$C$5:$AU$501,3,))*$E101)</f>
        <v>0</v>
      </c>
      <c r="AG101" s="90">
        <f>SUM(F101:AF101)</f>
        <v>0</v>
      </c>
      <c r="AH101" s="29" t="str">
        <f>IF(ABS(E101-AG101)&lt;0.01,"ok","err")</f>
        <v>ok</v>
      </c>
    </row>
    <row r="102" spans="1:34" x14ac:dyDescent="0.2">
      <c r="A102" s="93" t="s">
        <v>221</v>
      </c>
      <c r="C102" s="14" t="s">
        <v>257</v>
      </c>
      <c r="D102" s="14" t="s">
        <v>701</v>
      </c>
      <c r="E102" s="255">
        <f>'Func &amp; Classif'!S144</f>
        <v>5969693.6366122449</v>
      </c>
      <c r="F102" s="65">
        <f>IF(VLOOKUP($D102,$C$5:$AU$501,3,)=0,0,(VLOOKUP($D102,$C$5:$AU$501,4,)/VLOOKUP($D102,$C$5:$AU$501,3,))*$E102)</f>
        <v>5347561.5253027715</v>
      </c>
      <c r="G102" s="65">
        <f>IF(VLOOKUP($D102,$C$5:$AU$501,3,)=0,0,(VLOOKUP($D102,$C$5:$AU$501,5,)/VLOOKUP($D102,$C$5:$AU$501,3,))*$E102)</f>
        <v>376223.11340758036</v>
      </c>
      <c r="H102" s="65">
        <f>IF(VLOOKUP($D102,$C$5:$AU$501,3,)=0,0,(VLOOKUP($D102,$C$5:$AU$501,6,)/VLOOKUP($D102,$C$5:$AU$501,3,))*$E102)</f>
        <v>235701.60092467346</v>
      </c>
      <c r="I102" s="65">
        <f>IF(VLOOKUP($D102,$C$5:$AU$501,3,)=0,0,(VLOOKUP($D102,$C$5:$AU$501,7,)/VLOOKUP($D102,$C$5:$AU$501,3,))*$E102)</f>
        <v>2345.2895614395366</v>
      </c>
      <c r="J102" s="65">
        <f>IF(VLOOKUP($D102,$C$5:$AU$501,3,)=0,0,(VLOOKUP($D102,$C$5:$AU$501,8,)/VLOOKUP($D102,$C$5:$AU$501,3,))*$E102)</f>
        <v>7055.8926417592293</v>
      </c>
      <c r="K102" s="65">
        <f>IF(VLOOKUP($D102,$C$5:$AU$501,3,)=0,0,(VLOOKUP($D102,$C$5:$AU$501,9,)/VLOOKUP($D102,$C$5:$AU$501,3,))*$E102)</f>
        <v>0</v>
      </c>
      <c r="L102" s="65">
        <f>IF(VLOOKUP($D102,$C$5:$AU$501,3,)=0,0,(VLOOKUP($D102,$C$5:$AU$501,10,)/VLOOKUP($D102,$C$5:$AU$501,3,))*$E102)</f>
        <v>806.21477402143148</v>
      </c>
      <c r="M102" s="65">
        <f>IF(VLOOKUP($D102,$C$5:$AU$501,3,)=0,0,(VLOOKUP($D102,$C$5:$AU$501,11,)/VLOOKUP($D102,$C$5:$AU$501,3,))*$E102)</f>
        <v>0</v>
      </c>
      <c r="N102" s="65">
        <f>IF(VLOOKUP($D102,$C$5:$AU$501,3,)=0,0,(VLOOKUP($D102,$C$5:$AU$501,12,)/VLOOKUP($D102,$C$5:$AU$501,3,))*$E102)</f>
        <v>0</v>
      </c>
      <c r="O102" s="65">
        <f>IF(VLOOKUP($D102,$C$5:$AU$501,3,)=0,0,(VLOOKUP($D102,$C$5:$AU$501,13,)/VLOOKUP($D102,$C$5:$AU$501,3,))*$E102)</f>
        <v>0</v>
      </c>
      <c r="P102" s="65">
        <f>IF(VLOOKUP($D102,$C$5:$AU$501,3,)=0,0,(VLOOKUP($D102,$C$5:$AU$501,14,)/VLOOKUP($D102,$C$5:$AU$501,3,))*$E102)</f>
        <v>0</v>
      </c>
      <c r="Q102" s="65">
        <f>IF(VLOOKUP($D102,$C$5:$AU$501,3,)=0,0,(VLOOKUP($D102,$C$5:$AU$501,15,)/VLOOKUP($D102,$C$5:$AU$501,3,))*$E102)</f>
        <v>0</v>
      </c>
      <c r="R102" s="65">
        <f>IF(VLOOKUP($D102,$C$5:$AU$501,3,)=0,0,(VLOOKUP($D102,$C$5:$AU$501,16,)/VLOOKUP($D102,$C$5:$AU$501,3,))*$E102)</f>
        <v>0</v>
      </c>
      <c r="S102" s="65">
        <f>IF(VLOOKUP($D102,$C$5:$AU$501,3,)=0,0,(VLOOKUP($D102,$C$5:$AU$501,17,)/VLOOKUP($D102,$C$5:$AU$501,3,))*$E102)</f>
        <v>0</v>
      </c>
      <c r="T102" s="65">
        <f>IF(VLOOKUP($D102,$C$5:$AU$501,3,)=0,0,(VLOOKUP($D102,$C$5:$AU$501,18,)/VLOOKUP($D102,$C$5:$AU$501,3,))*$E102)</f>
        <v>0</v>
      </c>
      <c r="U102" s="65">
        <f>IF(VLOOKUP($D102,$C$5:$AU$501,3,)=0,0,(VLOOKUP($D102,$C$5:$AU$501,19,)/VLOOKUP($D102,$C$5:$AU$501,3,))*$E102)</f>
        <v>0</v>
      </c>
      <c r="V102" s="65">
        <f>IF(VLOOKUP($D102,$C$5:$AU$501,3,)=0,0,(VLOOKUP($D102,$C$5:$AU$501,20,)/VLOOKUP($D102,$C$5:$AU$501,3,))*$E102)</f>
        <v>0</v>
      </c>
      <c r="W102" s="65">
        <f>IF(VLOOKUP($D102,$C$5:$AU$501,3,)=0,0,(VLOOKUP($D102,$C$5:$AU$501,21,)/VLOOKUP($D102,$C$5:$AU$501,3,))*$E102)</f>
        <v>0</v>
      </c>
      <c r="X102" s="65">
        <f>IF(VLOOKUP($D102,$C$5:$AU$501,3,)=0,0,(VLOOKUP($D102,$C$5:$AU$501,22,)/VLOOKUP($D102,$C$5:$AU$501,3,))*$E102)</f>
        <v>0</v>
      </c>
      <c r="Y102" s="65">
        <f>IF(VLOOKUP($D102,$C$5:$AU$501,3,)=0,0,(VLOOKUP($D102,$C$5:$AU$501,23,)/VLOOKUP($D102,$C$5:$AU$501,3,))*$E102)</f>
        <v>0</v>
      </c>
      <c r="Z102" s="65">
        <f>IF(VLOOKUP($D102,$C$5:$AU$501,3,)=0,0,(VLOOKUP($D102,$C$5:$AU$501,24,)/VLOOKUP($D102,$C$5:$AU$501,3,))*$E102)</f>
        <v>0</v>
      </c>
      <c r="AA102" s="65">
        <f>IF(VLOOKUP($D102,$C$5:$AU$501,3,)=0,0,(VLOOKUP($D102,$C$5:$AU$501,25,)/VLOOKUP($D102,$C$5:$AU$501,3,))*$E102)</f>
        <v>0</v>
      </c>
      <c r="AB102" s="65">
        <f>IF(VLOOKUP($D102,$C$5:$AU$501,3,)=0,0,(VLOOKUP($D102,$C$5:$AU$501,26,)/VLOOKUP($D102,$C$5:$AU$501,3,))*$E102)</f>
        <v>0</v>
      </c>
      <c r="AC102" s="65">
        <f>IF(VLOOKUP($D102,$C$5:$AU$501,3,)=0,0,(VLOOKUP($D102,$C$5:$AU$501,27,)/VLOOKUP($D102,$C$5:$AU$501,3,))*$E102)</f>
        <v>0</v>
      </c>
      <c r="AD102" s="65">
        <f>IF(VLOOKUP($D102,$C$5:$AU$501,3,)=0,0,(VLOOKUP($D102,$C$5:$AU$501,28,)/VLOOKUP($D102,$C$5:$AU$501,3,))*$E102)</f>
        <v>0</v>
      </c>
      <c r="AE102" s="65">
        <f>IF(VLOOKUP($D102,$C$5:$AU$501,3,)=0,0,(VLOOKUP($D102,$C$5:$AU$501,29,)/VLOOKUP($D102,$C$5:$AU$501,3,))*$E102)</f>
        <v>0</v>
      </c>
      <c r="AF102" s="65">
        <f>IF(VLOOKUP($D102,$C$5:$AU$501,3,)=0,0,(VLOOKUP($D102,$C$5:$AU$501,30,)/VLOOKUP($D102,$C$5:$AU$501,3,))*$E102)</f>
        <v>0</v>
      </c>
      <c r="AG102" s="90">
        <f>SUM(F102:AF102)</f>
        <v>5969693.6366122458</v>
      </c>
      <c r="AH102" s="29" t="str">
        <f>IF(ABS(E102-AG102)&lt;0.01,"ok","err")</f>
        <v>ok</v>
      </c>
    </row>
    <row r="103" spans="1:34" x14ac:dyDescent="0.2">
      <c r="A103" s="14" t="s">
        <v>228</v>
      </c>
      <c r="E103" s="254">
        <f t="shared" ref="E103:T103" si="20">E101+E102</f>
        <v>5969693.6366122449</v>
      </c>
      <c r="F103" s="65">
        <f t="shared" si="20"/>
        <v>5347561.5253027715</v>
      </c>
      <c r="G103" s="65">
        <f t="shared" si="20"/>
        <v>376223.11340758036</v>
      </c>
      <c r="H103" s="65">
        <f t="shared" si="20"/>
        <v>235701.60092467346</v>
      </c>
      <c r="I103" s="65">
        <f t="shared" si="20"/>
        <v>2345.2895614395366</v>
      </c>
      <c r="J103" s="65">
        <f t="shared" si="20"/>
        <v>7055.8926417592293</v>
      </c>
      <c r="K103" s="65">
        <f t="shared" si="20"/>
        <v>0</v>
      </c>
      <c r="L103" s="65">
        <f t="shared" si="20"/>
        <v>806.21477402143148</v>
      </c>
      <c r="M103" s="65">
        <f t="shared" si="20"/>
        <v>0</v>
      </c>
      <c r="N103" s="65">
        <f t="shared" si="20"/>
        <v>0</v>
      </c>
      <c r="O103" s="65">
        <f t="shared" si="20"/>
        <v>0</v>
      </c>
      <c r="P103" s="65">
        <f t="shared" si="20"/>
        <v>0</v>
      </c>
      <c r="Q103" s="65">
        <f t="shared" si="20"/>
        <v>0</v>
      </c>
      <c r="R103" s="65">
        <f t="shared" si="20"/>
        <v>0</v>
      </c>
      <c r="S103" s="65">
        <f t="shared" si="20"/>
        <v>0</v>
      </c>
      <c r="T103" s="65">
        <f t="shared" si="20"/>
        <v>0</v>
      </c>
      <c r="U103" s="65">
        <f t="shared" ref="U103:AF103" si="21">U101+U102</f>
        <v>0</v>
      </c>
      <c r="V103" s="65">
        <f t="shared" si="21"/>
        <v>0</v>
      </c>
      <c r="W103" s="65">
        <f t="shared" si="21"/>
        <v>0</v>
      </c>
      <c r="X103" s="65">
        <f t="shared" si="21"/>
        <v>0</v>
      </c>
      <c r="Y103" s="65">
        <f t="shared" si="21"/>
        <v>0</v>
      </c>
      <c r="Z103" s="65">
        <f t="shared" si="21"/>
        <v>0</v>
      </c>
      <c r="AA103" s="65">
        <f t="shared" si="21"/>
        <v>0</v>
      </c>
      <c r="AB103" s="65">
        <f t="shared" si="21"/>
        <v>0</v>
      </c>
      <c r="AC103" s="65">
        <f t="shared" si="21"/>
        <v>0</v>
      </c>
      <c r="AD103" s="65">
        <f t="shared" si="21"/>
        <v>0</v>
      </c>
      <c r="AE103" s="65">
        <f t="shared" si="21"/>
        <v>0</v>
      </c>
      <c r="AF103" s="65">
        <f t="shared" si="21"/>
        <v>0</v>
      </c>
      <c r="AG103" s="90">
        <f>SUM(F103:AF103)</f>
        <v>5969693.6366122458</v>
      </c>
      <c r="AH103" s="29" t="str">
        <f>IF(ABS(E103-AG103)&lt;0.01,"ok","err")</f>
        <v>ok</v>
      </c>
    </row>
    <row r="104" spans="1:34" x14ac:dyDescent="0.2">
      <c r="E104" s="255"/>
    </row>
    <row r="105" spans="1:34" x14ac:dyDescent="0.2">
      <c r="A105" s="13" t="s">
        <v>4</v>
      </c>
      <c r="E105" s="255"/>
    </row>
    <row r="106" spans="1:34" x14ac:dyDescent="0.2">
      <c r="A106" s="93" t="s">
        <v>221</v>
      </c>
      <c r="C106" s="14" t="s">
        <v>258</v>
      </c>
      <c r="D106" s="14" t="s">
        <v>230</v>
      </c>
      <c r="E106" s="254">
        <f>'Func &amp; Classif'!U144</f>
        <v>5936669.1691056387</v>
      </c>
      <c r="F106" s="65">
        <f>IF(VLOOKUP($D106,$C$5:$AU$501,3,)=0,0,(VLOOKUP($D106,$C$5:$AU$501,4,)/VLOOKUP($D106,$C$5:$AU$501,3,))*$E106)</f>
        <v>4593957.6170826564</v>
      </c>
      <c r="G106" s="65">
        <f>IF(VLOOKUP($D106,$C$5:$AU$501,3,)=0,0,(VLOOKUP($D106,$C$5:$AU$501,5,)/VLOOKUP($D106,$C$5:$AU$501,3,))*$E106)</f>
        <v>449008.69489433366</v>
      </c>
      <c r="H106" s="65">
        <f>IF(VLOOKUP($D106,$C$5:$AU$501,3,)=0,0,(VLOOKUP($D106,$C$5:$AU$501,6,)/VLOOKUP($D106,$C$5:$AU$501,3,))*$E106)</f>
        <v>762605.47505469457</v>
      </c>
      <c r="I106" s="65">
        <f>IF(VLOOKUP($D106,$C$5:$AU$501,3,)=0,0,(VLOOKUP($D106,$C$5:$AU$501,7,)/VLOOKUP($D106,$C$5:$AU$501,3,))*$E106)</f>
        <v>58265.503143980255</v>
      </c>
      <c r="J106" s="65">
        <f>IF(VLOOKUP($D106,$C$5:$AU$501,3,)=0,0,(VLOOKUP($D106,$C$5:$AU$501,8,)/VLOOKUP($D106,$C$5:$AU$501,3,))*$E106)</f>
        <v>72831.878929975326</v>
      </c>
      <c r="K106" s="65">
        <f>IF(VLOOKUP($D106,$C$5:$AU$501,3,)=0,0,(VLOOKUP($D106,$C$5:$AU$501,9,)/VLOOKUP($D106,$C$5:$AU$501,3,))*$E106)</f>
        <v>0</v>
      </c>
      <c r="L106" s="65">
        <f>IF(VLOOKUP($D106,$C$5:$AU$501,3,)=0,0,(VLOOKUP($D106,$C$5:$AU$501,10,)/VLOOKUP($D106,$C$5:$AU$501,3,))*$E106)</f>
        <v>0</v>
      </c>
      <c r="M106" s="65">
        <f>IF(VLOOKUP($D106,$C$5:$AU$501,3,)=0,0,(VLOOKUP($D106,$C$5:$AU$501,11,)/VLOOKUP($D106,$C$5:$AU$501,3,))*$E106)</f>
        <v>0</v>
      </c>
      <c r="N106" s="65">
        <f>IF(VLOOKUP($D106,$C$5:$AU$501,3,)=0,0,(VLOOKUP($D106,$C$5:$AU$501,12,)/VLOOKUP($D106,$C$5:$AU$501,3,))*$E106)</f>
        <v>0</v>
      </c>
      <c r="O106" s="65">
        <f>IF(VLOOKUP($D106,$C$5:$AU$501,3,)=0,0,(VLOOKUP($D106,$C$5:$AU$501,13,)/VLOOKUP($D106,$C$5:$AU$501,3,))*$E106)</f>
        <v>0</v>
      </c>
      <c r="P106" s="65">
        <f>IF(VLOOKUP($D106,$C$5:$AU$501,3,)=0,0,(VLOOKUP($D106,$C$5:$AU$501,14,)/VLOOKUP($D106,$C$5:$AU$501,3,))*$E106)</f>
        <v>0</v>
      </c>
      <c r="Q106" s="65">
        <f>IF(VLOOKUP($D106,$C$5:$AU$501,3,)=0,0,(VLOOKUP($D106,$C$5:$AU$501,15,)/VLOOKUP($D106,$C$5:$AU$501,3,))*$E106)</f>
        <v>0</v>
      </c>
      <c r="R106" s="65">
        <f>IF(VLOOKUP($D106,$C$5:$AU$501,3,)=0,0,(VLOOKUP($D106,$C$5:$AU$501,16,)/VLOOKUP($D106,$C$5:$AU$501,3,))*$E106)</f>
        <v>0</v>
      </c>
      <c r="S106" s="65">
        <f>IF(VLOOKUP($D106,$C$5:$AU$501,3,)=0,0,(VLOOKUP($D106,$C$5:$AU$501,17,)/VLOOKUP($D106,$C$5:$AU$501,3,))*$E106)</f>
        <v>0</v>
      </c>
      <c r="T106" s="65">
        <f>IF(VLOOKUP($D106,$C$5:$AU$501,3,)=0,0,(VLOOKUP($D106,$C$5:$AU$501,18,)/VLOOKUP($D106,$C$5:$AU$501,3,))*$E106)</f>
        <v>0</v>
      </c>
      <c r="U106" s="65">
        <f>IF(VLOOKUP($D106,$C$5:$AU$501,3,)=0,0,(VLOOKUP($D106,$C$5:$AU$501,19,)/VLOOKUP($D106,$C$5:$AU$501,3,))*$E106)</f>
        <v>0</v>
      </c>
      <c r="V106" s="65">
        <f>IF(VLOOKUP($D106,$C$5:$AU$501,3,)=0,0,(VLOOKUP($D106,$C$5:$AU$501,20,)/VLOOKUP($D106,$C$5:$AU$501,3,))*$E106)</f>
        <v>0</v>
      </c>
      <c r="W106" s="65">
        <f>IF(VLOOKUP($D106,$C$5:$AU$501,3,)=0,0,(VLOOKUP($D106,$C$5:$AU$501,21,)/VLOOKUP($D106,$C$5:$AU$501,3,))*$E106)</f>
        <v>0</v>
      </c>
      <c r="X106" s="65">
        <f>IF(VLOOKUP($D106,$C$5:$AU$501,3,)=0,0,(VLOOKUP($D106,$C$5:$AU$501,22,)/VLOOKUP($D106,$C$5:$AU$501,3,))*$E106)</f>
        <v>0</v>
      </c>
      <c r="Y106" s="65">
        <f>IF(VLOOKUP($D106,$C$5:$AU$501,3,)=0,0,(VLOOKUP($D106,$C$5:$AU$501,23,)/VLOOKUP($D106,$C$5:$AU$501,3,))*$E106)</f>
        <v>0</v>
      </c>
      <c r="Z106" s="65">
        <f>IF(VLOOKUP($D106,$C$5:$AU$501,3,)=0,0,(VLOOKUP($D106,$C$5:$AU$501,24,)/VLOOKUP($D106,$C$5:$AU$501,3,))*$E106)</f>
        <v>0</v>
      </c>
      <c r="AA106" s="65">
        <f>IF(VLOOKUP($D106,$C$5:$AU$501,3,)=0,0,(VLOOKUP($D106,$C$5:$AU$501,25,)/VLOOKUP($D106,$C$5:$AU$501,3,))*$E106)</f>
        <v>0</v>
      </c>
      <c r="AB106" s="65">
        <f>IF(VLOOKUP($D106,$C$5:$AU$501,3,)=0,0,(VLOOKUP($D106,$C$5:$AU$501,26,)/VLOOKUP($D106,$C$5:$AU$501,3,))*$E106)</f>
        <v>0</v>
      </c>
      <c r="AC106" s="65">
        <f>IF(VLOOKUP($D106,$C$5:$AU$501,3,)=0,0,(VLOOKUP($D106,$C$5:$AU$501,27,)/VLOOKUP($D106,$C$5:$AU$501,3,))*$E106)</f>
        <v>0</v>
      </c>
      <c r="AD106" s="65">
        <f>IF(VLOOKUP($D106,$C$5:$AU$501,3,)=0,0,(VLOOKUP($D106,$C$5:$AU$501,28,)/VLOOKUP($D106,$C$5:$AU$501,3,))*$E106)</f>
        <v>0</v>
      </c>
      <c r="AE106" s="65">
        <f>IF(VLOOKUP($D106,$C$5:$AU$501,3,)=0,0,(VLOOKUP($D106,$C$5:$AU$501,29,)/VLOOKUP($D106,$C$5:$AU$501,3,))*$E106)</f>
        <v>0</v>
      </c>
      <c r="AF106" s="65">
        <f>IF(VLOOKUP($D106,$C$5:$AU$501,3,)=0,0,(VLOOKUP($D106,$C$5:$AU$501,30,)/VLOOKUP($D106,$C$5:$AU$501,3,))*$E106)</f>
        <v>0</v>
      </c>
      <c r="AG106" s="90">
        <f>SUM(F106:AF106)</f>
        <v>5936669.1691056397</v>
      </c>
      <c r="AH106" s="29" t="str">
        <f>IF(ABS(E106-AG106)&lt;0.01,"ok","err")</f>
        <v>ok</v>
      </c>
    </row>
    <row r="107" spans="1:34" x14ac:dyDescent="0.2">
      <c r="E107" s="255"/>
    </row>
    <row r="108" spans="1:34" x14ac:dyDescent="0.2">
      <c r="A108" s="13" t="s">
        <v>5</v>
      </c>
      <c r="E108" s="255"/>
    </row>
    <row r="109" spans="1:34" x14ac:dyDescent="0.2">
      <c r="A109" s="93" t="s">
        <v>221</v>
      </c>
      <c r="C109" s="14" t="s">
        <v>259</v>
      </c>
      <c r="D109" s="14" t="s">
        <v>232</v>
      </c>
      <c r="E109" s="254">
        <f>'Func &amp; Classif'!W144</f>
        <v>5788237.4997071922</v>
      </c>
      <c r="F109" s="65">
        <f>IF(VLOOKUP($D109,$C$5:$AU$501,3,)=0,0,(VLOOKUP($D109,$C$5:$AU$501,4,)/VLOOKUP($D109,$C$5:$AU$501,3,))*$E109)</f>
        <v>0</v>
      </c>
      <c r="G109" s="65">
        <f>IF(VLOOKUP($D109,$C$5:$AU$501,3,)=0,0,(VLOOKUP($D109,$C$5:$AU$501,5,)/VLOOKUP($D109,$C$5:$AU$501,3,))*$E109)</f>
        <v>0</v>
      </c>
      <c r="H109" s="65">
        <f>IF(VLOOKUP($D109,$C$5:$AU$501,3,)=0,0,(VLOOKUP($D109,$C$5:$AU$501,6,)/VLOOKUP($D109,$C$5:$AU$501,3,))*$E109)</f>
        <v>0</v>
      </c>
      <c r="I109" s="65">
        <f>IF(VLOOKUP($D109,$C$5:$AU$501,3,)=0,0,(VLOOKUP($D109,$C$5:$AU$501,7,)/VLOOKUP($D109,$C$5:$AU$501,3,))*$E109)</f>
        <v>0</v>
      </c>
      <c r="J109" s="65">
        <f>IF(VLOOKUP($D109,$C$5:$AU$501,3,)=0,0,(VLOOKUP($D109,$C$5:$AU$501,8,)/VLOOKUP($D109,$C$5:$AU$501,3,))*$E109)</f>
        <v>0</v>
      </c>
      <c r="K109" s="65">
        <f>IF(VLOOKUP($D109,$C$5:$AU$501,3,)=0,0,(VLOOKUP($D109,$C$5:$AU$501,9,)/VLOOKUP($D109,$C$5:$AU$501,3,))*$E109)</f>
        <v>5244099.628298399</v>
      </c>
      <c r="L109" s="65">
        <f>IF(VLOOKUP($D109,$C$5:$AU$501,3,)=0,0,(VLOOKUP($D109,$C$5:$AU$501,10,)/VLOOKUP($D109,$C$5:$AU$501,3,))*$E109)</f>
        <v>544137.87140879326</v>
      </c>
      <c r="M109" s="65">
        <f>IF(VLOOKUP($D109,$C$5:$AU$501,3,)=0,0,(VLOOKUP($D109,$C$5:$AU$501,11,)/VLOOKUP($D109,$C$5:$AU$501,3,))*$E109)</f>
        <v>0</v>
      </c>
      <c r="N109" s="65">
        <f>IF(VLOOKUP($D109,$C$5:$AU$501,3,)=0,0,(VLOOKUP($D109,$C$5:$AU$501,12,)/VLOOKUP($D109,$C$5:$AU$501,3,))*$E109)</f>
        <v>0</v>
      </c>
      <c r="O109" s="65">
        <f>IF(VLOOKUP($D109,$C$5:$AU$501,3,)=0,0,(VLOOKUP($D109,$C$5:$AU$501,13,)/VLOOKUP($D109,$C$5:$AU$501,3,))*$E109)</f>
        <v>0</v>
      </c>
      <c r="P109" s="65">
        <f>IF(VLOOKUP($D109,$C$5:$AU$501,3,)=0,0,(VLOOKUP($D109,$C$5:$AU$501,14,)/VLOOKUP($D109,$C$5:$AU$501,3,))*$E109)</f>
        <v>0</v>
      </c>
      <c r="Q109" s="65">
        <f>IF(VLOOKUP($D109,$C$5:$AU$501,3,)=0,0,(VLOOKUP($D109,$C$5:$AU$501,15,)/VLOOKUP($D109,$C$5:$AU$501,3,))*$E109)</f>
        <v>0</v>
      </c>
      <c r="R109" s="65">
        <f>IF(VLOOKUP($D109,$C$5:$AU$501,3,)=0,0,(VLOOKUP($D109,$C$5:$AU$501,16,)/VLOOKUP($D109,$C$5:$AU$501,3,))*$E109)</f>
        <v>0</v>
      </c>
      <c r="S109" s="65">
        <f>IF(VLOOKUP($D109,$C$5:$AU$501,3,)=0,0,(VLOOKUP($D109,$C$5:$AU$501,17,)/VLOOKUP($D109,$C$5:$AU$501,3,))*$E109)</f>
        <v>0</v>
      </c>
      <c r="T109" s="65">
        <f>IF(VLOOKUP($D109,$C$5:$AU$501,3,)=0,0,(VLOOKUP($D109,$C$5:$AU$501,18,)/VLOOKUP($D109,$C$5:$AU$501,3,))*$E109)</f>
        <v>0</v>
      </c>
      <c r="U109" s="65">
        <f>IF(VLOOKUP($D109,$C$5:$AU$501,3,)=0,0,(VLOOKUP($D109,$C$5:$AU$501,19,)/VLOOKUP($D109,$C$5:$AU$501,3,))*$E109)</f>
        <v>0</v>
      </c>
      <c r="V109" s="65">
        <f>IF(VLOOKUP($D109,$C$5:$AU$501,3,)=0,0,(VLOOKUP($D109,$C$5:$AU$501,20,)/VLOOKUP($D109,$C$5:$AU$501,3,))*$E109)</f>
        <v>0</v>
      </c>
      <c r="W109" s="65">
        <f>IF(VLOOKUP($D109,$C$5:$AU$501,3,)=0,0,(VLOOKUP($D109,$C$5:$AU$501,21,)/VLOOKUP($D109,$C$5:$AU$501,3,))*$E109)</f>
        <v>0</v>
      </c>
      <c r="X109" s="65">
        <f>IF(VLOOKUP($D109,$C$5:$AU$501,3,)=0,0,(VLOOKUP($D109,$C$5:$AU$501,22,)/VLOOKUP($D109,$C$5:$AU$501,3,))*$E109)</f>
        <v>0</v>
      </c>
      <c r="Y109" s="65">
        <f>IF(VLOOKUP($D109,$C$5:$AU$501,3,)=0,0,(VLOOKUP($D109,$C$5:$AU$501,23,)/VLOOKUP($D109,$C$5:$AU$501,3,))*$E109)</f>
        <v>0</v>
      </c>
      <c r="Z109" s="65">
        <f>IF(VLOOKUP($D109,$C$5:$AU$501,3,)=0,0,(VLOOKUP($D109,$C$5:$AU$501,24,)/VLOOKUP($D109,$C$5:$AU$501,3,))*$E109)</f>
        <v>0</v>
      </c>
      <c r="AA109" s="65">
        <f>IF(VLOOKUP($D109,$C$5:$AU$501,3,)=0,0,(VLOOKUP($D109,$C$5:$AU$501,25,)/VLOOKUP($D109,$C$5:$AU$501,3,))*$E109)</f>
        <v>0</v>
      </c>
      <c r="AB109" s="65">
        <f>IF(VLOOKUP($D109,$C$5:$AU$501,3,)=0,0,(VLOOKUP($D109,$C$5:$AU$501,26,)/VLOOKUP($D109,$C$5:$AU$501,3,))*$E109)</f>
        <v>0</v>
      </c>
      <c r="AC109" s="65">
        <f>IF(VLOOKUP($D109,$C$5:$AU$501,3,)=0,0,(VLOOKUP($D109,$C$5:$AU$501,27,)/VLOOKUP($D109,$C$5:$AU$501,3,))*$E109)</f>
        <v>0</v>
      </c>
      <c r="AD109" s="65">
        <f>IF(VLOOKUP($D109,$C$5:$AU$501,3,)=0,0,(VLOOKUP($D109,$C$5:$AU$501,28,)/VLOOKUP($D109,$C$5:$AU$501,3,))*$E109)</f>
        <v>0</v>
      </c>
      <c r="AE109" s="65">
        <f>IF(VLOOKUP($D109,$C$5:$AU$501,3,)=0,0,(VLOOKUP($D109,$C$5:$AU$501,29,)/VLOOKUP($D109,$C$5:$AU$501,3,))*$E109)</f>
        <v>0</v>
      </c>
      <c r="AF109" s="65">
        <f>IF(VLOOKUP($D109,$C$5:$AU$501,3,)=0,0,(VLOOKUP($D109,$C$5:$AU$501,30,)/VLOOKUP($D109,$C$5:$AU$501,3,))*$E109)</f>
        <v>0</v>
      </c>
      <c r="AG109" s="90">
        <f>SUM(F109:AF109)</f>
        <v>5788237.4997071922</v>
      </c>
      <c r="AH109" s="29" t="str">
        <f>IF(ABS(E109-AG109)&lt;0.01,"ok","err")</f>
        <v>ok</v>
      </c>
    </row>
    <row r="110" spans="1:34" x14ac:dyDescent="0.2">
      <c r="E110" s="255"/>
    </row>
    <row r="111" spans="1:34" x14ac:dyDescent="0.2">
      <c r="A111" s="13" t="s">
        <v>545</v>
      </c>
      <c r="E111" s="255"/>
    </row>
    <row r="112" spans="1:34" x14ac:dyDescent="0.2">
      <c r="A112" s="93" t="s">
        <v>221</v>
      </c>
      <c r="C112" s="14" t="s">
        <v>260</v>
      </c>
      <c r="D112" s="14" t="s">
        <v>234</v>
      </c>
      <c r="E112" s="254">
        <f>'Func &amp; Classif'!Y144</f>
        <v>251146.11187126575</v>
      </c>
      <c r="F112" s="65">
        <f>IF(VLOOKUP($D112,$C$5:$AU$501,3,)=0,0,(VLOOKUP($D112,$C$5:$AU$501,4,)/VLOOKUP($D112,$C$5:$AU$501,3,))*$E112)</f>
        <v>233309.66459188098</v>
      </c>
      <c r="G112" s="65">
        <f>IF(VLOOKUP($D112,$C$5:$AU$501,3,)=0,0,(VLOOKUP($D112,$C$5:$AU$501,5,)/VLOOKUP($D112,$C$5:$AU$501,3,))*$E112)</f>
        <v>14510.061538998614</v>
      </c>
      <c r="H112" s="65">
        <f>IF(VLOOKUP($D112,$C$5:$AU$501,3,)=0,0,(VLOOKUP($D112,$C$5:$AU$501,6,)/VLOOKUP($D112,$C$5:$AU$501,3,))*$E112)</f>
        <v>3206.7315770629157</v>
      </c>
      <c r="I112" s="65">
        <f>IF(VLOOKUP($D112,$C$5:$AU$501,3,)=0,0,(VLOOKUP($D112,$C$5:$AU$501,7,)/VLOOKUP($D112,$C$5:$AU$501,3,))*$E112)</f>
        <v>31.90777688619816</v>
      </c>
      <c r="J112" s="65">
        <f>IF(VLOOKUP($D112,$C$5:$AU$501,3,)=0,0,(VLOOKUP($D112,$C$5:$AU$501,8,)/VLOOKUP($D112,$C$5:$AU$501,3,))*$E112)</f>
        <v>39.884721107747708</v>
      </c>
      <c r="K112" s="65">
        <f>IF(VLOOKUP($D112,$C$5:$AU$501,3,)=0,0,(VLOOKUP($D112,$C$5:$AU$501,9,)/VLOOKUP($D112,$C$5:$AU$501,3,))*$E112)</f>
        <v>0</v>
      </c>
      <c r="L112" s="65">
        <f>IF(VLOOKUP($D112,$C$5:$AU$501,3,)=0,0,(VLOOKUP($D112,$C$5:$AU$501,10,)/VLOOKUP($D112,$C$5:$AU$501,3,))*$E112)</f>
        <v>47.861665329297246</v>
      </c>
      <c r="M112" s="65">
        <f>IF(VLOOKUP($D112,$C$5:$AU$501,3,)=0,0,(VLOOKUP($D112,$C$5:$AU$501,11,)/VLOOKUP($D112,$C$5:$AU$501,3,))*$E112)</f>
        <v>0</v>
      </c>
      <c r="N112" s="65">
        <f>IF(VLOOKUP($D112,$C$5:$AU$501,3,)=0,0,(VLOOKUP($D112,$C$5:$AU$501,12,)/VLOOKUP($D112,$C$5:$AU$501,3,))*$E112)</f>
        <v>0</v>
      </c>
      <c r="O112" s="65">
        <f>IF(VLOOKUP($D112,$C$5:$AU$501,3,)=0,0,(VLOOKUP($D112,$C$5:$AU$501,13,)/VLOOKUP($D112,$C$5:$AU$501,3,))*$E112)</f>
        <v>0</v>
      </c>
      <c r="P112" s="65">
        <f>IF(VLOOKUP($D112,$C$5:$AU$501,3,)=0,0,(VLOOKUP($D112,$C$5:$AU$501,14,)/VLOOKUP($D112,$C$5:$AU$501,3,))*$E112)</f>
        <v>0</v>
      </c>
      <c r="Q112" s="65">
        <f>IF(VLOOKUP($D112,$C$5:$AU$501,3,)=0,0,(VLOOKUP($D112,$C$5:$AU$501,15,)/VLOOKUP($D112,$C$5:$AU$501,3,))*$E112)</f>
        <v>0</v>
      </c>
      <c r="R112" s="65">
        <f>IF(VLOOKUP($D112,$C$5:$AU$501,3,)=0,0,(VLOOKUP($D112,$C$5:$AU$501,16,)/VLOOKUP($D112,$C$5:$AU$501,3,))*$E112)</f>
        <v>0</v>
      </c>
      <c r="S112" s="65">
        <f>IF(VLOOKUP($D112,$C$5:$AU$501,3,)=0,0,(VLOOKUP($D112,$C$5:$AU$501,17,)/VLOOKUP($D112,$C$5:$AU$501,3,))*$E112)</f>
        <v>0</v>
      </c>
      <c r="T112" s="65">
        <f>IF(VLOOKUP($D112,$C$5:$AU$501,3,)=0,0,(VLOOKUP($D112,$C$5:$AU$501,18,)/VLOOKUP($D112,$C$5:$AU$501,3,))*$E112)</f>
        <v>0</v>
      </c>
      <c r="U112" s="65">
        <f>IF(VLOOKUP($D112,$C$5:$AU$501,3,)=0,0,(VLOOKUP($D112,$C$5:$AU$501,19,)/VLOOKUP($D112,$C$5:$AU$501,3,))*$E112)</f>
        <v>0</v>
      </c>
      <c r="V112" s="65">
        <f>IF(VLOOKUP($D112,$C$5:$AU$501,3,)=0,0,(VLOOKUP($D112,$C$5:$AU$501,20,)/VLOOKUP($D112,$C$5:$AU$501,3,))*$E112)</f>
        <v>0</v>
      </c>
      <c r="W112" s="65">
        <f>IF(VLOOKUP($D112,$C$5:$AU$501,3,)=0,0,(VLOOKUP($D112,$C$5:$AU$501,21,)/VLOOKUP($D112,$C$5:$AU$501,3,))*$E112)</f>
        <v>0</v>
      </c>
      <c r="X112" s="65">
        <f>IF(VLOOKUP($D112,$C$5:$AU$501,3,)=0,0,(VLOOKUP($D112,$C$5:$AU$501,22,)/VLOOKUP($D112,$C$5:$AU$501,3,))*$E112)</f>
        <v>0</v>
      </c>
      <c r="Y112" s="65">
        <f>IF(VLOOKUP($D112,$C$5:$AU$501,3,)=0,0,(VLOOKUP($D112,$C$5:$AU$501,23,)/VLOOKUP($D112,$C$5:$AU$501,3,))*$E112)</f>
        <v>0</v>
      </c>
      <c r="Z112" s="65">
        <f>IF(VLOOKUP($D112,$C$5:$AU$501,3,)=0,0,(VLOOKUP($D112,$C$5:$AU$501,24,)/VLOOKUP($D112,$C$5:$AU$501,3,))*$E112)</f>
        <v>0</v>
      </c>
      <c r="AA112" s="65">
        <f>IF(VLOOKUP($D112,$C$5:$AU$501,3,)=0,0,(VLOOKUP($D112,$C$5:$AU$501,25,)/VLOOKUP($D112,$C$5:$AU$501,3,))*$E112)</f>
        <v>0</v>
      </c>
      <c r="AB112" s="65">
        <f>IF(VLOOKUP($D112,$C$5:$AU$501,3,)=0,0,(VLOOKUP($D112,$C$5:$AU$501,26,)/VLOOKUP($D112,$C$5:$AU$501,3,))*$E112)</f>
        <v>0</v>
      </c>
      <c r="AC112" s="65">
        <f>IF(VLOOKUP($D112,$C$5:$AU$501,3,)=0,0,(VLOOKUP($D112,$C$5:$AU$501,27,)/VLOOKUP($D112,$C$5:$AU$501,3,))*$E112)</f>
        <v>0</v>
      </c>
      <c r="AD112" s="65">
        <f>IF(VLOOKUP($D112,$C$5:$AU$501,3,)=0,0,(VLOOKUP($D112,$C$5:$AU$501,28,)/VLOOKUP($D112,$C$5:$AU$501,3,))*$E112)</f>
        <v>0</v>
      </c>
      <c r="AE112" s="65">
        <f>IF(VLOOKUP($D112,$C$5:$AU$501,3,)=0,0,(VLOOKUP($D112,$C$5:$AU$501,29,)/VLOOKUP($D112,$C$5:$AU$501,3,))*$E112)</f>
        <v>0</v>
      </c>
      <c r="AF112" s="65">
        <f>IF(VLOOKUP($D112,$C$5:$AU$501,3,)=0,0,(VLOOKUP($D112,$C$5:$AU$501,30,)/VLOOKUP($D112,$C$5:$AU$501,3,))*$E112)</f>
        <v>0</v>
      </c>
      <c r="AG112" s="90">
        <f>SUM(F112:AF112)</f>
        <v>251146.11187126575</v>
      </c>
      <c r="AH112" s="29" t="str">
        <f>IF(ABS(E112-AG112)&lt;0.01,"ok","err")</f>
        <v>ok</v>
      </c>
    </row>
    <row r="113" spans="1:34" x14ac:dyDescent="0.2">
      <c r="E113" s="255"/>
    </row>
    <row r="114" spans="1:34" x14ac:dyDescent="0.2">
      <c r="A114" s="13" t="s">
        <v>470</v>
      </c>
      <c r="E114" s="255"/>
    </row>
    <row r="115" spans="1:34" x14ac:dyDescent="0.2">
      <c r="A115" s="93" t="s">
        <v>221</v>
      </c>
      <c r="C115" s="14" t="s">
        <v>257</v>
      </c>
      <c r="D115" s="14" t="s">
        <v>235</v>
      </c>
      <c r="E115" s="254">
        <f>'Func &amp; Classif'!AA144</f>
        <v>-945.08722715912745</v>
      </c>
      <c r="F115" s="65">
        <f>IF(VLOOKUP($D115,$C$5:$AU$501,3,)=0,0,(VLOOKUP($D115,$C$5:$AU$501,4,)/VLOOKUP($D115,$C$5:$AU$501,3,))*$E115)</f>
        <v>-878.13429124944912</v>
      </c>
      <c r="G115" s="65">
        <f>IF(VLOOKUP($D115,$C$5:$AU$501,3,)=0,0,(VLOOKUP($D115,$C$5:$AU$501,5,)/VLOOKUP($D115,$C$5:$AU$501,3,))*$E115)</f>
        <v>-54.613179560405769</v>
      </c>
      <c r="H115" s="65">
        <f>IF(VLOOKUP($D115,$C$5:$AU$501,3,)=0,0,(VLOOKUP($D115,$C$5:$AU$501,6,)/VLOOKUP($D115,$C$5:$AU$501,3,))*$E115)</f>
        <v>-12.069542706587752</v>
      </c>
      <c r="I115" s="65">
        <f>IF(VLOOKUP($D115,$C$5:$AU$501,3,)=0,0,(VLOOKUP($D115,$C$5:$AU$501,7,)/VLOOKUP($D115,$C$5:$AU$501,3,))*$E115)</f>
        <v>-0.12009495230435573</v>
      </c>
      <c r="J115" s="65">
        <f>IF(VLOOKUP($D115,$C$5:$AU$501,3,)=0,0,(VLOOKUP($D115,$C$5:$AU$501,8,)/VLOOKUP($D115,$C$5:$AU$501,3,))*$E115)</f>
        <v>-0.15011869038044467</v>
      </c>
      <c r="K115" s="65">
        <f>IF(VLOOKUP($D115,$C$5:$AU$501,3,)=0,0,(VLOOKUP($D115,$C$5:$AU$501,9,)/VLOOKUP($D115,$C$5:$AU$501,3,))*$E115)</f>
        <v>0</v>
      </c>
      <c r="L115" s="65">
        <f>IF(VLOOKUP($D115,$C$5:$AU$501,3,)=0,0,(VLOOKUP($D115,$C$5:$AU$501,10,)/VLOOKUP($D115,$C$5:$AU$501,3,))*$E115)</f>
        <v>0</v>
      </c>
      <c r="M115" s="65">
        <f>IF(VLOOKUP($D115,$C$5:$AU$501,3,)=0,0,(VLOOKUP($D115,$C$5:$AU$501,11,)/VLOOKUP($D115,$C$5:$AU$501,3,))*$E115)</f>
        <v>0</v>
      </c>
      <c r="N115" s="65">
        <f>IF(VLOOKUP($D115,$C$5:$AU$501,3,)=0,0,(VLOOKUP($D115,$C$5:$AU$501,12,)/VLOOKUP($D115,$C$5:$AU$501,3,))*$E115)</f>
        <v>0</v>
      </c>
      <c r="O115" s="65">
        <f>IF(VLOOKUP($D115,$C$5:$AU$501,3,)=0,0,(VLOOKUP($D115,$C$5:$AU$501,13,)/VLOOKUP($D115,$C$5:$AU$501,3,))*$E115)</f>
        <v>0</v>
      </c>
      <c r="P115" s="65">
        <f>IF(VLOOKUP($D115,$C$5:$AU$501,3,)=0,0,(VLOOKUP($D115,$C$5:$AU$501,14,)/VLOOKUP($D115,$C$5:$AU$501,3,))*$E115)</f>
        <v>0</v>
      </c>
      <c r="Q115" s="65">
        <f>IF(VLOOKUP($D115,$C$5:$AU$501,3,)=0,0,(VLOOKUP($D115,$C$5:$AU$501,15,)/VLOOKUP($D115,$C$5:$AU$501,3,))*$E115)</f>
        <v>0</v>
      </c>
      <c r="R115" s="65">
        <f>IF(VLOOKUP($D115,$C$5:$AU$501,3,)=0,0,(VLOOKUP($D115,$C$5:$AU$501,16,)/VLOOKUP($D115,$C$5:$AU$501,3,))*$E115)</f>
        <v>0</v>
      </c>
      <c r="S115" s="65">
        <f>IF(VLOOKUP($D115,$C$5:$AU$501,3,)=0,0,(VLOOKUP($D115,$C$5:$AU$501,17,)/VLOOKUP($D115,$C$5:$AU$501,3,))*$E115)</f>
        <v>0</v>
      </c>
      <c r="T115" s="65">
        <f>IF(VLOOKUP($D115,$C$5:$AU$501,3,)=0,0,(VLOOKUP($D115,$C$5:$AU$501,18,)/VLOOKUP($D115,$C$5:$AU$501,3,))*$E115)</f>
        <v>0</v>
      </c>
      <c r="U115" s="65">
        <f>IF(VLOOKUP($D115,$C$5:$AU$501,3,)=0,0,(VLOOKUP($D115,$C$5:$AU$501,19,)/VLOOKUP($D115,$C$5:$AU$501,3,))*$E115)</f>
        <v>0</v>
      </c>
      <c r="V115" s="65">
        <f>IF(VLOOKUP($D115,$C$5:$AU$501,3,)=0,0,(VLOOKUP($D115,$C$5:$AU$501,20,)/VLOOKUP($D115,$C$5:$AU$501,3,))*$E115)</f>
        <v>0</v>
      </c>
      <c r="W115" s="65">
        <f>IF(VLOOKUP($D115,$C$5:$AU$501,3,)=0,0,(VLOOKUP($D115,$C$5:$AU$501,21,)/VLOOKUP($D115,$C$5:$AU$501,3,))*$E115)</f>
        <v>0</v>
      </c>
      <c r="X115" s="65">
        <f>IF(VLOOKUP($D115,$C$5:$AU$501,3,)=0,0,(VLOOKUP($D115,$C$5:$AU$501,22,)/VLOOKUP($D115,$C$5:$AU$501,3,))*$E115)</f>
        <v>0</v>
      </c>
      <c r="Y115" s="65">
        <f>IF(VLOOKUP($D115,$C$5:$AU$501,3,)=0,0,(VLOOKUP($D115,$C$5:$AU$501,23,)/VLOOKUP($D115,$C$5:$AU$501,3,))*$E115)</f>
        <v>0</v>
      </c>
      <c r="Z115" s="65">
        <f>IF(VLOOKUP($D115,$C$5:$AU$501,3,)=0,0,(VLOOKUP($D115,$C$5:$AU$501,24,)/VLOOKUP($D115,$C$5:$AU$501,3,))*$E115)</f>
        <v>0</v>
      </c>
      <c r="AA115" s="65">
        <f>IF(VLOOKUP($D115,$C$5:$AU$501,3,)=0,0,(VLOOKUP($D115,$C$5:$AU$501,25,)/VLOOKUP($D115,$C$5:$AU$501,3,))*$E115)</f>
        <v>0</v>
      </c>
      <c r="AB115" s="65">
        <f>IF(VLOOKUP($D115,$C$5:$AU$501,3,)=0,0,(VLOOKUP($D115,$C$5:$AU$501,26,)/VLOOKUP($D115,$C$5:$AU$501,3,))*$E115)</f>
        <v>0</v>
      </c>
      <c r="AC115" s="65">
        <f>IF(VLOOKUP($D115,$C$5:$AU$501,3,)=0,0,(VLOOKUP($D115,$C$5:$AU$501,27,)/VLOOKUP($D115,$C$5:$AU$501,3,))*$E115)</f>
        <v>0</v>
      </c>
      <c r="AD115" s="65">
        <f>IF(VLOOKUP($D115,$C$5:$AU$501,3,)=0,0,(VLOOKUP($D115,$C$5:$AU$501,28,)/VLOOKUP($D115,$C$5:$AU$501,3,))*$E115)</f>
        <v>0</v>
      </c>
      <c r="AE115" s="65">
        <f>IF(VLOOKUP($D115,$C$5:$AU$501,3,)=0,0,(VLOOKUP($D115,$C$5:$AU$501,29,)/VLOOKUP($D115,$C$5:$AU$501,3,))*$E115)</f>
        <v>0</v>
      </c>
      <c r="AF115" s="65">
        <f>IF(VLOOKUP($D115,$C$5:$AU$501,3,)=0,0,(VLOOKUP($D115,$C$5:$AU$501,30,)/VLOOKUP($D115,$C$5:$AU$501,3,))*$E115)</f>
        <v>0</v>
      </c>
      <c r="AG115" s="90">
        <f>SUM(F115:AF115)</f>
        <v>-945.08722715912745</v>
      </c>
      <c r="AH115" s="29" t="str">
        <f>IF(ABS(E115-AG115)&lt;0.01,"ok","err")</f>
        <v>ok</v>
      </c>
    </row>
    <row r="116" spans="1:34" x14ac:dyDescent="0.2">
      <c r="E116" s="25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</row>
    <row r="117" spans="1:34" x14ac:dyDescent="0.2">
      <c r="A117" s="14" t="s">
        <v>0</v>
      </c>
      <c r="C117" s="14" t="s">
        <v>261</v>
      </c>
      <c r="E117" s="254">
        <f>E87+E90+E93+E98+E103+E106+E109+E112+E115</f>
        <v>155758951.5371154</v>
      </c>
      <c r="F117" s="65">
        <f t="shared" ref="F117:R117" si="22">F87+F90+F93+F98+F103+F106+F109+F112+F115</f>
        <v>131028302.40791772</v>
      </c>
      <c r="G117" s="65">
        <f t="shared" si="22"/>
        <v>8712372.1867899727</v>
      </c>
      <c r="H117" s="65">
        <f t="shared" si="22"/>
        <v>8237264.9394362504</v>
      </c>
      <c r="I117" s="65">
        <f t="shared" si="22"/>
        <v>157138.15281622345</v>
      </c>
      <c r="J117" s="65">
        <f t="shared" si="22"/>
        <v>1088226.6141145076</v>
      </c>
      <c r="K117" s="65">
        <f t="shared" si="22"/>
        <v>5920284.2636516523</v>
      </c>
      <c r="L117" s="65">
        <f t="shared" si="22"/>
        <v>615362.97238905681</v>
      </c>
      <c r="M117" s="65">
        <f t="shared" si="22"/>
        <v>0</v>
      </c>
      <c r="N117" s="65">
        <f t="shared" si="22"/>
        <v>0</v>
      </c>
      <c r="O117" s="65">
        <f t="shared" si="22"/>
        <v>0</v>
      </c>
      <c r="P117" s="65">
        <f t="shared" si="22"/>
        <v>0</v>
      </c>
      <c r="Q117" s="65">
        <f t="shared" si="22"/>
        <v>0</v>
      </c>
      <c r="R117" s="65">
        <f t="shared" si="22"/>
        <v>0</v>
      </c>
      <c r="S117" s="65">
        <f t="shared" ref="S117:AF117" si="23">S87+S93+S98+S103+S106+S109+S112+S115</f>
        <v>0</v>
      </c>
      <c r="T117" s="65">
        <f t="shared" si="23"/>
        <v>0</v>
      </c>
      <c r="U117" s="65">
        <f t="shared" si="23"/>
        <v>0</v>
      </c>
      <c r="V117" s="65">
        <f t="shared" si="23"/>
        <v>0</v>
      </c>
      <c r="W117" s="65">
        <f t="shared" si="23"/>
        <v>0</v>
      </c>
      <c r="X117" s="65">
        <f t="shared" si="23"/>
        <v>0</v>
      </c>
      <c r="Y117" s="65">
        <f t="shared" si="23"/>
        <v>0</v>
      </c>
      <c r="Z117" s="65">
        <f t="shared" si="23"/>
        <v>0</v>
      </c>
      <c r="AA117" s="65">
        <f t="shared" si="23"/>
        <v>0</v>
      </c>
      <c r="AB117" s="65">
        <f t="shared" si="23"/>
        <v>0</v>
      </c>
      <c r="AC117" s="65">
        <f t="shared" si="23"/>
        <v>0</v>
      </c>
      <c r="AD117" s="65">
        <f t="shared" si="23"/>
        <v>0</v>
      </c>
      <c r="AE117" s="65">
        <f t="shared" si="23"/>
        <v>0</v>
      </c>
      <c r="AF117" s="65">
        <f t="shared" si="23"/>
        <v>0</v>
      </c>
      <c r="AG117" s="90">
        <f>SUM(F117:AF117)</f>
        <v>155758951.53711537</v>
      </c>
      <c r="AH117" s="29" t="str">
        <f>IF(ABS(E117-AG117)&lt;0.01,"ok","err")</f>
        <v>ok</v>
      </c>
    </row>
    <row r="118" spans="1:34" x14ac:dyDescent="0.2">
      <c r="E118" s="266">
        <f>E117/$E117</f>
        <v>1</v>
      </c>
      <c r="F118" s="47">
        <f>F117/$E117</f>
        <v>0.84122486133129448</v>
      </c>
      <c r="G118" s="47">
        <f t="shared" ref="G118:O118" si="24">G117/$E117</f>
        <v>5.5934969392201668E-2</v>
      </c>
      <c r="H118" s="47">
        <f t="shared" si="24"/>
        <v>5.2884696886736644E-2</v>
      </c>
      <c r="I118" s="47">
        <f t="shared" si="24"/>
        <v>1.008854715992226E-3</v>
      </c>
      <c r="J118" s="47">
        <f t="shared" si="24"/>
        <v>6.9866072118185572E-3</v>
      </c>
      <c r="K118" s="47">
        <f t="shared" si="24"/>
        <v>3.8009271410901373E-2</v>
      </c>
      <c r="L118" s="47">
        <f t="shared" si="24"/>
        <v>3.9507390510549476E-3</v>
      </c>
      <c r="M118" s="47">
        <f t="shared" si="24"/>
        <v>0</v>
      </c>
      <c r="N118" s="47">
        <f t="shared" si="24"/>
        <v>0</v>
      </c>
      <c r="O118" s="47">
        <f t="shared" si="24"/>
        <v>0</v>
      </c>
      <c r="AG118" s="165">
        <f>SUM(F118:AF118)</f>
        <v>0.99999999999999989</v>
      </c>
      <c r="AH118" s="29" t="str">
        <f>IF(ABS(E118-AG118)&lt;0.01,"ok","err")</f>
        <v>ok</v>
      </c>
    </row>
    <row r="119" spans="1:34" x14ac:dyDescent="0.2">
      <c r="E119" s="256"/>
    </row>
    <row r="120" spans="1:34" x14ac:dyDescent="0.2">
      <c r="A120" s="27" t="s">
        <v>86</v>
      </c>
    </row>
    <row r="122" spans="1:34" x14ac:dyDescent="0.2">
      <c r="A122" s="13" t="s">
        <v>896</v>
      </c>
    </row>
    <row r="123" spans="1:34" x14ac:dyDescent="0.2">
      <c r="A123" s="93" t="s">
        <v>209</v>
      </c>
      <c r="C123" s="14" t="s">
        <v>262</v>
      </c>
      <c r="D123" s="14" t="s">
        <v>657</v>
      </c>
      <c r="E123" s="254">
        <f>'Func &amp; Classif'!H285</f>
        <v>19459969.028273102</v>
      </c>
      <c r="F123" s="65">
        <f>IF(VLOOKUP($D123,$C$5:$AU$501,3,)=0,0,(VLOOKUP($D123,$C$5:$AU$501,4,)/VLOOKUP($D123,$C$5:$AU$501,3,))*$E123)</f>
        <v>9911910.9232596401</v>
      </c>
      <c r="G123" s="65">
        <f>IF(VLOOKUP($D123,$C$5:$AU$501,3,)=0,0,(VLOOKUP($D123,$C$5:$AU$501,5,)/VLOOKUP($D123,$C$5:$AU$501,3,))*$E123)</f>
        <v>880918.7365070309</v>
      </c>
      <c r="H123" s="65">
        <f>IF(VLOOKUP($D123,$C$5:$AU$501,3,)=0,0,(VLOOKUP($D123,$C$5:$AU$501,6,)/VLOOKUP($D123,$C$5:$AU$501,3,))*$E123)</f>
        <v>1805996.5586089513</v>
      </c>
      <c r="I123" s="65">
        <f>IF(VLOOKUP($D123,$C$5:$AU$501,3,)=0,0,(VLOOKUP($D123,$C$5:$AU$501,7,)/VLOOKUP($D123,$C$5:$AU$501,3,))*$E123)</f>
        <v>25508.259321579972</v>
      </c>
      <c r="J123" s="65">
        <f>IF(VLOOKUP($D123,$C$5:$AU$501,3,)=0,0,(VLOOKUP($D123,$C$5:$AU$501,8,)/VLOOKUP($D123,$C$5:$AU$501,3,))*$E123)</f>
        <v>259839.51801815562</v>
      </c>
      <c r="K123" s="65">
        <f>IF(VLOOKUP($D123,$C$5:$AU$501,3,)=0,0,(VLOOKUP($D123,$C$5:$AU$501,9,)/VLOOKUP($D123,$C$5:$AU$501,3,))*$E123)</f>
        <v>180248.428222207</v>
      </c>
      <c r="L123" s="65">
        <f>IF(VLOOKUP($D123,$C$5:$AU$501,3,)=0,0,(VLOOKUP($D123,$C$5:$AU$501,10,)/VLOOKUP($D123,$C$5:$AU$501,3,))*$E123)</f>
        <v>18631.562605212697</v>
      </c>
      <c r="M123" s="65">
        <f>IF(VLOOKUP($D123,$C$5:$AU$501,3,)=0,0,(VLOOKUP($D123,$C$5:$AU$501,11,)/VLOOKUP($D123,$C$5:$AU$501,3,))*$E123)</f>
        <v>6376915.04</v>
      </c>
      <c r="N123" s="65">
        <f>IF(VLOOKUP($D123,$C$5:$AU$501,3,)=0,0,(VLOOKUP($D123,$C$5:$AU$501,12,)/VLOOKUP($D123,$C$5:$AU$501,3,))*$E123)</f>
        <v>0</v>
      </c>
      <c r="O123" s="65">
        <f>IF(VLOOKUP($D123,$C$5:$AU$501,3,)=0,0,(VLOOKUP($D123,$C$5:$AU$501,13,)/VLOOKUP($D123,$C$5:$AU$501,3,))*$E123)</f>
        <v>0</v>
      </c>
      <c r="P123" s="65">
        <f>IF(VLOOKUP($D123,$C$5:$AU$501,3,)=0,0,(VLOOKUP($D123,$C$5:$AU$501,14,)/VLOOKUP($D123,$C$5:$AU$501,3,))*$E123)</f>
        <v>0</v>
      </c>
      <c r="Q123" s="65">
        <f>IF(VLOOKUP($D123,$C$5:$AU$501,3,)=0,0,(VLOOKUP($D123,$C$5:$AU$501,15,)/VLOOKUP($D123,$C$5:$AU$501,3,))*$E123)</f>
        <v>0</v>
      </c>
      <c r="R123" s="65">
        <f>IF(VLOOKUP($D123,$C$5:$AU$501,3,)=0,0,(VLOOKUP($D123,$C$5:$AU$501,16,)/VLOOKUP($D123,$C$5:$AU$501,3,))*$E123)</f>
        <v>0</v>
      </c>
      <c r="S123" s="65">
        <f>IF(VLOOKUP($D123,$C$5:$AU$501,3,)=0,0,(VLOOKUP($D123,$C$5:$AU$501,17,)/VLOOKUP($D123,$C$5:$AU$501,3,))*$E123)</f>
        <v>0</v>
      </c>
      <c r="T123" s="65">
        <f>IF(VLOOKUP($D123,$C$5:$AU$501,3,)=0,0,(VLOOKUP($D123,$C$5:$AU$501,18,)/VLOOKUP($D123,$C$5:$AU$501,3,))*$E123)</f>
        <v>0</v>
      </c>
      <c r="U123" s="65">
        <f>IF(VLOOKUP($D123,$C$5:$AU$501,3,)=0,0,(VLOOKUP($D123,$C$5:$AU$501,19,)/VLOOKUP($D123,$C$5:$AU$501,3,))*$E123)</f>
        <v>0</v>
      </c>
      <c r="V123" s="65">
        <f>IF(VLOOKUP($D123,$C$5:$AU$501,3,)=0,0,(VLOOKUP($D123,$C$5:$AU$501,20,)/VLOOKUP($D123,$C$5:$AU$501,3,))*$E123)</f>
        <v>0</v>
      </c>
      <c r="W123" s="65">
        <f>IF(VLOOKUP($D123,$C$5:$AU$501,3,)=0,0,(VLOOKUP($D123,$C$5:$AU$501,21,)/VLOOKUP($D123,$C$5:$AU$501,3,))*$E123)</f>
        <v>0</v>
      </c>
      <c r="X123" s="65">
        <f>IF(VLOOKUP($D123,$C$5:$AU$501,3,)=0,0,(VLOOKUP($D123,$C$5:$AU$501,22,)/VLOOKUP($D123,$C$5:$AU$501,3,))*$E123)</f>
        <v>0</v>
      </c>
      <c r="Y123" s="65">
        <f>IF(VLOOKUP($D123,$C$5:$AU$501,3,)=0,0,(VLOOKUP($D123,$C$5:$AU$501,23,)/VLOOKUP($D123,$C$5:$AU$501,3,))*$E123)</f>
        <v>0</v>
      </c>
      <c r="Z123" s="65">
        <f>IF(VLOOKUP($D123,$C$5:$AU$501,3,)=0,0,(VLOOKUP($D123,$C$5:$AU$501,24,)/VLOOKUP($D123,$C$5:$AU$501,3,))*$E123)</f>
        <v>0</v>
      </c>
      <c r="AA123" s="65">
        <f>IF(VLOOKUP($D123,$C$5:$AU$501,3,)=0,0,(VLOOKUP($D123,$C$5:$AU$501,25,)/VLOOKUP($D123,$C$5:$AU$501,3,))*$E123)</f>
        <v>0</v>
      </c>
      <c r="AB123" s="65">
        <f>IF(VLOOKUP($D123,$C$5:$AU$501,3,)=0,0,(VLOOKUP($D123,$C$5:$AU$501,26,)/VLOOKUP($D123,$C$5:$AU$501,3,))*$E123)</f>
        <v>0</v>
      </c>
      <c r="AC123" s="65">
        <f>IF(VLOOKUP($D123,$C$5:$AU$501,3,)=0,0,(VLOOKUP($D123,$C$5:$AU$501,27,)/VLOOKUP($D123,$C$5:$AU$501,3,))*$E123)</f>
        <v>0</v>
      </c>
      <c r="AD123" s="65">
        <f>IF(VLOOKUP($D123,$C$5:$AU$501,3,)=0,0,(VLOOKUP($D123,$C$5:$AU$501,28,)/VLOOKUP($D123,$C$5:$AU$501,3,))*$E123)</f>
        <v>0</v>
      </c>
      <c r="AE123" s="65">
        <f>IF(VLOOKUP($D123,$C$5:$AU$501,3,)=0,0,(VLOOKUP($D123,$C$5:$AU$501,29,)/VLOOKUP($D123,$C$5:$AU$501,3,))*$E123)</f>
        <v>0</v>
      </c>
      <c r="AF123" s="65">
        <f>IF(VLOOKUP($D123,$C$5:$AU$501,3,)=0,0,(VLOOKUP($D123,$C$5:$AU$501,30,)/VLOOKUP($D123,$C$5:$AU$501,3,))*$E123)</f>
        <v>0</v>
      </c>
      <c r="AG123" s="90">
        <f>SUM(F123:AF123)</f>
        <v>19459969.026542779</v>
      </c>
      <c r="AH123" s="29" t="str">
        <f>IF(ABS(E123-AG123)&lt;0.01,"ok","err")</f>
        <v>ok</v>
      </c>
    </row>
    <row r="124" spans="1:34" x14ac:dyDescent="0.2">
      <c r="A124" s="93" t="s">
        <v>212</v>
      </c>
      <c r="C124" s="14" t="s">
        <v>263</v>
      </c>
      <c r="D124" s="14" t="s">
        <v>666</v>
      </c>
      <c r="E124" s="255">
        <f>'Func &amp; Classif'!I285</f>
        <v>46970894.971726887</v>
      </c>
      <c r="F124" s="65">
        <f>IF(VLOOKUP($D124,$C$5:$AU$501,3,)=0,0,(VLOOKUP($D124,$C$5:$AU$501,4,)/VLOOKUP($D124,$C$5:$AU$501,3,))*$E124)</f>
        <v>23752557.03153963</v>
      </c>
      <c r="G124" s="65">
        <f>IF(VLOOKUP($D124,$C$5:$AU$501,3,)=0,0,(VLOOKUP($D124,$C$5:$AU$501,5,)/VLOOKUP($D124,$C$5:$AU$501,3,))*$E124)</f>
        <v>1846507.7525056088</v>
      </c>
      <c r="H124" s="65">
        <f>IF(VLOOKUP($D124,$C$5:$AU$501,3,)=0,0,(VLOOKUP($D124,$C$5:$AU$501,6,)/VLOOKUP($D124,$C$5:$AU$501,3,))*$E124)</f>
        <v>4660864.465658755</v>
      </c>
      <c r="I124" s="65">
        <f>IF(VLOOKUP($D124,$C$5:$AU$501,3,)=0,0,(VLOOKUP($D124,$C$5:$AU$501,7,)/VLOOKUP($D124,$C$5:$AU$501,3,))*$E124)</f>
        <v>62722.243279593458</v>
      </c>
      <c r="J124" s="65">
        <f>IF(VLOOKUP($D124,$C$5:$AU$501,3,)=0,0,(VLOOKUP($D124,$C$5:$AU$501,8,)/VLOOKUP($D124,$C$5:$AU$501,3,))*$E124)</f>
        <v>496052.24655607261</v>
      </c>
      <c r="K124" s="65">
        <f>IF(VLOOKUP($D124,$C$5:$AU$501,3,)=0,0,(VLOOKUP($D124,$C$5:$AU$501,9,)/VLOOKUP($D124,$C$5:$AU$501,3,))*$E124)</f>
        <v>721048.08499628783</v>
      </c>
      <c r="L124" s="65">
        <f>IF(VLOOKUP($D124,$C$5:$AU$501,3,)=0,0,(VLOOKUP($D124,$C$5:$AU$501,10,)/VLOOKUP($D124,$C$5:$AU$501,3,))*$E124)</f>
        <v>74817.337190936625</v>
      </c>
      <c r="M124" s="65">
        <f>IF(VLOOKUP($D124,$C$5:$AU$501,3,)=0,0,(VLOOKUP($D124,$C$5:$AU$501,11,)/VLOOKUP($D124,$C$5:$AU$501,3,))*$E124)</f>
        <v>15356325.810000001</v>
      </c>
      <c r="N124" s="65">
        <f>IF(VLOOKUP($D124,$C$5:$AU$501,3,)=0,0,(VLOOKUP($D124,$C$5:$AU$501,12,)/VLOOKUP($D124,$C$5:$AU$501,3,))*$E124)</f>
        <v>0</v>
      </c>
      <c r="O124" s="65">
        <f>IF(VLOOKUP($D124,$C$5:$AU$501,3,)=0,0,(VLOOKUP($D124,$C$5:$AU$501,13,)/VLOOKUP($D124,$C$5:$AU$501,3,))*$E124)</f>
        <v>0</v>
      </c>
      <c r="P124" s="65">
        <f>IF(VLOOKUP($D124,$C$5:$AU$501,3,)=0,0,(VLOOKUP($D124,$C$5:$AU$501,14,)/VLOOKUP($D124,$C$5:$AU$501,3,))*$E124)</f>
        <v>0</v>
      </c>
      <c r="Q124" s="65">
        <f>IF(VLOOKUP($D124,$C$5:$AU$501,3,)=0,0,(VLOOKUP($D124,$C$5:$AU$501,15,)/VLOOKUP($D124,$C$5:$AU$501,3,))*$E124)</f>
        <v>0</v>
      </c>
      <c r="R124" s="65">
        <f>IF(VLOOKUP($D124,$C$5:$AU$501,3,)=0,0,(VLOOKUP($D124,$C$5:$AU$501,16,)/VLOOKUP($D124,$C$5:$AU$501,3,))*$E124)</f>
        <v>0</v>
      </c>
      <c r="S124" s="65">
        <f>IF(VLOOKUP($D124,$C$5:$AU$501,3,)=0,0,(VLOOKUP($D124,$C$5:$AU$501,17,)/VLOOKUP($D124,$C$5:$AU$501,3,))*$E124)</f>
        <v>0</v>
      </c>
      <c r="T124" s="65">
        <f>IF(VLOOKUP($D124,$C$5:$AU$501,3,)=0,0,(VLOOKUP($D124,$C$5:$AU$501,18,)/VLOOKUP($D124,$C$5:$AU$501,3,))*$E124)</f>
        <v>0</v>
      </c>
      <c r="U124" s="65">
        <f>IF(VLOOKUP($D124,$C$5:$AU$501,3,)=0,0,(VLOOKUP($D124,$C$5:$AU$501,19,)/VLOOKUP($D124,$C$5:$AU$501,3,))*$E124)</f>
        <v>0</v>
      </c>
      <c r="V124" s="65">
        <f>IF(VLOOKUP($D124,$C$5:$AU$501,3,)=0,0,(VLOOKUP($D124,$C$5:$AU$501,20,)/VLOOKUP($D124,$C$5:$AU$501,3,))*$E124)</f>
        <v>0</v>
      </c>
      <c r="W124" s="65">
        <f>IF(VLOOKUP($D124,$C$5:$AU$501,3,)=0,0,(VLOOKUP($D124,$C$5:$AU$501,21,)/VLOOKUP($D124,$C$5:$AU$501,3,))*$E124)</f>
        <v>0</v>
      </c>
      <c r="X124" s="65">
        <f>IF(VLOOKUP($D124,$C$5:$AU$501,3,)=0,0,(VLOOKUP($D124,$C$5:$AU$501,22,)/VLOOKUP($D124,$C$5:$AU$501,3,))*$E124)</f>
        <v>0</v>
      </c>
      <c r="Y124" s="65">
        <f>IF(VLOOKUP($D124,$C$5:$AU$501,3,)=0,0,(VLOOKUP($D124,$C$5:$AU$501,23,)/VLOOKUP($D124,$C$5:$AU$501,3,))*$E124)</f>
        <v>0</v>
      </c>
      <c r="Z124" s="65">
        <f>IF(VLOOKUP($D124,$C$5:$AU$501,3,)=0,0,(VLOOKUP($D124,$C$5:$AU$501,24,)/VLOOKUP($D124,$C$5:$AU$501,3,))*$E124)</f>
        <v>0</v>
      </c>
      <c r="AA124" s="65">
        <f>IF(VLOOKUP($D124,$C$5:$AU$501,3,)=0,0,(VLOOKUP($D124,$C$5:$AU$501,25,)/VLOOKUP($D124,$C$5:$AU$501,3,))*$E124)</f>
        <v>0</v>
      </c>
      <c r="AB124" s="65">
        <f>IF(VLOOKUP($D124,$C$5:$AU$501,3,)=0,0,(VLOOKUP($D124,$C$5:$AU$501,26,)/VLOOKUP($D124,$C$5:$AU$501,3,))*$E124)</f>
        <v>0</v>
      </c>
      <c r="AC124" s="65">
        <f>IF(VLOOKUP($D124,$C$5:$AU$501,3,)=0,0,(VLOOKUP($D124,$C$5:$AU$501,27,)/VLOOKUP($D124,$C$5:$AU$501,3,))*$E124)</f>
        <v>0</v>
      </c>
      <c r="AD124" s="65">
        <f>IF(VLOOKUP($D124,$C$5:$AU$501,3,)=0,0,(VLOOKUP($D124,$C$5:$AU$501,28,)/VLOOKUP($D124,$C$5:$AU$501,3,))*$E124)</f>
        <v>0</v>
      </c>
      <c r="AE124" s="65">
        <f>IF(VLOOKUP($D124,$C$5:$AU$501,3,)=0,0,(VLOOKUP($D124,$C$5:$AU$501,29,)/VLOOKUP($D124,$C$5:$AU$501,3,))*$E124)</f>
        <v>0</v>
      </c>
      <c r="AF124" s="65">
        <f>IF(VLOOKUP($D124,$C$5:$AU$501,3,)=0,0,(VLOOKUP($D124,$C$5:$AU$501,30,)/VLOOKUP($D124,$C$5:$AU$501,3,))*$E124)</f>
        <v>0</v>
      </c>
      <c r="AG124" s="90">
        <f>SUM(F124:AF124)</f>
        <v>46970894.971726887</v>
      </c>
      <c r="AH124" s="29" t="str">
        <f>IF(ABS(E124-AG124)&lt;0.01,"ok","err")</f>
        <v>ok</v>
      </c>
    </row>
    <row r="125" spans="1:34" x14ac:dyDescent="0.2">
      <c r="A125" s="14" t="s">
        <v>215</v>
      </c>
      <c r="C125" s="14" t="s">
        <v>264</v>
      </c>
      <c r="E125" s="267">
        <f t="shared" ref="E125:T125" si="25">E123+E124</f>
        <v>66430863.999999985</v>
      </c>
      <c r="F125" s="99">
        <f t="shared" si="25"/>
        <v>33664467.954799272</v>
      </c>
      <c r="G125" s="99">
        <f t="shared" si="25"/>
        <v>2727426.48901264</v>
      </c>
      <c r="H125" s="99">
        <f t="shared" si="25"/>
        <v>6466861.0242677061</v>
      </c>
      <c r="I125" s="99">
        <f t="shared" si="25"/>
        <v>88230.50260117343</v>
      </c>
      <c r="J125" s="99">
        <f t="shared" si="25"/>
        <v>755891.7645742282</v>
      </c>
      <c r="K125" s="99">
        <f t="shared" si="25"/>
        <v>901296.51321849483</v>
      </c>
      <c r="L125" s="99">
        <f t="shared" si="25"/>
        <v>93448.899796149315</v>
      </c>
      <c r="M125" s="99">
        <f t="shared" si="25"/>
        <v>21733240.850000001</v>
      </c>
      <c r="N125" s="99">
        <f t="shared" si="25"/>
        <v>0</v>
      </c>
      <c r="O125" s="99">
        <f t="shared" si="25"/>
        <v>0</v>
      </c>
      <c r="P125" s="99">
        <f t="shared" si="25"/>
        <v>0</v>
      </c>
      <c r="Q125" s="99">
        <f t="shared" si="25"/>
        <v>0</v>
      </c>
      <c r="R125" s="99">
        <f t="shared" si="25"/>
        <v>0</v>
      </c>
      <c r="S125" s="99">
        <f t="shared" si="25"/>
        <v>0</v>
      </c>
      <c r="T125" s="99">
        <f t="shared" si="25"/>
        <v>0</v>
      </c>
      <c r="U125" s="99">
        <f t="shared" ref="U125:AF125" si="26">U123+U124</f>
        <v>0</v>
      </c>
      <c r="V125" s="99">
        <f t="shared" si="26"/>
        <v>0</v>
      </c>
      <c r="W125" s="99">
        <f t="shared" si="26"/>
        <v>0</v>
      </c>
      <c r="X125" s="99">
        <f t="shared" si="26"/>
        <v>0</v>
      </c>
      <c r="Y125" s="99">
        <f t="shared" si="26"/>
        <v>0</v>
      </c>
      <c r="Z125" s="99">
        <f t="shared" si="26"/>
        <v>0</v>
      </c>
      <c r="AA125" s="99">
        <f t="shared" si="26"/>
        <v>0</v>
      </c>
      <c r="AB125" s="99">
        <f t="shared" si="26"/>
        <v>0</v>
      </c>
      <c r="AC125" s="99">
        <f t="shared" si="26"/>
        <v>0</v>
      </c>
      <c r="AD125" s="99">
        <f t="shared" si="26"/>
        <v>0</v>
      </c>
      <c r="AE125" s="99">
        <f t="shared" si="26"/>
        <v>0</v>
      </c>
      <c r="AF125" s="99">
        <f t="shared" si="26"/>
        <v>0</v>
      </c>
      <c r="AG125" s="101">
        <f>SUM(F125:AF125)</f>
        <v>66430863.998269662</v>
      </c>
      <c r="AH125" s="29" t="str">
        <f>IF(ABS(E125-AG125)&lt;0.01,"ok","err")</f>
        <v>ok</v>
      </c>
    </row>
    <row r="126" spans="1:34" x14ac:dyDescent="0.2">
      <c r="E126" s="255"/>
      <c r="F126" s="49"/>
      <c r="K126" s="90"/>
      <c r="L126" s="90"/>
      <c r="M126" s="90"/>
    </row>
    <row r="127" spans="1:34" x14ac:dyDescent="0.2">
      <c r="A127" s="13" t="s">
        <v>350</v>
      </c>
      <c r="E127" s="255"/>
      <c r="F127" s="49"/>
    </row>
    <row r="128" spans="1:34" x14ac:dyDescent="0.2">
      <c r="A128" s="93" t="s">
        <v>209</v>
      </c>
      <c r="C128" s="14" t="s">
        <v>888</v>
      </c>
      <c r="D128" s="14" t="s">
        <v>625</v>
      </c>
      <c r="E128" s="254">
        <f>'Func &amp; Classif'!K285</f>
        <v>0</v>
      </c>
      <c r="F128" s="65">
        <f>IF(VLOOKUP($D128,$C$5:$AU$501,3,)=0,0,(VLOOKUP($D128,$C$5:$AU$501,4,)/VLOOKUP($D128,$C$5:$AU$501,3,))*$E128)</f>
        <v>0</v>
      </c>
      <c r="G128" s="65">
        <f>IF(VLOOKUP($D128,$C$5:$AU$501,3,)=0,0,(VLOOKUP($D128,$C$5:$AU$501,5,)/VLOOKUP($D128,$C$5:$AU$501,3,))*$E128)</f>
        <v>0</v>
      </c>
      <c r="H128" s="65">
        <f>IF(VLOOKUP($D128,$C$5:$AU$501,3,)=0,0,(VLOOKUP($D128,$C$5:$AU$501,6,)/VLOOKUP($D128,$C$5:$AU$501,3,))*$E128)</f>
        <v>0</v>
      </c>
      <c r="I128" s="65">
        <f>IF(VLOOKUP($D128,$C$5:$AU$501,3,)=0,0,(VLOOKUP($D128,$C$5:$AU$501,7,)/VLOOKUP($D128,$C$5:$AU$501,3,))*$E128)</f>
        <v>0</v>
      </c>
      <c r="J128" s="65">
        <f>IF(VLOOKUP($D128,$C$5:$AU$501,3,)=0,0,(VLOOKUP($D128,$C$5:$AU$501,8,)/VLOOKUP($D128,$C$5:$AU$501,3,))*$E128)</f>
        <v>0</v>
      </c>
      <c r="K128" s="65">
        <f>IF(VLOOKUP($D128,$C$5:$AU$501,3,)=0,0,(VLOOKUP($D128,$C$5:$AU$501,9,)/VLOOKUP($D128,$C$5:$AU$501,3,))*$E128)</f>
        <v>0</v>
      </c>
      <c r="L128" s="65">
        <f>IF(VLOOKUP($D128,$C$5:$AU$501,3,)=0,0,(VLOOKUP($D128,$C$5:$AU$501,10,)/VLOOKUP($D128,$C$5:$AU$501,3,))*$E128)</f>
        <v>0</v>
      </c>
      <c r="M128" s="65">
        <f>IF(VLOOKUP($D128,$C$5:$AU$501,3,)=0,0,(VLOOKUP($D128,$C$5:$AU$501,11,)/VLOOKUP($D128,$C$5:$AU$501,3,))*$E128)</f>
        <v>0</v>
      </c>
      <c r="N128" s="65">
        <f>IF(VLOOKUP($D128,$C$5:$AU$501,3,)=0,0,(VLOOKUP($D128,$C$5:$AU$501,12,)/VLOOKUP($D128,$C$5:$AU$501,3,))*$E128)</f>
        <v>0</v>
      </c>
      <c r="O128" s="65">
        <f>IF(VLOOKUP($D128,$C$5:$AU$501,3,)=0,0,(VLOOKUP($D128,$C$5:$AU$501,13,)/VLOOKUP($D128,$C$5:$AU$501,3,))*$E128)</f>
        <v>0</v>
      </c>
      <c r="P128" s="65">
        <f>IF(VLOOKUP($D128,$C$5:$AU$501,3,)=0,0,(VLOOKUP($D128,$C$5:$AU$501,14,)/VLOOKUP($D128,$C$5:$AU$501,3,))*$E128)</f>
        <v>0</v>
      </c>
      <c r="Q128" s="65">
        <f>IF(VLOOKUP($D128,$C$5:$AU$501,3,)=0,0,(VLOOKUP($D128,$C$5:$AU$501,15,)/VLOOKUP($D128,$C$5:$AU$501,3,))*$E128)</f>
        <v>0</v>
      </c>
      <c r="R128" s="65">
        <f>IF(VLOOKUP($D128,$C$5:$AU$501,3,)=0,0,(VLOOKUP($D128,$C$5:$AU$501,16,)/VLOOKUP($D128,$C$5:$AU$501,3,))*$E128)</f>
        <v>0</v>
      </c>
      <c r="S128" s="65">
        <f>IF(VLOOKUP($D128,$C$5:$AU$501,3,)=0,0,(VLOOKUP($D128,$C$5:$AU$501,17,)/VLOOKUP($D128,$C$5:$AU$501,3,))*$E128)</f>
        <v>0</v>
      </c>
      <c r="T128" s="65">
        <f>IF(VLOOKUP($D128,$C$5:$AU$501,3,)=0,0,(VLOOKUP($D128,$C$5:$AU$501,18,)/VLOOKUP($D128,$C$5:$AU$501,3,))*$E128)</f>
        <v>0</v>
      </c>
      <c r="U128" s="65">
        <f>IF(VLOOKUP($D128,$C$5:$AU$501,3,)=0,0,(VLOOKUP($D128,$C$5:$AU$501,19,)/VLOOKUP($D128,$C$5:$AU$501,3,))*$E128)</f>
        <v>0</v>
      </c>
      <c r="V128" s="65">
        <f>IF(VLOOKUP($D128,$C$5:$AU$501,3,)=0,0,(VLOOKUP($D128,$C$5:$AU$501,20,)/VLOOKUP($D128,$C$5:$AU$501,3,))*$E128)</f>
        <v>0</v>
      </c>
      <c r="W128" s="65">
        <f>IF(VLOOKUP($D128,$C$5:$AU$501,3,)=0,0,(VLOOKUP($D128,$C$5:$AU$501,21,)/VLOOKUP($D128,$C$5:$AU$501,3,))*$E128)</f>
        <v>0</v>
      </c>
      <c r="X128" s="65">
        <f>IF(VLOOKUP($D128,$C$5:$AU$501,3,)=0,0,(VLOOKUP($D128,$C$5:$AU$501,22,)/VLOOKUP($D128,$C$5:$AU$501,3,))*$E128)</f>
        <v>0</v>
      </c>
      <c r="Y128" s="65">
        <f>IF(VLOOKUP($D128,$C$5:$AU$501,3,)=0,0,(VLOOKUP($D128,$C$5:$AU$501,23,)/VLOOKUP($D128,$C$5:$AU$501,3,))*$E128)</f>
        <v>0</v>
      </c>
      <c r="Z128" s="65">
        <f>IF(VLOOKUP($D128,$C$5:$AU$501,3,)=0,0,(VLOOKUP($D128,$C$5:$AU$501,24,)/VLOOKUP($D128,$C$5:$AU$501,3,))*$E128)</f>
        <v>0</v>
      </c>
      <c r="AA128" s="65">
        <f>IF(VLOOKUP($D128,$C$5:$AU$501,3,)=0,0,(VLOOKUP($D128,$C$5:$AU$501,25,)/VLOOKUP($D128,$C$5:$AU$501,3,))*$E128)</f>
        <v>0</v>
      </c>
      <c r="AB128" s="65">
        <f>IF(VLOOKUP($D128,$C$5:$AU$501,3,)=0,0,(VLOOKUP($D128,$C$5:$AU$501,26,)/VLOOKUP($D128,$C$5:$AU$501,3,))*$E128)</f>
        <v>0</v>
      </c>
      <c r="AC128" s="65">
        <f>IF(VLOOKUP($D128,$C$5:$AU$501,3,)=0,0,(VLOOKUP($D128,$C$5:$AU$501,27,)/VLOOKUP($D128,$C$5:$AU$501,3,))*$E128)</f>
        <v>0</v>
      </c>
      <c r="AD128" s="65">
        <f>IF(VLOOKUP($D128,$C$5:$AU$501,3,)=0,0,(VLOOKUP($D128,$C$5:$AU$501,28,)/VLOOKUP($D128,$C$5:$AU$501,3,))*$E128)</f>
        <v>0</v>
      </c>
      <c r="AE128" s="65">
        <f>IF(VLOOKUP($D128,$C$5:$AU$501,3,)=0,0,(VLOOKUP($D128,$C$5:$AU$501,29,)/VLOOKUP($D128,$C$5:$AU$501,3,))*$E128)</f>
        <v>0</v>
      </c>
      <c r="AF128" s="65">
        <f>IF(VLOOKUP($D128,$C$5:$AU$501,3,)=0,0,(VLOOKUP($D128,$C$5:$AU$501,30,)/VLOOKUP($D128,$C$5:$AU$501,3,))*$E128)</f>
        <v>0</v>
      </c>
      <c r="AG128" s="90">
        <f>SUM(F128:AF128)</f>
        <v>0</v>
      </c>
      <c r="AH128" s="29" t="str">
        <f>IF(ABS(E128-AG128)&lt;0.01,"ok","err")</f>
        <v>ok</v>
      </c>
    </row>
    <row r="129" spans="1:34" x14ac:dyDescent="0.2">
      <c r="E129" s="255"/>
    </row>
    <row r="130" spans="1:34" x14ac:dyDescent="0.2">
      <c r="A130" s="13" t="s">
        <v>1</v>
      </c>
      <c r="E130" s="255"/>
      <c r="F130" s="49"/>
    </row>
    <row r="131" spans="1:34" x14ac:dyDescent="0.2">
      <c r="A131" s="93" t="s">
        <v>209</v>
      </c>
      <c r="C131" s="14" t="s">
        <v>265</v>
      </c>
      <c r="D131" s="14" t="s">
        <v>632</v>
      </c>
      <c r="E131" s="254">
        <f>'Func &amp; Classif'!M285</f>
        <v>756632.63215252559</v>
      </c>
      <c r="F131" s="65">
        <f>IF(VLOOKUP($D131,$C$5:$AU$501,3,)=0,0,(VLOOKUP($D131,$C$5:$AU$501,4,)/VLOOKUP($D131,$C$5:$AU$501,3,))*$E131)</f>
        <v>573235.82546104863</v>
      </c>
      <c r="G131" s="65">
        <f>IF(VLOOKUP($D131,$C$5:$AU$501,3,)=0,0,(VLOOKUP($D131,$C$5:$AU$501,5,)/VLOOKUP($D131,$C$5:$AU$501,3,))*$E131)</f>
        <v>50946.198265434519</v>
      </c>
      <c r="H131" s="65">
        <f>IF(VLOOKUP($D131,$C$5:$AU$501,3,)=0,0,(VLOOKUP($D131,$C$5:$AU$501,6,)/VLOOKUP($D131,$C$5:$AU$501,3,))*$E131)</f>
        <v>104446.25018013761</v>
      </c>
      <c r="I131" s="65">
        <f>IF(VLOOKUP($D131,$C$5:$AU$501,3,)=0,0,(VLOOKUP($D131,$C$5:$AU$501,7,)/VLOOKUP($D131,$C$5:$AU$501,3,))*$E131)</f>
        <v>1475.219884590296</v>
      </c>
      <c r="J131" s="65">
        <f>IF(VLOOKUP($D131,$C$5:$AU$501,3,)=0,0,(VLOOKUP($D131,$C$5:$AU$501,8,)/VLOOKUP($D131,$C$5:$AU$501,3,))*$E131)</f>
        <v>15027.306212872503</v>
      </c>
      <c r="K131" s="65">
        <f>IF(VLOOKUP($D131,$C$5:$AU$501,3,)=0,0,(VLOOKUP($D131,$C$5:$AU$501,9,)/VLOOKUP($D131,$C$5:$AU$501,3,))*$E131)</f>
        <v>10424.312460027018</v>
      </c>
      <c r="L131" s="65">
        <f>IF(VLOOKUP($D131,$C$5:$AU$501,3,)=0,0,(VLOOKUP($D131,$C$5:$AU$501,10,)/VLOOKUP($D131,$C$5:$AU$501,3,))*$E131)</f>
        <v>1077.5196884150344</v>
      </c>
      <c r="M131" s="65">
        <f>IF(VLOOKUP($D131,$C$5:$AU$501,3,)=0,0,(VLOOKUP($D131,$C$5:$AU$501,11,)/VLOOKUP($D131,$C$5:$AU$501,3,))*$E131)</f>
        <v>0</v>
      </c>
      <c r="N131" s="65">
        <f>IF(VLOOKUP($D131,$C$5:$AU$501,3,)=0,0,(VLOOKUP($D131,$C$5:$AU$501,12,)/VLOOKUP($D131,$C$5:$AU$501,3,))*$E131)</f>
        <v>0</v>
      </c>
      <c r="O131" s="65">
        <f>IF(VLOOKUP($D131,$C$5:$AU$501,3,)=0,0,(VLOOKUP($D131,$C$5:$AU$501,13,)/VLOOKUP($D131,$C$5:$AU$501,3,))*$E131)</f>
        <v>0</v>
      </c>
      <c r="P131" s="65">
        <f>IF(VLOOKUP($D131,$C$5:$AU$501,3,)=0,0,(VLOOKUP($D131,$C$5:$AU$501,14,)/VLOOKUP($D131,$C$5:$AU$501,3,))*$E131)</f>
        <v>0</v>
      </c>
      <c r="Q131" s="65">
        <f>IF(VLOOKUP($D131,$C$5:$AU$501,3,)=0,0,(VLOOKUP($D131,$C$5:$AU$501,15,)/VLOOKUP($D131,$C$5:$AU$501,3,))*$E131)</f>
        <v>0</v>
      </c>
      <c r="R131" s="65">
        <f>IF(VLOOKUP($D131,$C$5:$AU$501,3,)=0,0,(VLOOKUP($D131,$C$5:$AU$501,16,)/VLOOKUP($D131,$C$5:$AU$501,3,))*$E131)</f>
        <v>0</v>
      </c>
      <c r="S131" s="65">
        <f>IF(VLOOKUP($D131,$C$5:$AU$501,3,)=0,0,(VLOOKUP($D131,$C$5:$AU$501,17,)/VLOOKUP($D131,$C$5:$AU$501,3,))*$E131)</f>
        <v>0</v>
      </c>
      <c r="T131" s="65">
        <f>IF(VLOOKUP($D131,$C$5:$AU$501,3,)=0,0,(VLOOKUP($D131,$C$5:$AU$501,18,)/VLOOKUP($D131,$C$5:$AU$501,3,))*$E131)</f>
        <v>0</v>
      </c>
      <c r="U131" s="65">
        <f>IF(VLOOKUP($D131,$C$5:$AU$501,3,)=0,0,(VLOOKUP($D131,$C$5:$AU$501,19,)/VLOOKUP($D131,$C$5:$AU$501,3,))*$E131)</f>
        <v>0</v>
      </c>
      <c r="V131" s="65">
        <f>IF(VLOOKUP($D131,$C$5:$AU$501,3,)=0,0,(VLOOKUP($D131,$C$5:$AU$501,20,)/VLOOKUP($D131,$C$5:$AU$501,3,))*$E131)</f>
        <v>0</v>
      </c>
      <c r="W131" s="65">
        <f>IF(VLOOKUP($D131,$C$5:$AU$501,3,)=0,0,(VLOOKUP($D131,$C$5:$AU$501,21,)/VLOOKUP($D131,$C$5:$AU$501,3,))*$E131)</f>
        <v>0</v>
      </c>
      <c r="X131" s="65">
        <f>IF(VLOOKUP($D131,$C$5:$AU$501,3,)=0,0,(VLOOKUP($D131,$C$5:$AU$501,22,)/VLOOKUP($D131,$C$5:$AU$501,3,))*$E131)</f>
        <v>0</v>
      </c>
      <c r="Y131" s="65">
        <f>IF(VLOOKUP($D131,$C$5:$AU$501,3,)=0,0,(VLOOKUP($D131,$C$5:$AU$501,23,)/VLOOKUP($D131,$C$5:$AU$501,3,))*$E131)</f>
        <v>0</v>
      </c>
      <c r="Z131" s="65">
        <f>IF(VLOOKUP($D131,$C$5:$AU$501,3,)=0,0,(VLOOKUP($D131,$C$5:$AU$501,24,)/VLOOKUP($D131,$C$5:$AU$501,3,))*$E131)</f>
        <v>0</v>
      </c>
      <c r="AA131" s="65">
        <f>IF(VLOOKUP($D131,$C$5:$AU$501,3,)=0,0,(VLOOKUP($D131,$C$5:$AU$501,25,)/VLOOKUP($D131,$C$5:$AU$501,3,))*$E131)</f>
        <v>0</v>
      </c>
      <c r="AB131" s="65">
        <f>IF(VLOOKUP($D131,$C$5:$AU$501,3,)=0,0,(VLOOKUP($D131,$C$5:$AU$501,26,)/VLOOKUP($D131,$C$5:$AU$501,3,))*$E131)</f>
        <v>0</v>
      </c>
      <c r="AC131" s="65">
        <f>IF(VLOOKUP($D131,$C$5:$AU$501,3,)=0,0,(VLOOKUP($D131,$C$5:$AU$501,27,)/VLOOKUP($D131,$C$5:$AU$501,3,))*$E131)</f>
        <v>0</v>
      </c>
      <c r="AD131" s="65">
        <f>IF(VLOOKUP($D131,$C$5:$AU$501,3,)=0,0,(VLOOKUP($D131,$C$5:$AU$501,28,)/VLOOKUP($D131,$C$5:$AU$501,3,))*$E131)</f>
        <v>0</v>
      </c>
      <c r="AE131" s="65">
        <f>IF(VLOOKUP($D131,$C$5:$AU$501,3,)=0,0,(VLOOKUP($D131,$C$5:$AU$501,29,)/VLOOKUP($D131,$C$5:$AU$501,3,))*$E131)</f>
        <v>0</v>
      </c>
      <c r="AF131" s="65">
        <f>IF(VLOOKUP($D131,$C$5:$AU$501,3,)=0,0,(VLOOKUP($D131,$C$5:$AU$501,30,)/VLOOKUP($D131,$C$5:$AU$501,3,))*$E131)</f>
        <v>0</v>
      </c>
      <c r="AG131" s="90">
        <f>SUM(F131:AF131)</f>
        <v>756632.63215252548</v>
      </c>
      <c r="AH131" s="29" t="str">
        <f>IF(ABS(E131-AG131)&lt;0.01,"ok","err")</f>
        <v>ok</v>
      </c>
    </row>
    <row r="132" spans="1:34" x14ac:dyDescent="0.2">
      <c r="E132" s="255"/>
    </row>
    <row r="133" spans="1:34" x14ac:dyDescent="0.2">
      <c r="A133" s="13" t="s">
        <v>2</v>
      </c>
      <c r="E133" s="255"/>
    </row>
    <row r="134" spans="1:34" x14ac:dyDescent="0.2">
      <c r="A134" s="93" t="s">
        <v>209</v>
      </c>
      <c r="C134" s="14" t="s">
        <v>266</v>
      </c>
      <c r="D134" s="14" t="s">
        <v>629</v>
      </c>
      <c r="E134" s="254">
        <f>'Func &amp; Classif'!O285</f>
        <v>3139516.4154810305</v>
      </c>
      <c r="F134" s="65">
        <f>IF(VLOOKUP($D134,$C$5:$AU$501,3,)=0,0,(VLOOKUP($D134,$C$5:$AU$501,4,)/VLOOKUP($D134,$C$5:$AU$501,3,))*$E134)</f>
        <v>2645266.442411623</v>
      </c>
      <c r="G134" s="65">
        <f>IF(VLOOKUP($D134,$C$5:$AU$501,3,)=0,0,(VLOOKUP($D134,$C$5:$AU$501,5,)/VLOOKUP($D134,$C$5:$AU$501,3,))*$E134)</f>
        <v>161134.509859571</v>
      </c>
      <c r="H134" s="65">
        <f>IF(VLOOKUP($D134,$C$5:$AU$501,3,)=0,0,(VLOOKUP($D134,$C$5:$AU$501,6,)/VLOOKUP($D134,$C$5:$AU$501,3,))*$E134)</f>
        <v>254498.44393021017</v>
      </c>
      <c r="I134" s="65">
        <f>IF(VLOOKUP($D134,$C$5:$AU$501,3,)=0,0,(VLOOKUP($D134,$C$5:$AU$501,7,)/VLOOKUP($D134,$C$5:$AU$501,3,))*$E134)</f>
        <v>3468.9226462845309</v>
      </c>
      <c r="J134" s="65">
        <f>IF(VLOOKUP($D134,$C$5:$AU$501,3,)=0,0,(VLOOKUP($D134,$C$5:$AU$501,8,)/VLOOKUP($D134,$C$5:$AU$501,3,))*$E134)</f>
        <v>43239.659101082638</v>
      </c>
      <c r="K134" s="65">
        <f>IF(VLOOKUP($D134,$C$5:$AU$501,3,)=0,0,(VLOOKUP($D134,$C$5:$AU$501,9,)/VLOOKUP($D134,$C$5:$AU$501,3,))*$E134)</f>
        <v>28908.607724712878</v>
      </c>
      <c r="L134" s="65">
        <f>IF(VLOOKUP($D134,$C$5:$AU$501,3,)=0,0,(VLOOKUP($D134,$C$5:$AU$501,10,)/VLOOKUP($D134,$C$5:$AU$501,3,))*$E134)</f>
        <v>2999.8298075467796</v>
      </c>
      <c r="M134" s="65">
        <f>IF(VLOOKUP($D134,$C$5:$AU$501,3,)=0,0,(VLOOKUP($D134,$C$5:$AU$501,11,)/VLOOKUP($D134,$C$5:$AU$501,3,))*$E134)</f>
        <v>0</v>
      </c>
      <c r="N134" s="65">
        <f>IF(VLOOKUP($D134,$C$5:$AU$501,3,)=0,0,(VLOOKUP($D134,$C$5:$AU$501,12,)/VLOOKUP($D134,$C$5:$AU$501,3,))*$E134)</f>
        <v>0</v>
      </c>
      <c r="O134" s="65">
        <f>IF(VLOOKUP($D134,$C$5:$AU$501,3,)=0,0,(VLOOKUP($D134,$C$5:$AU$501,13,)/VLOOKUP($D134,$C$5:$AU$501,3,))*$E134)</f>
        <v>0</v>
      </c>
      <c r="P134" s="65">
        <f>IF(VLOOKUP($D134,$C$5:$AU$501,3,)=0,0,(VLOOKUP($D134,$C$5:$AU$501,14,)/VLOOKUP($D134,$C$5:$AU$501,3,))*$E134)</f>
        <v>0</v>
      </c>
      <c r="Q134" s="65">
        <f>IF(VLOOKUP($D134,$C$5:$AU$501,3,)=0,0,(VLOOKUP($D134,$C$5:$AU$501,15,)/VLOOKUP($D134,$C$5:$AU$501,3,))*$E134)</f>
        <v>0</v>
      </c>
      <c r="R134" s="65">
        <f>IF(VLOOKUP($D134,$C$5:$AU$501,3,)=0,0,(VLOOKUP($D134,$C$5:$AU$501,16,)/VLOOKUP($D134,$C$5:$AU$501,3,))*$E134)</f>
        <v>0</v>
      </c>
      <c r="S134" s="65">
        <f>IF(VLOOKUP($D134,$C$5:$AU$501,3,)=0,0,(VLOOKUP($D134,$C$5:$AU$501,17,)/VLOOKUP($D134,$C$5:$AU$501,3,))*$E134)</f>
        <v>0</v>
      </c>
      <c r="T134" s="65">
        <f>IF(VLOOKUP($D134,$C$5:$AU$501,3,)=0,0,(VLOOKUP($D134,$C$5:$AU$501,18,)/VLOOKUP($D134,$C$5:$AU$501,3,))*$E134)</f>
        <v>0</v>
      </c>
      <c r="U134" s="65">
        <f>IF(VLOOKUP($D134,$C$5:$AU$501,3,)=0,0,(VLOOKUP($D134,$C$5:$AU$501,19,)/VLOOKUP($D134,$C$5:$AU$501,3,))*$E134)</f>
        <v>0</v>
      </c>
      <c r="V134" s="65">
        <f>IF(VLOOKUP($D134,$C$5:$AU$501,3,)=0,0,(VLOOKUP($D134,$C$5:$AU$501,20,)/VLOOKUP($D134,$C$5:$AU$501,3,))*$E134)</f>
        <v>0</v>
      </c>
      <c r="W134" s="65">
        <f>IF(VLOOKUP($D134,$C$5:$AU$501,3,)=0,0,(VLOOKUP($D134,$C$5:$AU$501,21,)/VLOOKUP($D134,$C$5:$AU$501,3,))*$E134)</f>
        <v>0</v>
      </c>
      <c r="X134" s="65">
        <f>IF(VLOOKUP($D134,$C$5:$AU$501,3,)=0,0,(VLOOKUP($D134,$C$5:$AU$501,22,)/VLOOKUP($D134,$C$5:$AU$501,3,))*$E134)</f>
        <v>0</v>
      </c>
      <c r="Y134" s="65">
        <f>IF(VLOOKUP($D134,$C$5:$AU$501,3,)=0,0,(VLOOKUP($D134,$C$5:$AU$501,23,)/VLOOKUP($D134,$C$5:$AU$501,3,))*$E134)</f>
        <v>0</v>
      </c>
      <c r="Z134" s="65">
        <f>IF(VLOOKUP($D134,$C$5:$AU$501,3,)=0,0,(VLOOKUP($D134,$C$5:$AU$501,24,)/VLOOKUP($D134,$C$5:$AU$501,3,))*$E134)</f>
        <v>0</v>
      </c>
      <c r="AA134" s="65">
        <f>IF(VLOOKUP($D134,$C$5:$AU$501,3,)=0,0,(VLOOKUP($D134,$C$5:$AU$501,25,)/VLOOKUP($D134,$C$5:$AU$501,3,))*$E134)</f>
        <v>0</v>
      </c>
      <c r="AB134" s="65">
        <f>IF(VLOOKUP($D134,$C$5:$AU$501,3,)=0,0,(VLOOKUP($D134,$C$5:$AU$501,26,)/VLOOKUP($D134,$C$5:$AU$501,3,))*$E134)</f>
        <v>0</v>
      </c>
      <c r="AC134" s="65">
        <f>IF(VLOOKUP($D134,$C$5:$AU$501,3,)=0,0,(VLOOKUP($D134,$C$5:$AU$501,27,)/VLOOKUP($D134,$C$5:$AU$501,3,))*$E134)</f>
        <v>0</v>
      </c>
      <c r="AD134" s="65">
        <f>IF(VLOOKUP($D134,$C$5:$AU$501,3,)=0,0,(VLOOKUP($D134,$C$5:$AU$501,28,)/VLOOKUP($D134,$C$5:$AU$501,3,))*$E134)</f>
        <v>0</v>
      </c>
      <c r="AE134" s="65">
        <f>IF(VLOOKUP($D134,$C$5:$AU$501,3,)=0,0,(VLOOKUP($D134,$C$5:$AU$501,29,)/VLOOKUP($D134,$C$5:$AU$501,3,))*$E134)</f>
        <v>0</v>
      </c>
      <c r="AF134" s="65">
        <f>IF(VLOOKUP($D134,$C$5:$AU$501,3,)=0,0,(VLOOKUP($D134,$C$5:$AU$501,30,)/VLOOKUP($D134,$C$5:$AU$501,3,))*$E134)</f>
        <v>0</v>
      </c>
      <c r="AG134" s="90">
        <f>SUM(F134:AF134)</f>
        <v>3139516.4154810309</v>
      </c>
      <c r="AH134" s="29" t="str">
        <f>IF(ABS(E134-AG134)&lt;0.01,"ok","err")</f>
        <v>ok</v>
      </c>
    </row>
    <row r="135" spans="1:34" x14ac:dyDescent="0.2">
      <c r="A135" s="93" t="s">
        <v>221</v>
      </c>
      <c r="C135" s="14" t="s">
        <v>267</v>
      </c>
      <c r="D135" s="14" t="s">
        <v>223</v>
      </c>
      <c r="E135" s="255">
        <f>'Func &amp; Classif'!P285</f>
        <v>5497560.5843463829</v>
      </c>
      <c r="F135" s="65">
        <f>IF(VLOOKUP($D135,$C$5:$AU$501,3,)=0,0,(VLOOKUP($D135,$C$5:$AU$501,4,)/VLOOKUP($D135,$C$5:$AU$501,3,))*$E135)</f>
        <v>5108074.5566540258</v>
      </c>
      <c r="G135" s="65">
        <f>IF(VLOOKUP($D135,$C$5:$AU$501,3,)=0,0,(VLOOKUP($D135,$C$5:$AU$501,5,)/VLOOKUP($D135,$C$5:$AU$501,3,))*$E135)</f>
        <v>317682.83706761739</v>
      </c>
      <c r="H135" s="65">
        <f>IF(VLOOKUP($D135,$C$5:$AU$501,3,)=0,0,(VLOOKUP($D135,$C$5:$AU$501,6,)/VLOOKUP($D135,$C$5:$AU$501,3,))*$E135)</f>
        <v>70208.081638912699</v>
      </c>
      <c r="I135" s="65">
        <f>IF(VLOOKUP($D135,$C$5:$AU$501,3,)=0,0,(VLOOKUP($D135,$C$5:$AU$501,7,)/VLOOKUP($D135,$C$5:$AU$501,3,))*$E135)</f>
        <v>698.58787700410653</v>
      </c>
      <c r="J135" s="65">
        <f>IF(VLOOKUP($D135,$C$5:$AU$501,3,)=0,0,(VLOOKUP($D135,$C$5:$AU$501,8,)/VLOOKUP($D135,$C$5:$AU$501,3,))*$E135)</f>
        <v>873.23484625513311</v>
      </c>
      <c r="K135" s="65">
        <f>IF(VLOOKUP($D135,$C$5:$AU$501,3,)=0,0,(VLOOKUP($D135,$C$5:$AU$501,9,)/VLOOKUP($D135,$C$5:$AU$501,3,))*$E135)</f>
        <v>0</v>
      </c>
      <c r="L135" s="65">
        <f>IF(VLOOKUP($D135,$C$5:$AU$501,3,)=0,0,(VLOOKUP($D135,$C$5:$AU$501,10,)/VLOOKUP($D135,$C$5:$AU$501,3,))*$E135)</f>
        <v>23.286262566803547</v>
      </c>
      <c r="M135" s="65">
        <f>IF(VLOOKUP($D135,$C$5:$AU$501,3,)=0,0,(VLOOKUP($D135,$C$5:$AU$501,11,)/VLOOKUP($D135,$C$5:$AU$501,3,))*$E135)</f>
        <v>0</v>
      </c>
      <c r="N135" s="65">
        <f>IF(VLOOKUP($D135,$C$5:$AU$501,3,)=0,0,(VLOOKUP($D135,$C$5:$AU$501,12,)/VLOOKUP($D135,$C$5:$AU$501,3,))*$E135)</f>
        <v>0</v>
      </c>
      <c r="O135" s="65">
        <f>IF(VLOOKUP($D135,$C$5:$AU$501,3,)=0,0,(VLOOKUP($D135,$C$5:$AU$501,13,)/VLOOKUP($D135,$C$5:$AU$501,3,))*$E135)</f>
        <v>0</v>
      </c>
      <c r="P135" s="65">
        <f>IF(VLOOKUP($D135,$C$5:$AU$501,3,)=0,0,(VLOOKUP($D135,$C$5:$AU$501,14,)/VLOOKUP($D135,$C$5:$AU$501,3,))*$E135)</f>
        <v>0</v>
      </c>
      <c r="Q135" s="65">
        <f>IF(VLOOKUP($D135,$C$5:$AU$501,3,)=0,0,(VLOOKUP($D135,$C$5:$AU$501,15,)/VLOOKUP($D135,$C$5:$AU$501,3,))*$E135)</f>
        <v>0</v>
      </c>
      <c r="R135" s="65">
        <f>IF(VLOOKUP($D135,$C$5:$AU$501,3,)=0,0,(VLOOKUP($D135,$C$5:$AU$501,16,)/VLOOKUP($D135,$C$5:$AU$501,3,))*$E135)</f>
        <v>0</v>
      </c>
      <c r="S135" s="65">
        <f>IF(VLOOKUP($D135,$C$5:$AU$501,3,)=0,0,(VLOOKUP($D135,$C$5:$AU$501,17,)/VLOOKUP($D135,$C$5:$AU$501,3,))*$E135)</f>
        <v>0</v>
      </c>
      <c r="T135" s="65">
        <f>IF(VLOOKUP($D135,$C$5:$AU$501,3,)=0,0,(VLOOKUP($D135,$C$5:$AU$501,18,)/VLOOKUP($D135,$C$5:$AU$501,3,))*$E135)</f>
        <v>0</v>
      </c>
      <c r="U135" s="65">
        <f>IF(VLOOKUP($D135,$C$5:$AU$501,3,)=0,0,(VLOOKUP($D135,$C$5:$AU$501,19,)/VLOOKUP($D135,$C$5:$AU$501,3,))*$E135)</f>
        <v>0</v>
      </c>
      <c r="V135" s="65">
        <f>IF(VLOOKUP($D135,$C$5:$AU$501,3,)=0,0,(VLOOKUP($D135,$C$5:$AU$501,20,)/VLOOKUP($D135,$C$5:$AU$501,3,))*$E135)</f>
        <v>0</v>
      </c>
      <c r="W135" s="65">
        <f>IF(VLOOKUP($D135,$C$5:$AU$501,3,)=0,0,(VLOOKUP($D135,$C$5:$AU$501,21,)/VLOOKUP($D135,$C$5:$AU$501,3,))*$E135)</f>
        <v>0</v>
      </c>
      <c r="X135" s="65">
        <f>IF(VLOOKUP($D135,$C$5:$AU$501,3,)=0,0,(VLOOKUP($D135,$C$5:$AU$501,22,)/VLOOKUP($D135,$C$5:$AU$501,3,))*$E135)</f>
        <v>0</v>
      </c>
      <c r="Y135" s="65">
        <f>IF(VLOOKUP($D135,$C$5:$AU$501,3,)=0,0,(VLOOKUP($D135,$C$5:$AU$501,23,)/VLOOKUP($D135,$C$5:$AU$501,3,))*$E135)</f>
        <v>0</v>
      </c>
      <c r="Z135" s="65">
        <f>IF(VLOOKUP($D135,$C$5:$AU$501,3,)=0,0,(VLOOKUP($D135,$C$5:$AU$501,24,)/VLOOKUP($D135,$C$5:$AU$501,3,))*$E135)</f>
        <v>0</v>
      </c>
      <c r="AA135" s="65">
        <f>IF(VLOOKUP($D135,$C$5:$AU$501,3,)=0,0,(VLOOKUP($D135,$C$5:$AU$501,25,)/VLOOKUP($D135,$C$5:$AU$501,3,))*$E135)</f>
        <v>0</v>
      </c>
      <c r="AB135" s="65">
        <f>IF(VLOOKUP($D135,$C$5:$AU$501,3,)=0,0,(VLOOKUP($D135,$C$5:$AU$501,26,)/VLOOKUP($D135,$C$5:$AU$501,3,))*$E135)</f>
        <v>0</v>
      </c>
      <c r="AC135" s="65">
        <f>IF(VLOOKUP($D135,$C$5:$AU$501,3,)=0,0,(VLOOKUP($D135,$C$5:$AU$501,27,)/VLOOKUP($D135,$C$5:$AU$501,3,))*$E135)</f>
        <v>0</v>
      </c>
      <c r="AD135" s="65">
        <f>IF(VLOOKUP($D135,$C$5:$AU$501,3,)=0,0,(VLOOKUP($D135,$C$5:$AU$501,28,)/VLOOKUP($D135,$C$5:$AU$501,3,))*$E135)</f>
        <v>0</v>
      </c>
      <c r="AE135" s="65">
        <f>IF(VLOOKUP($D135,$C$5:$AU$501,3,)=0,0,(VLOOKUP($D135,$C$5:$AU$501,29,)/VLOOKUP($D135,$C$5:$AU$501,3,))*$E135)</f>
        <v>0</v>
      </c>
      <c r="AF135" s="65">
        <f>IF(VLOOKUP($D135,$C$5:$AU$501,3,)=0,0,(VLOOKUP($D135,$C$5:$AU$501,30,)/VLOOKUP($D135,$C$5:$AU$501,3,))*$E135)</f>
        <v>0</v>
      </c>
      <c r="AG135" s="90">
        <f>SUM(F135:AF135)</f>
        <v>5497560.5843463819</v>
      </c>
      <c r="AH135" s="29" t="str">
        <f>IF(ABS(E135-AG135)&lt;0.01,"ok","err")</f>
        <v>ok</v>
      </c>
    </row>
    <row r="136" spans="1:34" x14ac:dyDescent="0.2">
      <c r="A136" s="14" t="s">
        <v>224</v>
      </c>
      <c r="E136" s="254">
        <f t="shared" ref="E136:T136" si="27">E134+E135</f>
        <v>8637076.9998274129</v>
      </c>
      <c r="F136" s="65">
        <f t="shared" si="27"/>
        <v>7753340.9990656488</v>
      </c>
      <c r="G136" s="65">
        <f t="shared" si="27"/>
        <v>478817.3469271884</v>
      </c>
      <c r="H136" s="65">
        <f t="shared" si="27"/>
        <v>324706.52556912287</v>
      </c>
      <c r="I136" s="65">
        <f t="shared" si="27"/>
        <v>4167.5105232886372</v>
      </c>
      <c r="J136" s="65">
        <f t="shared" si="27"/>
        <v>44112.893947337769</v>
      </c>
      <c r="K136" s="65">
        <f t="shared" si="27"/>
        <v>28908.607724712878</v>
      </c>
      <c r="L136" s="65">
        <f t="shared" si="27"/>
        <v>3023.1160701135832</v>
      </c>
      <c r="M136" s="65">
        <f t="shared" si="27"/>
        <v>0</v>
      </c>
      <c r="N136" s="65">
        <f t="shared" si="27"/>
        <v>0</v>
      </c>
      <c r="O136" s="65">
        <f t="shared" si="27"/>
        <v>0</v>
      </c>
      <c r="P136" s="65">
        <f t="shared" si="27"/>
        <v>0</v>
      </c>
      <c r="Q136" s="65">
        <f t="shared" si="27"/>
        <v>0</v>
      </c>
      <c r="R136" s="65">
        <f t="shared" si="27"/>
        <v>0</v>
      </c>
      <c r="S136" s="65">
        <f t="shared" si="27"/>
        <v>0</v>
      </c>
      <c r="T136" s="65">
        <f t="shared" si="27"/>
        <v>0</v>
      </c>
      <c r="U136" s="65">
        <f t="shared" ref="U136:AF136" si="28">U134+U135</f>
        <v>0</v>
      </c>
      <c r="V136" s="65">
        <f t="shared" si="28"/>
        <v>0</v>
      </c>
      <c r="W136" s="65">
        <f t="shared" si="28"/>
        <v>0</v>
      </c>
      <c r="X136" s="65">
        <f t="shared" si="28"/>
        <v>0</v>
      </c>
      <c r="Y136" s="65">
        <f t="shared" si="28"/>
        <v>0</v>
      </c>
      <c r="Z136" s="65">
        <f t="shared" si="28"/>
        <v>0</v>
      </c>
      <c r="AA136" s="65">
        <f t="shared" si="28"/>
        <v>0</v>
      </c>
      <c r="AB136" s="65">
        <f t="shared" si="28"/>
        <v>0</v>
      </c>
      <c r="AC136" s="65">
        <f t="shared" si="28"/>
        <v>0</v>
      </c>
      <c r="AD136" s="65">
        <f t="shared" si="28"/>
        <v>0</v>
      </c>
      <c r="AE136" s="65">
        <f t="shared" si="28"/>
        <v>0</v>
      </c>
      <c r="AF136" s="65">
        <f t="shared" si="28"/>
        <v>0</v>
      </c>
      <c r="AG136" s="90">
        <f>SUM(F136:AF136)</f>
        <v>8637076.9998274148</v>
      </c>
      <c r="AH136" s="29" t="str">
        <f>IF(ABS(E136-AG136)&lt;0.01,"ok","err")</f>
        <v>ok</v>
      </c>
    </row>
    <row r="137" spans="1:34" x14ac:dyDescent="0.2">
      <c r="E137" s="255"/>
    </row>
    <row r="138" spans="1:34" x14ac:dyDescent="0.2">
      <c r="A138" s="13" t="s">
        <v>3</v>
      </c>
      <c r="E138" s="255"/>
    </row>
    <row r="139" spans="1:34" x14ac:dyDescent="0.2">
      <c r="A139" s="93" t="s">
        <v>209</v>
      </c>
      <c r="C139" s="14" t="s">
        <v>268</v>
      </c>
      <c r="D139" s="14" t="s">
        <v>701</v>
      </c>
      <c r="E139" s="254">
        <f>'Func &amp; Classif'!R285</f>
        <v>0</v>
      </c>
      <c r="F139" s="65">
        <f>IF(VLOOKUP($D139,$C$5:$AU$501,3,)=0,0,(VLOOKUP($D139,$C$5:$AU$501,4,)/VLOOKUP($D139,$C$5:$AU$501,3,))*$E139)</f>
        <v>0</v>
      </c>
      <c r="G139" s="65">
        <f>IF(VLOOKUP($D139,$C$5:$AU$501,3,)=0,0,(VLOOKUP($D139,$C$5:$AU$501,5,)/VLOOKUP($D139,$C$5:$AU$501,3,))*$E139)</f>
        <v>0</v>
      </c>
      <c r="H139" s="65">
        <f>IF(VLOOKUP($D139,$C$5:$AU$501,3,)=0,0,(VLOOKUP($D139,$C$5:$AU$501,6,)/VLOOKUP($D139,$C$5:$AU$501,3,))*$E139)</f>
        <v>0</v>
      </c>
      <c r="I139" s="65">
        <f>IF(VLOOKUP($D139,$C$5:$AU$501,3,)=0,0,(VLOOKUP($D139,$C$5:$AU$501,7,)/VLOOKUP($D139,$C$5:$AU$501,3,))*$E139)</f>
        <v>0</v>
      </c>
      <c r="J139" s="65">
        <f>IF(VLOOKUP($D139,$C$5:$AU$501,3,)=0,0,(VLOOKUP($D139,$C$5:$AU$501,8,)/VLOOKUP($D139,$C$5:$AU$501,3,))*$E139)</f>
        <v>0</v>
      </c>
      <c r="K139" s="65">
        <f>IF(VLOOKUP($D139,$C$5:$AU$501,3,)=0,0,(VLOOKUP($D139,$C$5:$AU$501,9,)/VLOOKUP($D139,$C$5:$AU$501,3,))*$E139)</f>
        <v>0</v>
      </c>
      <c r="L139" s="65">
        <f>IF(VLOOKUP($D139,$C$5:$AU$501,3,)=0,0,(VLOOKUP($D139,$C$5:$AU$501,10,)/VLOOKUP($D139,$C$5:$AU$501,3,))*$E139)</f>
        <v>0</v>
      </c>
      <c r="M139" s="65">
        <f>IF(VLOOKUP($D139,$C$5:$AU$501,3,)=0,0,(VLOOKUP($D139,$C$5:$AU$501,11,)/VLOOKUP($D139,$C$5:$AU$501,3,))*$E139)</f>
        <v>0</v>
      </c>
      <c r="N139" s="65">
        <f>IF(VLOOKUP($D139,$C$5:$AU$501,3,)=0,0,(VLOOKUP($D139,$C$5:$AU$501,12,)/VLOOKUP($D139,$C$5:$AU$501,3,))*$E139)</f>
        <v>0</v>
      </c>
      <c r="O139" s="65">
        <f>IF(VLOOKUP($D139,$C$5:$AU$501,3,)=0,0,(VLOOKUP($D139,$C$5:$AU$501,13,)/VLOOKUP($D139,$C$5:$AU$501,3,))*$E139)</f>
        <v>0</v>
      </c>
      <c r="P139" s="65">
        <f>IF(VLOOKUP($D139,$C$5:$AU$501,3,)=0,0,(VLOOKUP($D139,$C$5:$AU$501,14,)/VLOOKUP($D139,$C$5:$AU$501,3,))*$E139)</f>
        <v>0</v>
      </c>
      <c r="Q139" s="65">
        <f>IF(VLOOKUP($D139,$C$5:$AU$501,3,)=0,0,(VLOOKUP($D139,$C$5:$AU$501,15,)/VLOOKUP($D139,$C$5:$AU$501,3,))*$E139)</f>
        <v>0</v>
      </c>
      <c r="R139" s="65">
        <f>IF(VLOOKUP($D139,$C$5:$AU$501,3,)=0,0,(VLOOKUP($D139,$C$5:$AU$501,16,)/VLOOKUP($D139,$C$5:$AU$501,3,))*$E139)</f>
        <v>0</v>
      </c>
      <c r="S139" s="65">
        <f>IF(VLOOKUP($D139,$C$5:$AU$501,3,)=0,0,(VLOOKUP($D139,$C$5:$AU$501,17,)/VLOOKUP($D139,$C$5:$AU$501,3,))*$E139)</f>
        <v>0</v>
      </c>
      <c r="T139" s="65">
        <f>IF(VLOOKUP($D139,$C$5:$AU$501,3,)=0,0,(VLOOKUP($D139,$C$5:$AU$501,18,)/VLOOKUP($D139,$C$5:$AU$501,3,))*$E139)</f>
        <v>0</v>
      </c>
      <c r="U139" s="65">
        <f>IF(VLOOKUP($D139,$C$5:$AU$501,3,)=0,0,(VLOOKUP($D139,$C$5:$AU$501,19,)/VLOOKUP($D139,$C$5:$AU$501,3,))*$E139)</f>
        <v>0</v>
      </c>
      <c r="V139" s="65">
        <f>IF(VLOOKUP($D139,$C$5:$AU$501,3,)=0,0,(VLOOKUP($D139,$C$5:$AU$501,20,)/VLOOKUP($D139,$C$5:$AU$501,3,))*$E139)</f>
        <v>0</v>
      </c>
      <c r="W139" s="65">
        <f>IF(VLOOKUP($D139,$C$5:$AU$501,3,)=0,0,(VLOOKUP($D139,$C$5:$AU$501,21,)/VLOOKUP($D139,$C$5:$AU$501,3,))*$E139)</f>
        <v>0</v>
      </c>
      <c r="X139" s="65">
        <f>IF(VLOOKUP($D139,$C$5:$AU$501,3,)=0,0,(VLOOKUP($D139,$C$5:$AU$501,22,)/VLOOKUP($D139,$C$5:$AU$501,3,))*$E139)</f>
        <v>0</v>
      </c>
      <c r="Y139" s="65">
        <f>IF(VLOOKUP($D139,$C$5:$AU$501,3,)=0,0,(VLOOKUP($D139,$C$5:$AU$501,23,)/VLOOKUP($D139,$C$5:$AU$501,3,))*$E139)</f>
        <v>0</v>
      </c>
      <c r="Z139" s="65">
        <f>IF(VLOOKUP($D139,$C$5:$AU$501,3,)=0,0,(VLOOKUP($D139,$C$5:$AU$501,24,)/VLOOKUP($D139,$C$5:$AU$501,3,))*$E139)</f>
        <v>0</v>
      </c>
      <c r="AA139" s="65">
        <f>IF(VLOOKUP($D139,$C$5:$AU$501,3,)=0,0,(VLOOKUP($D139,$C$5:$AU$501,25,)/VLOOKUP($D139,$C$5:$AU$501,3,))*$E139)</f>
        <v>0</v>
      </c>
      <c r="AB139" s="65">
        <f>IF(VLOOKUP($D139,$C$5:$AU$501,3,)=0,0,(VLOOKUP($D139,$C$5:$AU$501,26,)/VLOOKUP($D139,$C$5:$AU$501,3,))*$E139)</f>
        <v>0</v>
      </c>
      <c r="AC139" s="65">
        <f>IF(VLOOKUP($D139,$C$5:$AU$501,3,)=0,0,(VLOOKUP($D139,$C$5:$AU$501,27,)/VLOOKUP($D139,$C$5:$AU$501,3,))*$E139)</f>
        <v>0</v>
      </c>
      <c r="AD139" s="65">
        <f>IF(VLOOKUP($D139,$C$5:$AU$501,3,)=0,0,(VLOOKUP($D139,$C$5:$AU$501,28,)/VLOOKUP($D139,$C$5:$AU$501,3,))*$E139)</f>
        <v>0</v>
      </c>
      <c r="AE139" s="65">
        <f>IF(VLOOKUP($D139,$C$5:$AU$501,3,)=0,0,(VLOOKUP($D139,$C$5:$AU$501,29,)/VLOOKUP($D139,$C$5:$AU$501,3,))*$E139)</f>
        <v>0</v>
      </c>
      <c r="AF139" s="65">
        <f>IF(VLOOKUP($D139,$C$5:$AU$501,3,)=0,0,(VLOOKUP($D139,$C$5:$AU$501,30,)/VLOOKUP($D139,$C$5:$AU$501,3,))*$E139)</f>
        <v>0</v>
      </c>
      <c r="AG139" s="90">
        <f>SUM(F139:AF139)</f>
        <v>0</v>
      </c>
      <c r="AH139" s="29" t="str">
        <f>IF(ABS(E139-AG139)&lt;0.01,"ok","err")</f>
        <v>ok</v>
      </c>
    </row>
    <row r="140" spans="1:34" x14ac:dyDescent="0.2">
      <c r="A140" s="93" t="s">
        <v>221</v>
      </c>
      <c r="C140" s="14" t="s">
        <v>269</v>
      </c>
      <c r="D140" s="14" t="s">
        <v>701</v>
      </c>
      <c r="E140" s="255">
        <f>'Func &amp; Classif'!S285</f>
        <v>226082.49592447205</v>
      </c>
      <c r="F140" s="65">
        <f>IF(VLOOKUP($D140,$C$5:$AU$501,3,)=0,0,(VLOOKUP($D140,$C$5:$AU$501,4,)/VLOOKUP($D140,$C$5:$AU$501,3,))*$E140)</f>
        <v>202521.29009357671</v>
      </c>
      <c r="G140" s="65">
        <f>IF(VLOOKUP($D140,$C$5:$AU$501,3,)=0,0,(VLOOKUP($D140,$C$5:$AU$501,5,)/VLOOKUP($D140,$C$5:$AU$501,3,))*$E140)</f>
        <v>14248.2119990216</v>
      </c>
      <c r="H140" s="65">
        <f>IF(VLOOKUP($D140,$C$5:$AU$501,3,)=0,0,(VLOOKUP($D140,$C$5:$AU$501,6,)/VLOOKUP($D140,$C$5:$AU$501,3,))*$E140)</f>
        <v>8926.4222712582214</v>
      </c>
      <c r="I140" s="65">
        <f>IF(VLOOKUP($D140,$C$5:$AU$501,3,)=0,0,(VLOOKUP($D140,$C$5:$AU$501,7,)/VLOOKUP($D140,$C$5:$AU$501,3,))*$E140)</f>
        <v>88.820122102071849</v>
      </c>
      <c r="J140" s="65">
        <f>IF(VLOOKUP($D140,$C$5:$AU$501,3,)=0,0,(VLOOKUP($D140,$C$5:$AU$501,8,)/VLOOKUP($D140,$C$5:$AU$501,3,))*$E140)</f>
        <v>267.21870778101015</v>
      </c>
      <c r="K140" s="65">
        <f>IF(VLOOKUP($D140,$C$5:$AU$501,3,)=0,0,(VLOOKUP($D140,$C$5:$AU$501,9,)/VLOOKUP($D140,$C$5:$AU$501,3,))*$E140)</f>
        <v>0</v>
      </c>
      <c r="L140" s="65">
        <f>IF(VLOOKUP($D140,$C$5:$AU$501,3,)=0,0,(VLOOKUP($D140,$C$5:$AU$501,10,)/VLOOKUP($D140,$C$5:$AU$501,3,))*$E140)</f>
        <v>30.532730732457964</v>
      </c>
      <c r="M140" s="65">
        <f>IF(VLOOKUP($D140,$C$5:$AU$501,3,)=0,0,(VLOOKUP($D140,$C$5:$AU$501,11,)/VLOOKUP($D140,$C$5:$AU$501,3,))*$E140)</f>
        <v>0</v>
      </c>
      <c r="N140" s="65">
        <f>IF(VLOOKUP($D140,$C$5:$AU$501,3,)=0,0,(VLOOKUP($D140,$C$5:$AU$501,12,)/VLOOKUP($D140,$C$5:$AU$501,3,))*$E140)</f>
        <v>0</v>
      </c>
      <c r="O140" s="65">
        <f>IF(VLOOKUP($D140,$C$5:$AU$501,3,)=0,0,(VLOOKUP($D140,$C$5:$AU$501,13,)/VLOOKUP($D140,$C$5:$AU$501,3,))*$E140)</f>
        <v>0</v>
      </c>
      <c r="P140" s="65">
        <f>IF(VLOOKUP($D140,$C$5:$AU$501,3,)=0,0,(VLOOKUP($D140,$C$5:$AU$501,14,)/VLOOKUP($D140,$C$5:$AU$501,3,))*$E140)</f>
        <v>0</v>
      </c>
      <c r="Q140" s="65">
        <f>IF(VLOOKUP($D140,$C$5:$AU$501,3,)=0,0,(VLOOKUP($D140,$C$5:$AU$501,15,)/VLOOKUP($D140,$C$5:$AU$501,3,))*$E140)</f>
        <v>0</v>
      </c>
      <c r="R140" s="65">
        <f>IF(VLOOKUP($D140,$C$5:$AU$501,3,)=0,0,(VLOOKUP($D140,$C$5:$AU$501,16,)/VLOOKUP($D140,$C$5:$AU$501,3,))*$E140)</f>
        <v>0</v>
      </c>
      <c r="S140" s="65">
        <f>IF(VLOOKUP($D140,$C$5:$AU$501,3,)=0,0,(VLOOKUP($D140,$C$5:$AU$501,17,)/VLOOKUP($D140,$C$5:$AU$501,3,))*$E140)</f>
        <v>0</v>
      </c>
      <c r="T140" s="65">
        <f>IF(VLOOKUP($D140,$C$5:$AU$501,3,)=0,0,(VLOOKUP($D140,$C$5:$AU$501,18,)/VLOOKUP($D140,$C$5:$AU$501,3,))*$E140)</f>
        <v>0</v>
      </c>
      <c r="U140" s="65">
        <f>IF(VLOOKUP($D140,$C$5:$AU$501,3,)=0,0,(VLOOKUP($D140,$C$5:$AU$501,19,)/VLOOKUP($D140,$C$5:$AU$501,3,))*$E140)</f>
        <v>0</v>
      </c>
      <c r="V140" s="65">
        <f>IF(VLOOKUP($D140,$C$5:$AU$501,3,)=0,0,(VLOOKUP($D140,$C$5:$AU$501,20,)/VLOOKUP($D140,$C$5:$AU$501,3,))*$E140)</f>
        <v>0</v>
      </c>
      <c r="W140" s="65">
        <f>IF(VLOOKUP($D140,$C$5:$AU$501,3,)=0,0,(VLOOKUP($D140,$C$5:$AU$501,21,)/VLOOKUP($D140,$C$5:$AU$501,3,))*$E140)</f>
        <v>0</v>
      </c>
      <c r="X140" s="65">
        <f>IF(VLOOKUP($D140,$C$5:$AU$501,3,)=0,0,(VLOOKUP($D140,$C$5:$AU$501,22,)/VLOOKUP($D140,$C$5:$AU$501,3,))*$E140)</f>
        <v>0</v>
      </c>
      <c r="Y140" s="65">
        <f>IF(VLOOKUP($D140,$C$5:$AU$501,3,)=0,0,(VLOOKUP($D140,$C$5:$AU$501,23,)/VLOOKUP($D140,$C$5:$AU$501,3,))*$E140)</f>
        <v>0</v>
      </c>
      <c r="Z140" s="65">
        <f>IF(VLOOKUP($D140,$C$5:$AU$501,3,)=0,0,(VLOOKUP($D140,$C$5:$AU$501,24,)/VLOOKUP($D140,$C$5:$AU$501,3,))*$E140)</f>
        <v>0</v>
      </c>
      <c r="AA140" s="65">
        <f>IF(VLOOKUP($D140,$C$5:$AU$501,3,)=0,0,(VLOOKUP($D140,$C$5:$AU$501,25,)/VLOOKUP($D140,$C$5:$AU$501,3,))*$E140)</f>
        <v>0</v>
      </c>
      <c r="AB140" s="65">
        <f>IF(VLOOKUP($D140,$C$5:$AU$501,3,)=0,0,(VLOOKUP($D140,$C$5:$AU$501,26,)/VLOOKUP($D140,$C$5:$AU$501,3,))*$E140)</f>
        <v>0</v>
      </c>
      <c r="AC140" s="65">
        <f>IF(VLOOKUP($D140,$C$5:$AU$501,3,)=0,0,(VLOOKUP($D140,$C$5:$AU$501,27,)/VLOOKUP($D140,$C$5:$AU$501,3,))*$E140)</f>
        <v>0</v>
      </c>
      <c r="AD140" s="65">
        <f>IF(VLOOKUP($D140,$C$5:$AU$501,3,)=0,0,(VLOOKUP($D140,$C$5:$AU$501,28,)/VLOOKUP($D140,$C$5:$AU$501,3,))*$E140)</f>
        <v>0</v>
      </c>
      <c r="AE140" s="65">
        <f>IF(VLOOKUP($D140,$C$5:$AU$501,3,)=0,0,(VLOOKUP($D140,$C$5:$AU$501,29,)/VLOOKUP($D140,$C$5:$AU$501,3,))*$E140)</f>
        <v>0</v>
      </c>
      <c r="AF140" s="65">
        <f>IF(VLOOKUP($D140,$C$5:$AU$501,3,)=0,0,(VLOOKUP($D140,$C$5:$AU$501,30,)/VLOOKUP($D140,$C$5:$AU$501,3,))*$E140)</f>
        <v>0</v>
      </c>
      <c r="AG140" s="90">
        <f>SUM(F140:AF140)</f>
        <v>226082.49592447208</v>
      </c>
      <c r="AH140" s="29" t="str">
        <f>IF(ABS(E140-AG140)&lt;0.01,"ok","err")</f>
        <v>ok</v>
      </c>
    </row>
    <row r="141" spans="1:34" x14ac:dyDescent="0.2">
      <c r="A141" s="14" t="s">
        <v>228</v>
      </c>
      <c r="E141" s="254">
        <f t="shared" ref="E141:T141" si="29">E139+E140</f>
        <v>226082.49592447205</v>
      </c>
      <c r="F141" s="65">
        <f t="shared" si="29"/>
        <v>202521.29009357671</v>
      </c>
      <c r="G141" s="65">
        <f t="shared" si="29"/>
        <v>14248.2119990216</v>
      </c>
      <c r="H141" s="65">
        <f t="shared" si="29"/>
        <v>8926.4222712582214</v>
      </c>
      <c r="I141" s="65">
        <f t="shared" si="29"/>
        <v>88.820122102071849</v>
      </c>
      <c r="J141" s="65">
        <f t="shared" si="29"/>
        <v>267.21870778101015</v>
      </c>
      <c r="K141" s="65">
        <f t="shared" si="29"/>
        <v>0</v>
      </c>
      <c r="L141" s="65">
        <f t="shared" si="29"/>
        <v>30.532730732457964</v>
      </c>
      <c r="M141" s="65">
        <f t="shared" si="29"/>
        <v>0</v>
      </c>
      <c r="N141" s="65">
        <f t="shared" si="29"/>
        <v>0</v>
      </c>
      <c r="O141" s="65">
        <f t="shared" si="29"/>
        <v>0</v>
      </c>
      <c r="P141" s="65">
        <f t="shared" si="29"/>
        <v>0</v>
      </c>
      <c r="Q141" s="65">
        <f t="shared" si="29"/>
        <v>0</v>
      </c>
      <c r="R141" s="65">
        <f t="shared" si="29"/>
        <v>0</v>
      </c>
      <c r="S141" s="65">
        <f t="shared" si="29"/>
        <v>0</v>
      </c>
      <c r="T141" s="65">
        <f t="shared" si="29"/>
        <v>0</v>
      </c>
      <c r="U141" s="65">
        <f t="shared" ref="U141:AF141" si="30">U139+U140</f>
        <v>0</v>
      </c>
      <c r="V141" s="65">
        <f t="shared" si="30"/>
        <v>0</v>
      </c>
      <c r="W141" s="65">
        <f t="shared" si="30"/>
        <v>0</v>
      </c>
      <c r="X141" s="65">
        <f t="shared" si="30"/>
        <v>0</v>
      </c>
      <c r="Y141" s="65">
        <f t="shared" si="30"/>
        <v>0</v>
      </c>
      <c r="Z141" s="65">
        <f t="shared" si="30"/>
        <v>0</v>
      </c>
      <c r="AA141" s="65">
        <f t="shared" si="30"/>
        <v>0</v>
      </c>
      <c r="AB141" s="65">
        <f t="shared" si="30"/>
        <v>0</v>
      </c>
      <c r="AC141" s="65">
        <f t="shared" si="30"/>
        <v>0</v>
      </c>
      <c r="AD141" s="65">
        <f t="shared" si="30"/>
        <v>0</v>
      </c>
      <c r="AE141" s="65">
        <f t="shared" si="30"/>
        <v>0</v>
      </c>
      <c r="AF141" s="65">
        <f t="shared" si="30"/>
        <v>0</v>
      </c>
      <c r="AG141" s="90">
        <f>SUM(F141:AF141)</f>
        <v>226082.49592447208</v>
      </c>
      <c r="AH141" s="29" t="str">
        <f>IF(ABS(E141-AG141)&lt;0.01,"ok","err")</f>
        <v>ok</v>
      </c>
    </row>
    <row r="142" spans="1:34" x14ac:dyDescent="0.2">
      <c r="E142" s="255"/>
    </row>
    <row r="143" spans="1:34" x14ac:dyDescent="0.2">
      <c r="A143" s="13" t="s">
        <v>4</v>
      </c>
      <c r="E143" s="255"/>
    </row>
    <row r="144" spans="1:34" x14ac:dyDescent="0.2">
      <c r="A144" s="93" t="s">
        <v>221</v>
      </c>
      <c r="C144" s="14" t="s">
        <v>270</v>
      </c>
      <c r="D144" s="14" t="s">
        <v>230</v>
      </c>
      <c r="E144" s="254">
        <f>'Func &amp; Classif'!U285</f>
        <v>538601.41262691421</v>
      </c>
      <c r="F144" s="65">
        <f>IF(VLOOKUP($D144,$C$5:$AU$501,3,)=0,0,(VLOOKUP($D144,$C$5:$AU$501,4,)/VLOOKUP($D144,$C$5:$AU$501,3,))*$E144)</f>
        <v>416784.56245889259</v>
      </c>
      <c r="G144" s="65">
        <f>IF(VLOOKUP($D144,$C$5:$AU$501,3,)=0,0,(VLOOKUP($D144,$C$5:$AU$501,5,)/VLOOKUP($D144,$C$5:$AU$501,3,))*$E144)</f>
        <v>40736.094679213529</v>
      </c>
      <c r="H144" s="65">
        <f>IF(VLOOKUP($D144,$C$5:$AU$501,3,)=0,0,(VLOOKUP($D144,$C$5:$AU$501,6,)/VLOOKUP($D144,$C$5:$AU$501,3,))*$E144)</f>
        <v>69187.009489928445</v>
      </c>
      <c r="I144" s="65">
        <f>IF(VLOOKUP($D144,$C$5:$AU$501,3,)=0,0,(VLOOKUP($D144,$C$5:$AU$501,7,)/VLOOKUP($D144,$C$5:$AU$501,3,))*$E144)</f>
        <v>5286.1093328354309</v>
      </c>
      <c r="J144" s="65">
        <f>IF(VLOOKUP($D144,$C$5:$AU$501,3,)=0,0,(VLOOKUP($D144,$C$5:$AU$501,8,)/VLOOKUP($D144,$C$5:$AU$501,3,))*$E144)</f>
        <v>6607.6366660442882</v>
      </c>
      <c r="K144" s="65">
        <f>IF(VLOOKUP($D144,$C$5:$AU$501,3,)=0,0,(VLOOKUP($D144,$C$5:$AU$501,9,)/VLOOKUP($D144,$C$5:$AU$501,3,))*$E144)</f>
        <v>0</v>
      </c>
      <c r="L144" s="65">
        <f>IF(VLOOKUP($D144,$C$5:$AU$501,3,)=0,0,(VLOOKUP($D144,$C$5:$AU$501,10,)/VLOOKUP($D144,$C$5:$AU$501,3,))*$E144)</f>
        <v>0</v>
      </c>
      <c r="M144" s="65">
        <f>IF(VLOOKUP($D144,$C$5:$AU$501,3,)=0,0,(VLOOKUP($D144,$C$5:$AU$501,11,)/VLOOKUP($D144,$C$5:$AU$501,3,))*$E144)</f>
        <v>0</v>
      </c>
      <c r="N144" s="65">
        <f>IF(VLOOKUP($D144,$C$5:$AU$501,3,)=0,0,(VLOOKUP($D144,$C$5:$AU$501,12,)/VLOOKUP($D144,$C$5:$AU$501,3,))*$E144)</f>
        <v>0</v>
      </c>
      <c r="O144" s="65">
        <f>IF(VLOOKUP($D144,$C$5:$AU$501,3,)=0,0,(VLOOKUP($D144,$C$5:$AU$501,13,)/VLOOKUP($D144,$C$5:$AU$501,3,))*$E144)</f>
        <v>0</v>
      </c>
      <c r="P144" s="65">
        <f>IF(VLOOKUP($D144,$C$5:$AU$501,3,)=0,0,(VLOOKUP($D144,$C$5:$AU$501,14,)/VLOOKUP($D144,$C$5:$AU$501,3,))*$E144)</f>
        <v>0</v>
      </c>
      <c r="Q144" s="65">
        <f>IF(VLOOKUP($D144,$C$5:$AU$501,3,)=0,0,(VLOOKUP($D144,$C$5:$AU$501,15,)/VLOOKUP($D144,$C$5:$AU$501,3,))*$E144)</f>
        <v>0</v>
      </c>
      <c r="R144" s="65">
        <f>IF(VLOOKUP($D144,$C$5:$AU$501,3,)=0,0,(VLOOKUP($D144,$C$5:$AU$501,16,)/VLOOKUP($D144,$C$5:$AU$501,3,))*$E144)</f>
        <v>0</v>
      </c>
      <c r="S144" s="65">
        <f>IF(VLOOKUP($D144,$C$5:$AU$501,3,)=0,0,(VLOOKUP($D144,$C$5:$AU$501,17,)/VLOOKUP($D144,$C$5:$AU$501,3,))*$E144)</f>
        <v>0</v>
      </c>
      <c r="T144" s="65">
        <f>IF(VLOOKUP($D144,$C$5:$AU$501,3,)=0,0,(VLOOKUP($D144,$C$5:$AU$501,18,)/VLOOKUP($D144,$C$5:$AU$501,3,))*$E144)</f>
        <v>0</v>
      </c>
      <c r="U144" s="65">
        <f>IF(VLOOKUP($D144,$C$5:$AU$501,3,)=0,0,(VLOOKUP($D144,$C$5:$AU$501,19,)/VLOOKUP($D144,$C$5:$AU$501,3,))*$E144)</f>
        <v>0</v>
      </c>
      <c r="V144" s="65">
        <f>IF(VLOOKUP($D144,$C$5:$AU$501,3,)=0,0,(VLOOKUP($D144,$C$5:$AU$501,20,)/VLOOKUP($D144,$C$5:$AU$501,3,))*$E144)</f>
        <v>0</v>
      </c>
      <c r="W144" s="65">
        <f>IF(VLOOKUP($D144,$C$5:$AU$501,3,)=0,0,(VLOOKUP($D144,$C$5:$AU$501,21,)/VLOOKUP($D144,$C$5:$AU$501,3,))*$E144)</f>
        <v>0</v>
      </c>
      <c r="X144" s="65">
        <f>IF(VLOOKUP($D144,$C$5:$AU$501,3,)=0,0,(VLOOKUP($D144,$C$5:$AU$501,22,)/VLOOKUP($D144,$C$5:$AU$501,3,))*$E144)</f>
        <v>0</v>
      </c>
      <c r="Y144" s="65">
        <f>IF(VLOOKUP($D144,$C$5:$AU$501,3,)=0,0,(VLOOKUP($D144,$C$5:$AU$501,23,)/VLOOKUP($D144,$C$5:$AU$501,3,))*$E144)</f>
        <v>0</v>
      </c>
      <c r="Z144" s="65">
        <f>IF(VLOOKUP($D144,$C$5:$AU$501,3,)=0,0,(VLOOKUP($D144,$C$5:$AU$501,24,)/VLOOKUP($D144,$C$5:$AU$501,3,))*$E144)</f>
        <v>0</v>
      </c>
      <c r="AA144" s="65">
        <f>IF(VLOOKUP($D144,$C$5:$AU$501,3,)=0,0,(VLOOKUP($D144,$C$5:$AU$501,25,)/VLOOKUP($D144,$C$5:$AU$501,3,))*$E144)</f>
        <v>0</v>
      </c>
      <c r="AB144" s="65">
        <f>IF(VLOOKUP($D144,$C$5:$AU$501,3,)=0,0,(VLOOKUP($D144,$C$5:$AU$501,26,)/VLOOKUP($D144,$C$5:$AU$501,3,))*$E144)</f>
        <v>0</v>
      </c>
      <c r="AC144" s="65">
        <f>IF(VLOOKUP($D144,$C$5:$AU$501,3,)=0,0,(VLOOKUP($D144,$C$5:$AU$501,27,)/VLOOKUP($D144,$C$5:$AU$501,3,))*$E144)</f>
        <v>0</v>
      </c>
      <c r="AD144" s="65">
        <f>IF(VLOOKUP($D144,$C$5:$AU$501,3,)=0,0,(VLOOKUP($D144,$C$5:$AU$501,28,)/VLOOKUP($D144,$C$5:$AU$501,3,))*$E144)</f>
        <v>0</v>
      </c>
      <c r="AE144" s="65">
        <f>IF(VLOOKUP($D144,$C$5:$AU$501,3,)=0,0,(VLOOKUP($D144,$C$5:$AU$501,29,)/VLOOKUP($D144,$C$5:$AU$501,3,))*$E144)</f>
        <v>0</v>
      </c>
      <c r="AF144" s="65">
        <f>IF(VLOOKUP($D144,$C$5:$AU$501,3,)=0,0,(VLOOKUP($D144,$C$5:$AU$501,30,)/VLOOKUP($D144,$C$5:$AU$501,3,))*$E144)</f>
        <v>0</v>
      </c>
      <c r="AG144" s="90">
        <f>SUM(F144:AF144)</f>
        <v>538601.41262691421</v>
      </c>
      <c r="AH144" s="29" t="str">
        <f>IF(ABS(E144-AG144)&lt;0.01,"ok","err")</f>
        <v>ok</v>
      </c>
    </row>
    <row r="145" spans="1:34" x14ac:dyDescent="0.2">
      <c r="E145" s="255"/>
    </row>
    <row r="146" spans="1:34" x14ac:dyDescent="0.2">
      <c r="A146" s="13" t="s">
        <v>5</v>
      </c>
      <c r="E146" s="255"/>
    </row>
    <row r="147" spans="1:34" x14ac:dyDescent="0.2">
      <c r="A147" s="93" t="s">
        <v>221</v>
      </c>
      <c r="C147" s="14" t="s">
        <v>271</v>
      </c>
      <c r="D147" s="14" t="s">
        <v>232</v>
      </c>
      <c r="E147" s="254">
        <f>'Func &amp; Classif'!W285</f>
        <v>145697.3223158227</v>
      </c>
      <c r="F147" s="65">
        <f>IF(VLOOKUP($D147,$C$5:$AU$501,3,)=0,0,(VLOOKUP($D147,$C$5:$AU$501,4,)/VLOOKUP($D147,$C$5:$AU$501,3,))*$E147)</f>
        <v>0</v>
      </c>
      <c r="G147" s="65">
        <f>IF(VLOOKUP($D147,$C$5:$AU$501,3,)=0,0,(VLOOKUP($D147,$C$5:$AU$501,5,)/VLOOKUP($D147,$C$5:$AU$501,3,))*$E147)</f>
        <v>0</v>
      </c>
      <c r="H147" s="65">
        <f>IF(VLOOKUP($D147,$C$5:$AU$501,3,)=0,0,(VLOOKUP($D147,$C$5:$AU$501,6,)/VLOOKUP($D147,$C$5:$AU$501,3,))*$E147)</f>
        <v>0</v>
      </c>
      <c r="I147" s="65">
        <f>IF(VLOOKUP($D147,$C$5:$AU$501,3,)=0,0,(VLOOKUP($D147,$C$5:$AU$501,7,)/VLOOKUP($D147,$C$5:$AU$501,3,))*$E147)</f>
        <v>0</v>
      </c>
      <c r="J147" s="65">
        <f>IF(VLOOKUP($D147,$C$5:$AU$501,3,)=0,0,(VLOOKUP($D147,$C$5:$AU$501,8,)/VLOOKUP($D147,$C$5:$AU$501,3,))*$E147)</f>
        <v>0</v>
      </c>
      <c r="K147" s="65">
        <f>IF(VLOOKUP($D147,$C$5:$AU$501,3,)=0,0,(VLOOKUP($D147,$C$5:$AU$501,9,)/VLOOKUP($D147,$C$5:$AU$501,3,))*$E147)</f>
        <v>132000.67789877811</v>
      </c>
      <c r="L147" s="65">
        <f>IF(VLOOKUP($D147,$C$5:$AU$501,3,)=0,0,(VLOOKUP($D147,$C$5:$AU$501,10,)/VLOOKUP($D147,$C$5:$AU$501,3,))*$E147)</f>
        <v>13696.644417044588</v>
      </c>
      <c r="M147" s="65">
        <f>IF(VLOOKUP($D147,$C$5:$AU$501,3,)=0,0,(VLOOKUP($D147,$C$5:$AU$501,11,)/VLOOKUP($D147,$C$5:$AU$501,3,))*$E147)</f>
        <v>0</v>
      </c>
      <c r="N147" s="65">
        <f>IF(VLOOKUP($D147,$C$5:$AU$501,3,)=0,0,(VLOOKUP($D147,$C$5:$AU$501,12,)/VLOOKUP($D147,$C$5:$AU$501,3,))*$E147)</f>
        <v>0</v>
      </c>
      <c r="O147" s="65">
        <f>IF(VLOOKUP($D147,$C$5:$AU$501,3,)=0,0,(VLOOKUP($D147,$C$5:$AU$501,13,)/VLOOKUP($D147,$C$5:$AU$501,3,))*$E147)</f>
        <v>0</v>
      </c>
      <c r="P147" s="65">
        <f>IF(VLOOKUP($D147,$C$5:$AU$501,3,)=0,0,(VLOOKUP($D147,$C$5:$AU$501,14,)/VLOOKUP($D147,$C$5:$AU$501,3,))*$E147)</f>
        <v>0</v>
      </c>
      <c r="Q147" s="65">
        <f>IF(VLOOKUP($D147,$C$5:$AU$501,3,)=0,0,(VLOOKUP($D147,$C$5:$AU$501,15,)/VLOOKUP($D147,$C$5:$AU$501,3,))*$E147)</f>
        <v>0</v>
      </c>
      <c r="R147" s="65">
        <f>IF(VLOOKUP($D147,$C$5:$AU$501,3,)=0,0,(VLOOKUP($D147,$C$5:$AU$501,16,)/VLOOKUP($D147,$C$5:$AU$501,3,))*$E147)</f>
        <v>0</v>
      </c>
      <c r="S147" s="65">
        <f>IF(VLOOKUP($D147,$C$5:$AU$501,3,)=0,0,(VLOOKUP($D147,$C$5:$AU$501,17,)/VLOOKUP($D147,$C$5:$AU$501,3,))*$E147)</f>
        <v>0</v>
      </c>
      <c r="T147" s="65">
        <f>IF(VLOOKUP($D147,$C$5:$AU$501,3,)=0,0,(VLOOKUP($D147,$C$5:$AU$501,18,)/VLOOKUP($D147,$C$5:$AU$501,3,))*$E147)</f>
        <v>0</v>
      </c>
      <c r="U147" s="65">
        <f>IF(VLOOKUP($D147,$C$5:$AU$501,3,)=0,0,(VLOOKUP($D147,$C$5:$AU$501,19,)/VLOOKUP($D147,$C$5:$AU$501,3,))*$E147)</f>
        <v>0</v>
      </c>
      <c r="V147" s="65">
        <f>IF(VLOOKUP($D147,$C$5:$AU$501,3,)=0,0,(VLOOKUP($D147,$C$5:$AU$501,20,)/VLOOKUP($D147,$C$5:$AU$501,3,))*$E147)</f>
        <v>0</v>
      </c>
      <c r="W147" s="65">
        <f>IF(VLOOKUP($D147,$C$5:$AU$501,3,)=0,0,(VLOOKUP($D147,$C$5:$AU$501,21,)/VLOOKUP($D147,$C$5:$AU$501,3,))*$E147)</f>
        <v>0</v>
      </c>
      <c r="X147" s="65">
        <f>IF(VLOOKUP($D147,$C$5:$AU$501,3,)=0,0,(VLOOKUP($D147,$C$5:$AU$501,22,)/VLOOKUP($D147,$C$5:$AU$501,3,))*$E147)</f>
        <v>0</v>
      </c>
      <c r="Y147" s="65">
        <f>IF(VLOOKUP($D147,$C$5:$AU$501,3,)=0,0,(VLOOKUP($D147,$C$5:$AU$501,23,)/VLOOKUP($D147,$C$5:$AU$501,3,))*$E147)</f>
        <v>0</v>
      </c>
      <c r="Z147" s="65">
        <f>IF(VLOOKUP($D147,$C$5:$AU$501,3,)=0,0,(VLOOKUP($D147,$C$5:$AU$501,24,)/VLOOKUP($D147,$C$5:$AU$501,3,))*$E147)</f>
        <v>0</v>
      </c>
      <c r="AA147" s="65">
        <f>IF(VLOOKUP($D147,$C$5:$AU$501,3,)=0,0,(VLOOKUP($D147,$C$5:$AU$501,25,)/VLOOKUP($D147,$C$5:$AU$501,3,))*$E147)</f>
        <v>0</v>
      </c>
      <c r="AB147" s="65">
        <f>IF(VLOOKUP($D147,$C$5:$AU$501,3,)=0,0,(VLOOKUP($D147,$C$5:$AU$501,26,)/VLOOKUP($D147,$C$5:$AU$501,3,))*$E147)</f>
        <v>0</v>
      </c>
      <c r="AC147" s="65">
        <f>IF(VLOOKUP($D147,$C$5:$AU$501,3,)=0,0,(VLOOKUP($D147,$C$5:$AU$501,27,)/VLOOKUP($D147,$C$5:$AU$501,3,))*$E147)</f>
        <v>0</v>
      </c>
      <c r="AD147" s="65">
        <f>IF(VLOOKUP($D147,$C$5:$AU$501,3,)=0,0,(VLOOKUP($D147,$C$5:$AU$501,28,)/VLOOKUP($D147,$C$5:$AU$501,3,))*$E147)</f>
        <v>0</v>
      </c>
      <c r="AE147" s="65">
        <f>IF(VLOOKUP($D147,$C$5:$AU$501,3,)=0,0,(VLOOKUP($D147,$C$5:$AU$501,29,)/VLOOKUP($D147,$C$5:$AU$501,3,))*$E147)</f>
        <v>0</v>
      </c>
      <c r="AF147" s="65">
        <f>IF(VLOOKUP($D147,$C$5:$AU$501,3,)=0,0,(VLOOKUP($D147,$C$5:$AU$501,30,)/VLOOKUP($D147,$C$5:$AU$501,3,))*$E147)</f>
        <v>0</v>
      </c>
      <c r="AG147" s="90">
        <f>SUM(F147:AF147)</f>
        <v>145697.3223158227</v>
      </c>
      <c r="AH147" s="29" t="str">
        <f>IF(ABS(E147-AG147)&lt;0.01,"ok","err")</f>
        <v>ok</v>
      </c>
    </row>
    <row r="148" spans="1:34" x14ac:dyDescent="0.2">
      <c r="E148" s="255"/>
    </row>
    <row r="149" spans="1:34" x14ac:dyDescent="0.2">
      <c r="A149" s="13" t="s">
        <v>545</v>
      </c>
      <c r="E149" s="255"/>
    </row>
    <row r="150" spans="1:34" x14ac:dyDescent="0.2">
      <c r="A150" s="93" t="s">
        <v>221</v>
      </c>
      <c r="C150" s="14" t="s">
        <v>272</v>
      </c>
      <c r="D150" s="14" t="s">
        <v>234</v>
      </c>
      <c r="E150" s="254">
        <f>'Func &amp; Classif'!Y285</f>
        <v>2009168.894970126</v>
      </c>
      <c r="F150" s="65">
        <f>IF(VLOOKUP($D150,$C$5:$AU$501,3,)=0,0,(VLOOKUP($D150,$C$5:$AU$501,4,)/VLOOKUP($D150,$C$5:$AU$501,3,))*$E150)</f>
        <v>1866477.3167350478</v>
      </c>
      <c r="G150" s="65">
        <f>IF(VLOOKUP($D150,$C$5:$AU$501,3,)=0,0,(VLOOKUP($D150,$C$5:$AU$501,5,)/VLOOKUP($D150,$C$5:$AU$501,3,))*$E150)</f>
        <v>116080.49231198891</v>
      </c>
      <c r="H150" s="65">
        <f>IF(VLOOKUP($D150,$C$5:$AU$501,3,)=0,0,(VLOOKUP($D150,$C$5:$AU$501,6,)/VLOOKUP($D150,$C$5:$AU$501,3,))*$E150)</f>
        <v>25653.852616503325</v>
      </c>
      <c r="I150" s="65">
        <f>IF(VLOOKUP($D150,$C$5:$AU$501,3,)=0,0,(VLOOKUP($D150,$C$5:$AU$501,7,)/VLOOKUP($D150,$C$5:$AU$501,3,))*$E150)</f>
        <v>255.26221508958528</v>
      </c>
      <c r="J150" s="65">
        <f>IF(VLOOKUP($D150,$C$5:$AU$501,3,)=0,0,(VLOOKUP($D150,$C$5:$AU$501,8,)/VLOOKUP($D150,$C$5:$AU$501,3,))*$E150)</f>
        <v>319.07776886198167</v>
      </c>
      <c r="K150" s="65">
        <f>IF(VLOOKUP($D150,$C$5:$AU$501,3,)=0,0,(VLOOKUP($D150,$C$5:$AU$501,9,)/VLOOKUP($D150,$C$5:$AU$501,3,))*$E150)</f>
        <v>0</v>
      </c>
      <c r="L150" s="65">
        <f>IF(VLOOKUP($D150,$C$5:$AU$501,3,)=0,0,(VLOOKUP($D150,$C$5:$AU$501,10,)/VLOOKUP($D150,$C$5:$AU$501,3,))*$E150)</f>
        <v>382.89332263437797</v>
      </c>
      <c r="M150" s="65">
        <f>IF(VLOOKUP($D150,$C$5:$AU$501,3,)=0,0,(VLOOKUP($D150,$C$5:$AU$501,11,)/VLOOKUP($D150,$C$5:$AU$501,3,))*$E150)</f>
        <v>0</v>
      </c>
      <c r="N150" s="65">
        <f>IF(VLOOKUP($D150,$C$5:$AU$501,3,)=0,0,(VLOOKUP($D150,$C$5:$AU$501,12,)/VLOOKUP($D150,$C$5:$AU$501,3,))*$E150)</f>
        <v>0</v>
      </c>
      <c r="O150" s="65">
        <f>IF(VLOOKUP($D150,$C$5:$AU$501,3,)=0,0,(VLOOKUP($D150,$C$5:$AU$501,13,)/VLOOKUP($D150,$C$5:$AU$501,3,))*$E150)</f>
        <v>0</v>
      </c>
      <c r="P150" s="65">
        <f>IF(VLOOKUP($D150,$C$5:$AU$501,3,)=0,0,(VLOOKUP($D150,$C$5:$AU$501,14,)/VLOOKUP($D150,$C$5:$AU$501,3,))*$E150)</f>
        <v>0</v>
      </c>
      <c r="Q150" s="65">
        <f>IF(VLOOKUP($D150,$C$5:$AU$501,3,)=0,0,(VLOOKUP($D150,$C$5:$AU$501,15,)/VLOOKUP($D150,$C$5:$AU$501,3,))*$E150)</f>
        <v>0</v>
      </c>
      <c r="R150" s="65">
        <f>IF(VLOOKUP($D150,$C$5:$AU$501,3,)=0,0,(VLOOKUP($D150,$C$5:$AU$501,16,)/VLOOKUP($D150,$C$5:$AU$501,3,))*$E150)</f>
        <v>0</v>
      </c>
      <c r="S150" s="65">
        <f>IF(VLOOKUP($D150,$C$5:$AU$501,3,)=0,0,(VLOOKUP($D150,$C$5:$AU$501,17,)/VLOOKUP($D150,$C$5:$AU$501,3,))*$E150)</f>
        <v>0</v>
      </c>
      <c r="T150" s="65">
        <f>IF(VLOOKUP($D150,$C$5:$AU$501,3,)=0,0,(VLOOKUP($D150,$C$5:$AU$501,18,)/VLOOKUP($D150,$C$5:$AU$501,3,))*$E150)</f>
        <v>0</v>
      </c>
      <c r="U150" s="65">
        <f>IF(VLOOKUP($D150,$C$5:$AU$501,3,)=0,0,(VLOOKUP($D150,$C$5:$AU$501,19,)/VLOOKUP($D150,$C$5:$AU$501,3,))*$E150)</f>
        <v>0</v>
      </c>
      <c r="V150" s="65">
        <f>IF(VLOOKUP($D150,$C$5:$AU$501,3,)=0,0,(VLOOKUP($D150,$C$5:$AU$501,20,)/VLOOKUP($D150,$C$5:$AU$501,3,))*$E150)</f>
        <v>0</v>
      </c>
      <c r="W150" s="65">
        <f>IF(VLOOKUP($D150,$C$5:$AU$501,3,)=0,0,(VLOOKUP($D150,$C$5:$AU$501,21,)/VLOOKUP($D150,$C$5:$AU$501,3,))*$E150)</f>
        <v>0</v>
      </c>
      <c r="X150" s="65">
        <f>IF(VLOOKUP($D150,$C$5:$AU$501,3,)=0,0,(VLOOKUP($D150,$C$5:$AU$501,22,)/VLOOKUP($D150,$C$5:$AU$501,3,))*$E150)</f>
        <v>0</v>
      </c>
      <c r="Y150" s="65">
        <f>IF(VLOOKUP($D150,$C$5:$AU$501,3,)=0,0,(VLOOKUP($D150,$C$5:$AU$501,23,)/VLOOKUP($D150,$C$5:$AU$501,3,))*$E150)</f>
        <v>0</v>
      </c>
      <c r="Z150" s="65">
        <f>IF(VLOOKUP($D150,$C$5:$AU$501,3,)=0,0,(VLOOKUP($D150,$C$5:$AU$501,24,)/VLOOKUP($D150,$C$5:$AU$501,3,))*$E150)</f>
        <v>0</v>
      </c>
      <c r="AA150" s="65">
        <f>IF(VLOOKUP($D150,$C$5:$AU$501,3,)=0,0,(VLOOKUP($D150,$C$5:$AU$501,25,)/VLOOKUP($D150,$C$5:$AU$501,3,))*$E150)</f>
        <v>0</v>
      </c>
      <c r="AB150" s="65">
        <f>IF(VLOOKUP($D150,$C$5:$AU$501,3,)=0,0,(VLOOKUP($D150,$C$5:$AU$501,26,)/VLOOKUP($D150,$C$5:$AU$501,3,))*$E150)</f>
        <v>0</v>
      </c>
      <c r="AC150" s="65">
        <f>IF(VLOOKUP($D150,$C$5:$AU$501,3,)=0,0,(VLOOKUP($D150,$C$5:$AU$501,27,)/VLOOKUP($D150,$C$5:$AU$501,3,))*$E150)</f>
        <v>0</v>
      </c>
      <c r="AD150" s="65">
        <f>IF(VLOOKUP($D150,$C$5:$AU$501,3,)=0,0,(VLOOKUP($D150,$C$5:$AU$501,28,)/VLOOKUP($D150,$C$5:$AU$501,3,))*$E150)</f>
        <v>0</v>
      </c>
      <c r="AE150" s="65">
        <f>IF(VLOOKUP($D150,$C$5:$AU$501,3,)=0,0,(VLOOKUP($D150,$C$5:$AU$501,29,)/VLOOKUP($D150,$C$5:$AU$501,3,))*$E150)</f>
        <v>0</v>
      </c>
      <c r="AF150" s="65">
        <f>IF(VLOOKUP($D150,$C$5:$AU$501,3,)=0,0,(VLOOKUP($D150,$C$5:$AU$501,30,)/VLOOKUP($D150,$C$5:$AU$501,3,))*$E150)</f>
        <v>0</v>
      </c>
      <c r="AG150" s="90">
        <f>SUM(F150:AF150)</f>
        <v>2009168.894970126</v>
      </c>
      <c r="AH150" s="29" t="str">
        <f>IF(ABS(E150-AG150)&lt;0.01,"ok","err")</f>
        <v>ok</v>
      </c>
    </row>
    <row r="151" spans="1:34" x14ac:dyDescent="0.2">
      <c r="E151" s="255"/>
    </row>
    <row r="152" spans="1:34" x14ac:dyDescent="0.2">
      <c r="A152" s="13" t="s">
        <v>470</v>
      </c>
      <c r="E152" s="255"/>
    </row>
    <row r="153" spans="1:34" x14ac:dyDescent="0.2">
      <c r="A153" s="93" t="s">
        <v>221</v>
      </c>
      <c r="C153" s="14" t="s">
        <v>269</v>
      </c>
      <c r="D153" s="14" t="s">
        <v>235</v>
      </c>
      <c r="E153" s="254">
        <f>'Func &amp; Classif'!AA285</f>
        <v>-7560.6978172730196</v>
      </c>
      <c r="F153" s="65">
        <f>IF(VLOOKUP($D153,$C$5:$AU$501,3,)=0,0,(VLOOKUP($D153,$C$5:$AU$501,4,)/VLOOKUP($D153,$C$5:$AU$501,3,))*$E153)</f>
        <v>-7025.074329995593</v>
      </c>
      <c r="G153" s="65">
        <f>IF(VLOOKUP($D153,$C$5:$AU$501,3,)=0,0,(VLOOKUP($D153,$C$5:$AU$501,5,)/VLOOKUP($D153,$C$5:$AU$501,3,))*$E153)</f>
        <v>-436.90543648324615</v>
      </c>
      <c r="H153" s="65">
        <f>IF(VLOOKUP($D153,$C$5:$AU$501,3,)=0,0,(VLOOKUP($D153,$C$5:$AU$501,6,)/VLOOKUP($D153,$C$5:$AU$501,3,))*$E153)</f>
        <v>-96.556341652702017</v>
      </c>
      <c r="I153" s="65">
        <f>IF(VLOOKUP($D153,$C$5:$AU$501,3,)=0,0,(VLOOKUP($D153,$C$5:$AU$501,7,)/VLOOKUP($D153,$C$5:$AU$501,3,))*$E153)</f>
        <v>-0.96075961843484581</v>
      </c>
      <c r="J153" s="65">
        <f>IF(VLOOKUP($D153,$C$5:$AU$501,3,)=0,0,(VLOOKUP($D153,$C$5:$AU$501,8,)/VLOOKUP($D153,$C$5:$AU$501,3,))*$E153)</f>
        <v>-1.2009495230435574</v>
      </c>
      <c r="K153" s="65">
        <f>IF(VLOOKUP($D153,$C$5:$AU$501,3,)=0,0,(VLOOKUP($D153,$C$5:$AU$501,9,)/VLOOKUP($D153,$C$5:$AU$501,3,))*$E153)</f>
        <v>0</v>
      </c>
      <c r="L153" s="65">
        <f>IF(VLOOKUP($D153,$C$5:$AU$501,3,)=0,0,(VLOOKUP($D153,$C$5:$AU$501,10,)/VLOOKUP($D153,$C$5:$AU$501,3,))*$E153)</f>
        <v>0</v>
      </c>
      <c r="M153" s="65">
        <f>IF(VLOOKUP($D153,$C$5:$AU$501,3,)=0,0,(VLOOKUP($D153,$C$5:$AU$501,11,)/VLOOKUP($D153,$C$5:$AU$501,3,))*$E153)</f>
        <v>0</v>
      </c>
      <c r="N153" s="65">
        <f>IF(VLOOKUP($D153,$C$5:$AU$501,3,)=0,0,(VLOOKUP($D153,$C$5:$AU$501,12,)/VLOOKUP($D153,$C$5:$AU$501,3,))*$E153)</f>
        <v>0</v>
      </c>
      <c r="O153" s="65">
        <f>IF(VLOOKUP($D153,$C$5:$AU$501,3,)=0,0,(VLOOKUP($D153,$C$5:$AU$501,13,)/VLOOKUP($D153,$C$5:$AU$501,3,))*$E153)</f>
        <v>0</v>
      </c>
      <c r="P153" s="65">
        <f>IF(VLOOKUP($D153,$C$5:$AU$501,3,)=0,0,(VLOOKUP($D153,$C$5:$AU$501,14,)/VLOOKUP($D153,$C$5:$AU$501,3,))*$E153)</f>
        <v>0</v>
      </c>
      <c r="Q153" s="65">
        <f>IF(VLOOKUP($D153,$C$5:$AU$501,3,)=0,0,(VLOOKUP($D153,$C$5:$AU$501,15,)/VLOOKUP($D153,$C$5:$AU$501,3,))*$E153)</f>
        <v>0</v>
      </c>
      <c r="R153" s="65">
        <f>IF(VLOOKUP($D153,$C$5:$AU$501,3,)=0,0,(VLOOKUP($D153,$C$5:$AU$501,16,)/VLOOKUP($D153,$C$5:$AU$501,3,))*$E153)</f>
        <v>0</v>
      </c>
      <c r="S153" s="65">
        <f>IF(VLOOKUP($D153,$C$5:$AU$501,3,)=0,0,(VLOOKUP($D153,$C$5:$AU$501,17,)/VLOOKUP($D153,$C$5:$AU$501,3,))*$E153)</f>
        <v>0</v>
      </c>
      <c r="T153" s="65">
        <f>IF(VLOOKUP($D153,$C$5:$AU$501,3,)=0,0,(VLOOKUP($D153,$C$5:$AU$501,18,)/VLOOKUP($D153,$C$5:$AU$501,3,))*$E153)</f>
        <v>0</v>
      </c>
      <c r="U153" s="65">
        <f>IF(VLOOKUP($D153,$C$5:$AU$501,3,)=0,0,(VLOOKUP($D153,$C$5:$AU$501,19,)/VLOOKUP($D153,$C$5:$AU$501,3,))*$E153)</f>
        <v>0</v>
      </c>
      <c r="V153" s="65">
        <f>IF(VLOOKUP($D153,$C$5:$AU$501,3,)=0,0,(VLOOKUP($D153,$C$5:$AU$501,20,)/VLOOKUP($D153,$C$5:$AU$501,3,))*$E153)</f>
        <v>0</v>
      </c>
      <c r="W153" s="65">
        <f>IF(VLOOKUP($D153,$C$5:$AU$501,3,)=0,0,(VLOOKUP($D153,$C$5:$AU$501,21,)/VLOOKUP($D153,$C$5:$AU$501,3,))*$E153)</f>
        <v>0</v>
      </c>
      <c r="X153" s="65">
        <f>IF(VLOOKUP($D153,$C$5:$AU$501,3,)=0,0,(VLOOKUP($D153,$C$5:$AU$501,22,)/VLOOKUP($D153,$C$5:$AU$501,3,))*$E153)</f>
        <v>0</v>
      </c>
      <c r="Y153" s="65">
        <f>IF(VLOOKUP($D153,$C$5:$AU$501,3,)=0,0,(VLOOKUP($D153,$C$5:$AU$501,23,)/VLOOKUP($D153,$C$5:$AU$501,3,))*$E153)</f>
        <v>0</v>
      </c>
      <c r="Z153" s="65">
        <f>IF(VLOOKUP($D153,$C$5:$AU$501,3,)=0,0,(VLOOKUP($D153,$C$5:$AU$501,24,)/VLOOKUP($D153,$C$5:$AU$501,3,))*$E153)</f>
        <v>0</v>
      </c>
      <c r="AA153" s="65">
        <f>IF(VLOOKUP($D153,$C$5:$AU$501,3,)=0,0,(VLOOKUP($D153,$C$5:$AU$501,25,)/VLOOKUP($D153,$C$5:$AU$501,3,))*$E153)</f>
        <v>0</v>
      </c>
      <c r="AB153" s="65">
        <f>IF(VLOOKUP($D153,$C$5:$AU$501,3,)=0,0,(VLOOKUP($D153,$C$5:$AU$501,26,)/VLOOKUP($D153,$C$5:$AU$501,3,))*$E153)</f>
        <v>0</v>
      </c>
      <c r="AC153" s="65">
        <f>IF(VLOOKUP($D153,$C$5:$AU$501,3,)=0,0,(VLOOKUP($D153,$C$5:$AU$501,27,)/VLOOKUP($D153,$C$5:$AU$501,3,))*$E153)</f>
        <v>0</v>
      </c>
      <c r="AD153" s="65">
        <f>IF(VLOOKUP($D153,$C$5:$AU$501,3,)=0,0,(VLOOKUP($D153,$C$5:$AU$501,28,)/VLOOKUP($D153,$C$5:$AU$501,3,))*$E153)</f>
        <v>0</v>
      </c>
      <c r="AE153" s="65">
        <f>IF(VLOOKUP($D153,$C$5:$AU$501,3,)=0,0,(VLOOKUP($D153,$C$5:$AU$501,29,)/VLOOKUP($D153,$C$5:$AU$501,3,))*$E153)</f>
        <v>0</v>
      </c>
      <c r="AF153" s="65">
        <f>IF(VLOOKUP($D153,$C$5:$AU$501,3,)=0,0,(VLOOKUP($D153,$C$5:$AU$501,30,)/VLOOKUP($D153,$C$5:$AU$501,3,))*$E153)</f>
        <v>0</v>
      </c>
      <c r="AG153" s="90">
        <f>SUM(F153:AF153)</f>
        <v>-7560.6978172730196</v>
      </c>
      <c r="AH153" s="29" t="str">
        <f>IF(ABS(E153-AG153)&lt;0.01,"ok","err")</f>
        <v>ok</v>
      </c>
    </row>
    <row r="154" spans="1:34" x14ac:dyDescent="0.2">
      <c r="E154" s="255"/>
    </row>
    <row r="155" spans="1:34" x14ac:dyDescent="0.2">
      <c r="A155" s="14" t="s">
        <v>0</v>
      </c>
      <c r="C155" s="14" t="s">
        <v>273</v>
      </c>
      <c r="E155" s="254">
        <f>E125+E128+E131+E136+E141+E144+E147+E150+E153</f>
        <v>78736563.059999987</v>
      </c>
      <c r="F155" s="65">
        <f t="shared" ref="F155:R155" si="31">F125+F128+F131+F136+F141+F144+F147+F150+F153</f>
        <v>44469802.8742835</v>
      </c>
      <c r="G155" s="65">
        <f t="shared" si="31"/>
        <v>3427817.9277590038</v>
      </c>
      <c r="H155" s="65">
        <f t="shared" si="31"/>
        <v>6999684.5280530034</v>
      </c>
      <c r="I155" s="65">
        <f t="shared" si="31"/>
        <v>99502.463919461021</v>
      </c>
      <c r="J155" s="65">
        <f t="shared" si="31"/>
        <v>822224.69692760275</v>
      </c>
      <c r="K155" s="65">
        <f t="shared" si="31"/>
        <v>1072630.111302013</v>
      </c>
      <c r="L155" s="65">
        <f t="shared" si="31"/>
        <v>111659.60602508936</v>
      </c>
      <c r="M155" s="65">
        <f t="shared" si="31"/>
        <v>21733240.850000001</v>
      </c>
      <c r="N155" s="65">
        <f t="shared" si="31"/>
        <v>0</v>
      </c>
      <c r="O155" s="65">
        <f t="shared" si="31"/>
        <v>0</v>
      </c>
      <c r="P155" s="65">
        <f t="shared" si="31"/>
        <v>0</v>
      </c>
      <c r="Q155" s="65">
        <f t="shared" si="31"/>
        <v>0</v>
      </c>
      <c r="R155" s="65">
        <f t="shared" si="31"/>
        <v>0</v>
      </c>
      <c r="S155" s="65">
        <f t="shared" ref="S155:AF155" si="32">S125+S131+S136+S141+S144+S147+S150+S153</f>
        <v>0</v>
      </c>
      <c r="T155" s="65">
        <f t="shared" si="32"/>
        <v>0</v>
      </c>
      <c r="U155" s="65">
        <f t="shared" si="32"/>
        <v>0</v>
      </c>
      <c r="V155" s="65">
        <f t="shared" si="32"/>
        <v>0</v>
      </c>
      <c r="W155" s="65">
        <f t="shared" si="32"/>
        <v>0</v>
      </c>
      <c r="X155" s="65">
        <f t="shared" si="32"/>
        <v>0</v>
      </c>
      <c r="Y155" s="65">
        <f t="shared" si="32"/>
        <v>0</v>
      </c>
      <c r="Z155" s="65">
        <f t="shared" si="32"/>
        <v>0</v>
      </c>
      <c r="AA155" s="65">
        <f t="shared" si="32"/>
        <v>0</v>
      </c>
      <c r="AB155" s="65">
        <f t="shared" si="32"/>
        <v>0</v>
      </c>
      <c r="AC155" s="65">
        <f t="shared" si="32"/>
        <v>0</v>
      </c>
      <c r="AD155" s="65">
        <f t="shared" si="32"/>
        <v>0</v>
      </c>
      <c r="AE155" s="65">
        <f t="shared" si="32"/>
        <v>0</v>
      </c>
      <c r="AF155" s="65">
        <f t="shared" si="32"/>
        <v>0</v>
      </c>
      <c r="AG155" s="90">
        <f>SUM(F155:AF155)</f>
        <v>78736563.05826968</v>
      </c>
      <c r="AH155" s="29" t="str">
        <f>IF(ABS(E155-AG155)&lt;0.01,"ok","err")</f>
        <v>ok</v>
      </c>
    </row>
    <row r="158" spans="1:34" x14ac:dyDescent="0.2">
      <c r="A158" s="27" t="s">
        <v>183</v>
      </c>
    </row>
    <row r="160" spans="1:34" x14ac:dyDescent="0.2">
      <c r="A160" s="13" t="s">
        <v>896</v>
      </c>
    </row>
    <row r="161" spans="1:34" x14ac:dyDescent="0.2">
      <c r="A161" s="93" t="s">
        <v>209</v>
      </c>
      <c r="C161" s="14" t="s">
        <v>274</v>
      </c>
      <c r="D161" s="14" t="s">
        <v>657</v>
      </c>
      <c r="E161" s="254">
        <f>'Func &amp; Classif'!H465</f>
        <v>0</v>
      </c>
      <c r="F161" s="65">
        <f>IF(VLOOKUP($D161,$C$5:$AU$501,3,)=0,0,(VLOOKUP($D161,$C$5:$AU$501,4,)/VLOOKUP($D161,$C$5:$AU$501,3,))*$E161)</f>
        <v>0</v>
      </c>
      <c r="G161" s="65">
        <f>IF(VLOOKUP($D161,$C$5:$AU$501,3,)=0,0,(VLOOKUP($D161,$C$5:$AU$501,5,)/VLOOKUP($D161,$C$5:$AU$501,3,))*$E161)</f>
        <v>0</v>
      </c>
      <c r="H161" s="65">
        <f>IF(VLOOKUP($D161,$C$5:$AU$501,3,)=0,0,(VLOOKUP($D161,$C$5:$AU$501,6,)/VLOOKUP($D161,$C$5:$AU$501,3,))*$E161)</f>
        <v>0</v>
      </c>
      <c r="I161" s="65">
        <f>IF(VLOOKUP($D161,$C$5:$AU$501,3,)=0,0,(VLOOKUP($D161,$C$5:$AU$501,7,)/VLOOKUP($D161,$C$5:$AU$501,3,))*$E161)</f>
        <v>0</v>
      </c>
      <c r="J161" s="65">
        <f>IF(VLOOKUP($D161,$C$5:$AU$501,3,)=0,0,(VLOOKUP($D161,$C$5:$AU$501,8,)/VLOOKUP($D161,$C$5:$AU$501,3,))*$E161)</f>
        <v>0</v>
      </c>
      <c r="K161" s="65">
        <f>IF(VLOOKUP($D161,$C$5:$AU$501,3,)=0,0,(VLOOKUP($D161,$C$5:$AU$501,9,)/VLOOKUP($D161,$C$5:$AU$501,3,))*$E161)</f>
        <v>0</v>
      </c>
      <c r="L161" s="65">
        <f>IF(VLOOKUP($D161,$C$5:$AU$501,3,)=0,0,(VLOOKUP($D161,$C$5:$AU$501,10,)/VLOOKUP($D161,$C$5:$AU$501,3,))*$E161)</f>
        <v>0</v>
      </c>
      <c r="M161" s="65">
        <f>IF(VLOOKUP($D161,$C$5:$AU$501,3,)=0,0,(VLOOKUP($D161,$C$5:$AU$501,11,)/VLOOKUP($D161,$C$5:$AU$501,3,))*$E161)</f>
        <v>0</v>
      </c>
      <c r="N161" s="65">
        <f>IF(VLOOKUP($D161,$C$5:$AU$501,3,)=0,0,(VLOOKUP($D161,$C$5:$AU$501,12,)/VLOOKUP($D161,$C$5:$AU$501,3,))*$E161)</f>
        <v>0</v>
      </c>
      <c r="O161" s="65">
        <f>IF(VLOOKUP($D161,$C$5:$AU$501,3,)=0,0,(VLOOKUP($D161,$C$5:$AU$501,13,)/VLOOKUP($D161,$C$5:$AU$501,3,))*$E161)</f>
        <v>0</v>
      </c>
      <c r="P161" s="65">
        <f>IF(VLOOKUP($D161,$C$5:$AU$501,3,)=0,0,(VLOOKUP($D161,$C$5:$AU$501,14,)/VLOOKUP($D161,$C$5:$AU$501,3,))*$E161)</f>
        <v>0</v>
      </c>
      <c r="Q161" s="65">
        <f>IF(VLOOKUP($D161,$C$5:$AU$501,3,)=0,0,(VLOOKUP($D161,$C$5:$AU$501,15,)/VLOOKUP($D161,$C$5:$AU$501,3,))*$E161)</f>
        <v>0</v>
      </c>
      <c r="R161" s="65">
        <f>IF(VLOOKUP($D161,$C$5:$AU$501,3,)=0,0,(VLOOKUP($D161,$C$5:$AU$501,16,)/VLOOKUP($D161,$C$5:$AU$501,3,))*$E161)</f>
        <v>0</v>
      </c>
      <c r="S161" s="65">
        <f>IF(VLOOKUP($D161,$C$5:$AU$501,3,)=0,0,(VLOOKUP($D161,$C$5:$AU$501,17,)/VLOOKUP($D161,$C$5:$AU$501,3,))*$E161)</f>
        <v>0</v>
      </c>
      <c r="T161" s="65">
        <f>IF(VLOOKUP($D161,$C$5:$AU$501,3,)=0,0,(VLOOKUP($D161,$C$5:$AU$501,18,)/VLOOKUP($D161,$C$5:$AU$501,3,))*$E161)</f>
        <v>0</v>
      </c>
      <c r="U161" s="65">
        <f>IF(VLOOKUP($D161,$C$5:$AU$501,3,)=0,0,(VLOOKUP($D161,$C$5:$AU$501,19,)/VLOOKUP($D161,$C$5:$AU$501,3,))*$E161)</f>
        <v>0</v>
      </c>
      <c r="V161" s="65">
        <f>IF(VLOOKUP($D161,$C$5:$AU$501,3,)=0,0,(VLOOKUP($D161,$C$5:$AU$501,20,)/VLOOKUP($D161,$C$5:$AU$501,3,))*$E161)</f>
        <v>0</v>
      </c>
      <c r="W161" s="65">
        <f>IF(VLOOKUP($D161,$C$5:$AU$501,3,)=0,0,(VLOOKUP($D161,$C$5:$AU$501,21,)/VLOOKUP($D161,$C$5:$AU$501,3,))*$E161)</f>
        <v>0</v>
      </c>
      <c r="X161" s="65">
        <f>IF(VLOOKUP($D161,$C$5:$AU$501,3,)=0,0,(VLOOKUP($D161,$C$5:$AU$501,22,)/VLOOKUP($D161,$C$5:$AU$501,3,))*$E161)</f>
        <v>0</v>
      </c>
      <c r="Y161" s="65">
        <f>IF(VLOOKUP($D161,$C$5:$AU$501,3,)=0,0,(VLOOKUP($D161,$C$5:$AU$501,23,)/VLOOKUP($D161,$C$5:$AU$501,3,))*$E161)</f>
        <v>0</v>
      </c>
      <c r="Z161" s="65">
        <f>IF(VLOOKUP($D161,$C$5:$AU$501,3,)=0,0,(VLOOKUP($D161,$C$5:$AU$501,24,)/VLOOKUP($D161,$C$5:$AU$501,3,))*$E161)</f>
        <v>0</v>
      </c>
      <c r="AA161" s="65">
        <f>IF(VLOOKUP($D161,$C$5:$AU$501,3,)=0,0,(VLOOKUP($D161,$C$5:$AU$501,25,)/VLOOKUP($D161,$C$5:$AU$501,3,))*$E161)</f>
        <v>0</v>
      </c>
      <c r="AB161" s="65">
        <f>IF(VLOOKUP($D161,$C$5:$AU$501,3,)=0,0,(VLOOKUP($D161,$C$5:$AU$501,26,)/VLOOKUP($D161,$C$5:$AU$501,3,))*$E161)</f>
        <v>0</v>
      </c>
      <c r="AC161" s="65">
        <f>IF(VLOOKUP($D161,$C$5:$AU$501,3,)=0,0,(VLOOKUP($D161,$C$5:$AU$501,27,)/VLOOKUP($D161,$C$5:$AU$501,3,))*$E161)</f>
        <v>0</v>
      </c>
      <c r="AD161" s="65">
        <f>IF(VLOOKUP($D161,$C$5:$AU$501,3,)=0,0,(VLOOKUP($D161,$C$5:$AU$501,28,)/VLOOKUP($D161,$C$5:$AU$501,3,))*$E161)</f>
        <v>0</v>
      </c>
      <c r="AE161" s="65">
        <f>IF(VLOOKUP($D161,$C$5:$AU$501,3,)=0,0,(VLOOKUP($D161,$C$5:$AU$501,29,)/VLOOKUP($D161,$C$5:$AU$501,3,))*$E161)</f>
        <v>0</v>
      </c>
      <c r="AF161" s="65">
        <f>IF(VLOOKUP($D161,$C$5:$AU$501,3,)=0,0,(VLOOKUP($D161,$C$5:$AU$501,30,)/VLOOKUP($D161,$C$5:$AU$501,3,))*$E161)</f>
        <v>0</v>
      </c>
      <c r="AG161" s="90">
        <f>SUM(F161:AF161)</f>
        <v>0</v>
      </c>
      <c r="AH161" s="29" t="str">
        <f>IF(ABS(E161-AG161)&lt;0.01,"ok","err")</f>
        <v>ok</v>
      </c>
    </row>
    <row r="162" spans="1:34" x14ac:dyDescent="0.2">
      <c r="A162" s="93" t="s">
        <v>212</v>
      </c>
      <c r="C162" s="14" t="s">
        <v>275</v>
      </c>
      <c r="D162" s="14" t="s">
        <v>666</v>
      </c>
      <c r="E162" s="255">
        <f>'Func &amp; Classif'!I465</f>
        <v>0</v>
      </c>
      <c r="F162" s="65">
        <f>IF(VLOOKUP($D162,$C$5:$AU$501,3,)=0,0,(VLOOKUP($D162,$C$5:$AU$501,4,)/VLOOKUP($D162,$C$5:$AU$501,3,))*$E162)</f>
        <v>0</v>
      </c>
      <c r="G162" s="65">
        <f>IF(VLOOKUP($D162,$C$5:$AU$501,3,)=0,0,(VLOOKUP($D162,$C$5:$AU$501,5,)/VLOOKUP($D162,$C$5:$AU$501,3,))*$E162)</f>
        <v>0</v>
      </c>
      <c r="H162" s="65">
        <f>IF(VLOOKUP($D162,$C$5:$AU$501,3,)=0,0,(VLOOKUP($D162,$C$5:$AU$501,6,)/VLOOKUP($D162,$C$5:$AU$501,3,))*$E162)</f>
        <v>0</v>
      </c>
      <c r="I162" s="65">
        <f>IF(VLOOKUP($D162,$C$5:$AU$501,3,)=0,0,(VLOOKUP($D162,$C$5:$AU$501,7,)/VLOOKUP($D162,$C$5:$AU$501,3,))*$E162)</f>
        <v>0</v>
      </c>
      <c r="J162" s="65">
        <f>IF(VLOOKUP($D162,$C$5:$AU$501,3,)=0,0,(VLOOKUP($D162,$C$5:$AU$501,8,)/VLOOKUP($D162,$C$5:$AU$501,3,))*$E162)</f>
        <v>0</v>
      </c>
      <c r="K162" s="65">
        <f>IF(VLOOKUP($D162,$C$5:$AU$501,3,)=0,0,(VLOOKUP($D162,$C$5:$AU$501,9,)/VLOOKUP($D162,$C$5:$AU$501,3,))*$E162)</f>
        <v>0</v>
      </c>
      <c r="L162" s="65">
        <f>IF(VLOOKUP($D162,$C$5:$AU$501,3,)=0,0,(VLOOKUP($D162,$C$5:$AU$501,10,)/VLOOKUP($D162,$C$5:$AU$501,3,))*$E162)</f>
        <v>0</v>
      </c>
      <c r="M162" s="65">
        <f>IF(VLOOKUP($D162,$C$5:$AU$501,3,)=0,0,(VLOOKUP($D162,$C$5:$AU$501,11,)/VLOOKUP($D162,$C$5:$AU$501,3,))*$E162)</f>
        <v>0</v>
      </c>
      <c r="N162" s="65">
        <f>IF(VLOOKUP($D162,$C$5:$AU$501,3,)=0,0,(VLOOKUP($D162,$C$5:$AU$501,12,)/VLOOKUP($D162,$C$5:$AU$501,3,))*$E162)</f>
        <v>0</v>
      </c>
      <c r="O162" s="65">
        <f>IF(VLOOKUP($D162,$C$5:$AU$501,3,)=0,0,(VLOOKUP($D162,$C$5:$AU$501,13,)/VLOOKUP($D162,$C$5:$AU$501,3,))*$E162)</f>
        <v>0</v>
      </c>
      <c r="P162" s="65">
        <f>IF(VLOOKUP($D162,$C$5:$AU$501,3,)=0,0,(VLOOKUP($D162,$C$5:$AU$501,14,)/VLOOKUP($D162,$C$5:$AU$501,3,))*$E162)</f>
        <v>0</v>
      </c>
      <c r="Q162" s="65">
        <f>IF(VLOOKUP($D162,$C$5:$AU$501,3,)=0,0,(VLOOKUP($D162,$C$5:$AU$501,15,)/VLOOKUP($D162,$C$5:$AU$501,3,))*$E162)</f>
        <v>0</v>
      </c>
      <c r="R162" s="65">
        <f>IF(VLOOKUP($D162,$C$5:$AU$501,3,)=0,0,(VLOOKUP($D162,$C$5:$AU$501,16,)/VLOOKUP($D162,$C$5:$AU$501,3,))*$E162)</f>
        <v>0</v>
      </c>
      <c r="S162" s="65">
        <f>IF(VLOOKUP($D162,$C$5:$AU$501,3,)=0,0,(VLOOKUP($D162,$C$5:$AU$501,17,)/VLOOKUP($D162,$C$5:$AU$501,3,))*$E162)</f>
        <v>0</v>
      </c>
      <c r="T162" s="65">
        <f>IF(VLOOKUP($D162,$C$5:$AU$501,3,)=0,0,(VLOOKUP($D162,$C$5:$AU$501,18,)/VLOOKUP($D162,$C$5:$AU$501,3,))*$E162)</f>
        <v>0</v>
      </c>
      <c r="U162" s="65">
        <f>IF(VLOOKUP($D162,$C$5:$AU$501,3,)=0,0,(VLOOKUP($D162,$C$5:$AU$501,19,)/VLOOKUP($D162,$C$5:$AU$501,3,))*$E162)</f>
        <v>0</v>
      </c>
      <c r="V162" s="65">
        <f>IF(VLOOKUP($D162,$C$5:$AU$501,3,)=0,0,(VLOOKUP($D162,$C$5:$AU$501,20,)/VLOOKUP($D162,$C$5:$AU$501,3,))*$E162)</f>
        <v>0</v>
      </c>
      <c r="W162" s="65">
        <f>IF(VLOOKUP($D162,$C$5:$AU$501,3,)=0,0,(VLOOKUP($D162,$C$5:$AU$501,21,)/VLOOKUP($D162,$C$5:$AU$501,3,))*$E162)</f>
        <v>0</v>
      </c>
      <c r="X162" s="65">
        <f>IF(VLOOKUP($D162,$C$5:$AU$501,3,)=0,0,(VLOOKUP($D162,$C$5:$AU$501,22,)/VLOOKUP($D162,$C$5:$AU$501,3,))*$E162)</f>
        <v>0</v>
      </c>
      <c r="Y162" s="65">
        <f>IF(VLOOKUP($D162,$C$5:$AU$501,3,)=0,0,(VLOOKUP($D162,$C$5:$AU$501,23,)/VLOOKUP($D162,$C$5:$AU$501,3,))*$E162)</f>
        <v>0</v>
      </c>
      <c r="Z162" s="65">
        <f>IF(VLOOKUP($D162,$C$5:$AU$501,3,)=0,0,(VLOOKUP($D162,$C$5:$AU$501,24,)/VLOOKUP($D162,$C$5:$AU$501,3,))*$E162)</f>
        <v>0</v>
      </c>
      <c r="AA162" s="65">
        <f>IF(VLOOKUP($D162,$C$5:$AU$501,3,)=0,0,(VLOOKUP($D162,$C$5:$AU$501,25,)/VLOOKUP($D162,$C$5:$AU$501,3,))*$E162)</f>
        <v>0</v>
      </c>
      <c r="AB162" s="65">
        <f>IF(VLOOKUP($D162,$C$5:$AU$501,3,)=0,0,(VLOOKUP($D162,$C$5:$AU$501,26,)/VLOOKUP($D162,$C$5:$AU$501,3,))*$E162)</f>
        <v>0</v>
      </c>
      <c r="AC162" s="65">
        <f>IF(VLOOKUP($D162,$C$5:$AU$501,3,)=0,0,(VLOOKUP($D162,$C$5:$AU$501,27,)/VLOOKUP($D162,$C$5:$AU$501,3,))*$E162)</f>
        <v>0</v>
      </c>
      <c r="AD162" s="65">
        <f>IF(VLOOKUP($D162,$C$5:$AU$501,3,)=0,0,(VLOOKUP($D162,$C$5:$AU$501,28,)/VLOOKUP($D162,$C$5:$AU$501,3,))*$E162)</f>
        <v>0</v>
      </c>
      <c r="AE162" s="65">
        <f>IF(VLOOKUP($D162,$C$5:$AU$501,3,)=0,0,(VLOOKUP($D162,$C$5:$AU$501,29,)/VLOOKUP($D162,$C$5:$AU$501,3,))*$E162)</f>
        <v>0</v>
      </c>
      <c r="AF162" s="65">
        <f>IF(VLOOKUP($D162,$C$5:$AU$501,3,)=0,0,(VLOOKUP($D162,$C$5:$AU$501,30,)/VLOOKUP($D162,$C$5:$AU$501,3,))*$E162)</f>
        <v>0</v>
      </c>
      <c r="AG162" s="90">
        <f>SUM(F162:AF162)</f>
        <v>0</v>
      </c>
      <c r="AH162" s="29" t="str">
        <f>IF(ABS(E162-AG162)&lt;0.01,"ok","err")</f>
        <v>ok</v>
      </c>
    </row>
    <row r="163" spans="1:34" x14ac:dyDescent="0.2">
      <c r="A163" s="14" t="s">
        <v>215</v>
      </c>
      <c r="C163" s="14" t="s">
        <v>276</v>
      </c>
      <c r="E163" s="255">
        <f t="shared" ref="E163:T163" si="33">E161+E162</f>
        <v>0</v>
      </c>
      <c r="F163" s="65">
        <f t="shared" si="33"/>
        <v>0</v>
      </c>
      <c r="G163" s="65">
        <f t="shared" si="33"/>
        <v>0</v>
      </c>
      <c r="H163" s="65">
        <f t="shared" si="33"/>
        <v>0</v>
      </c>
      <c r="I163" s="65">
        <f t="shared" si="33"/>
        <v>0</v>
      </c>
      <c r="J163" s="65">
        <f t="shared" si="33"/>
        <v>0</v>
      </c>
      <c r="K163" s="65">
        <f t="shared" si="33"/>
        <v>0</v>
      </c>
      <c r="L163" s="65">
        <f t="shared" si="33"/>
        <v>0</v>
      </c>
      <c r="M163" s="65">
        <f t="shared" si="33"/>
        <v>0</v>
      </c>
      <c r="N163" s="65">
        <f t="shared" si="33"/>
        <v>0</v>
      </c>
      <c r="O163" s="65">
        <f t="shared" si="33"/>
        <v>0</v>
      </c>
      <c r="P163" s="65">
        <f t="shared" si="33"/>
        <v>0</v>
      </c>
      <c r="Q163" s="65">
        <f t="shared" si="33"/>
        <v>0</v>
      </c>
      <c r="R163" s="65">
        <f t="shared" si="33"/>
        <v>0</v>
      </c>
      <c r="S163" s="65">
        <f t="shared" si="33"/>
        <v>0</v>
      </c>
      <c r="T163" s="65">
        <f t="shared" si="33"/>
        <v>0</v>
      </c>
      <c r="U163" s="65">
        <f t="shared" ref="U163:AF163" si="34">U161+U162</f>
        <v>0</v>
      </c>
      <c r="V163" s="65">
        <f t="shared" si="34"/>
        <v>0</v>
      </c>
      <c r="W163" s="65">
        <f t="shared" si="34"/>
        <v>0</v>
      </c>
      <c r="X163" s="65">
        <f t="shared" si="34"/>
        <v>0</v>
      </c>
      <c r="Y163" s="65">
        <f t="shared" si="34"/>
        <v>0</v>
      </c>
      <c r="Z163" s="65">
        <f t="shared" si="34"/>
        <v>0</v>
      </c>
      <c r="AA163" s="65">
        <f t="shared" si="34"/>
        <v>0</v>
      </c>
      <c r="AB163" s="65">
        <f t="shared" si="34"/>
        <v>0</v>
      </c>
      <c r="AC163" s="65">
        <f t="shared" si="34"/>
        <v>0</v>
      </c>
      <c r="AD163" s="65">
        <f t="shared" si="34"/>
        <v>0</v>
      </c>
      <c r="AE163" s="65">
        <f t="shared" si="34"/>
        <v>0</v>
      </c>
      <c r="AF163" s="65">
        <f t="shared" si="34"/>
        <v>0</v>
      </c>
      <c r="AG163" s="90">
        <f>SUM(F163:AF163)</f>
        <v>0</v>
      </c>
      <c r="AH163" s="29" t="str">
        <f>IF(ABS(E163-AG163)&lt;0.01,"ok","err")</f>
        <v>ok</v>
      </c>
    </row>
    <row r="164" spans="1:34" x14ac:dyDescent="0.2">
      <c r="E164" s="255"/>
      <c r="F164" s="49"/>
    </row>
    <row r="165" spans="1:34" x14ac:dyDescent="0.2">
      <c r="A165" s="13" t="s">
        <v>350</v>
      </c>
      <c r="E165" s="255"/>
      <c r="F165" s="49"/>
    </row>
    <row r="166" spans="1:34" x14ac:dyDescent="0.2">
      <c r="A166" s="93" t="s">
        <v>209</v>
      </c>
      <c r="C166" s="14" t="s">
        <v>889</v>
      </c>
      <c r="D166" s="14" t="s">
        <v>625</v>
      </c>
      <c r="E166" s="254">
        <f>'Func &amp; Classif'!K465</f>
        <v>0</v>
      </c>
      <c r="F166" s="65">
        <f>IF(VLOOKUP($D166,$C$5:$AU$501,3,)=0,0,(VLOOKUP($D166,$C$5:$AU$501,4,)/VLOOKUP($D166,$C$5:$AU$501,3,))*$E166)</f>
        <v>0</v>
      </c>
      <c r="G166" s="65">
        <f>IF(VLOOKUP($D166,$C$5:$AU$501,3,)=0,0,(VLOOKUP($D166,$C$5:$AU$501,5,)/VLOOKUP($D166,$C$5:$AU$501,3,))*$E166)</f>
        <v>0</v>
      </c>
      <c r="H166" s="65">
        <f>IF(VLOOKUP($D166,$C$5:$AU$501,3,)=0,0,(VLOOKUP($D166,$C$5:$AU$501,6,)/VLOOKUP($D166,$C$5:$AU$501,3,))*$E166)</f>
        <v>0</v>
      </c>
      <c r="I166" s="65">
        <f>IF(VLOOKUP($D166,$C$5:$AU$501,3,)=0,0,(VLOOKUP($D166,$C$5:$AU$501,7,)/VLOOKUP($D166,$C$5:$AU$501,3,))*$E166)</f>
        <v>0</v>
      </c>
      <c r="J166" s="65">
        <f>IF(VLOOKUP($D166,$C$5:$AU$501,3,)=0,0,(VLOOKUP($D166,$C$5:$AU$501,8,)/VLOOKUP($D166,$C$5:$AU$501,3,))*$E166)</f>
        <v>0</v>
      </c>
      <c r="K166" s="65">
        <f>IF(VLOOKUP($D166,$C$5:$AU$501,3,)=0,0,(VLOOKUP($D166,$C$5:$AU$501,9,)/VLOOKUP($D166,$C$5:$AU$501,3,))*$E166)</f>
        <v>0</v>
      </c>
      <c r="L166" s="65">
        <f>IF(VLOOKUP($D166,$C$5:$AU$501,3,)=0,0,(VLOOKUP($D166,$C$5:$AU$501,10,)/VLOOKUP($D166,$C$5:$AU$501,3,))*$E166)</f>
        <v>0</v>
      </c>
      <c r="M166" s="65">
        <f>IF(VLOOKUP($D166,$C$5:$AU$501,3,)=0,0,(VLOOKUP($D166,$C$5:$AU$501,11,)/VLOOKUP($D166,$C$5:$AU$501,3,))*$E166)</f>
        <v>0</v>
      </c>
      <c r="N166" s="65">
        <f>IF(VLOOKUP($D166,$C$5:$AU$501,3,)=0,0,(VLOOKUP($D166,$C$5:$AU$501,12,)/VLOOKUP($D166,$C$5:$AU$501,3,))*$E166)</f>
        <v>0</v>
      </c>
      <c r="O166" s="65">
        <f>IF(VLOOKUP($D166,$C$5:$AU$501,3,)=0,0,(VLOOKUP($D166,$C$5:$AU$501,13,)/VLOOKUP($D166,$C$5:$AU$501,3,))*$E166)</f>
        <v>0</v>
      </c>
      <c r="P166" s="65">
        <f>IF(VLOOKUP($D166,$C$5:$AU$501,3,)=0,0,(VLOOKUP($D166,$C$5:$AU$501,14,)/VLOOKUP($D166,$C$5:$AU$501,3,))*$E166)</f>
        <v>0</v>
      </c>
      <c r="Q166" s="65">
        <f>IF(VLOOKUP($D166,$C$5:$AU$501,3,)=0,0,(VLOOKUP($D166,$C$5:$AU$501,15,)/VLOOKUP($D166,$C$5:$AU$501,3,))*$E166)</f>
        <v>0</v>
      </c>
      <c r="R166" s="65">
        <f>IF(VLOOKUP($D166,$C$5:$AU$501,3,)=0,0,(VLOOKUP($D166,$C$5:$AU$501,16,)/VLOOKUP($D166,$C$5:$AU$501,3,))*$E166)</f>
        <v>0</v>
      </c>
      <c r="S166" s="65">
        <f>IF(VLOOKUP($D166,$C$5:$AU$501,3,)=0,0,(VLOOKUP($D166,$C$5:$AU$501,17,)/VLOOKUP($D166,$C$5:$AU$501,3,))*$E166)</f>
        <v>0</v>
      </c>
      <c r="T166" s="65">
        <f>IF(VLOOKUP($D166,$C$5:$AU$501,3,)=0,0,(VLOOKUP($D166,$C$5:$AU$501,18,)/VLOOKUP($D166,$C$5:$AU$501,3,))*$E166)</f>
        <v>0</v>
      </c>
      <c r="U166" s="65">
        <f>IF(VLOOKUP($D166,$C$5:$AU$501,3,)=0,0,(VLOOKUP($D166,$C$5:$AU$501,19,)/VLOOKUP($D166,$C$5:$AU$501,3,))*$E166)</f>
        <v>0</v>
      </c>
      <c r="V166" s="65">
        <f>IF(VLOOKUP($D166,$C$5:$AU$501,3,)=0,0,(VLOOKUP($D166,$C$5:$AU$501,20,)/VLOOKUP($D166,$C$5:$AU$501,3,))*$E166)</f>
        <v>0</v>
      </c>
      <c r="W166" s="65">
        <f>IF(VLOOKUP($D166,$C$5:$AU$501,3,)=0,0,(VLOOKUP($D166,$C$5:$AU$501,21,)/VLOOKUP($D166,$C$5:$AU$501,3,))*$E166)</f>
        <v>0</v>
      </c>
      <c r="X166" s="65">
        <f>IF(VLOOKUP($D166,$C$5:$AU$501,3,)=0,0,(VLOOKUP($D166,$C$5:$AU$501,22,)/VLOOKUP($D166,$C$5:$AU$501,3,))*$E166)</f>
        <v>0</v>
      </c>
      <c r="Y166" s="65">
        <f>IF(VLOOKUP($D166,$C$5:$AU$501,3,)=0,0,(VLOOKUP($D166,$C$5:$AU$501,23,)/VLOOKUP($D166,$C$5:$AU$501,3,))*$E166)</f>
        <v>0</v>
      </c>
      <c r="Z166" s="65">
        <f>IF(VLOOKUP($D166,$C$5:$AU$501,3,)=0,0,(VLOOKUP($D166,$C$5:$AU$501,24,)/VLOOKUP($D166,$C$5:$AU$501,3,))*$E166)</f>
        <v>0</v>
      </c>
      <c r="AA166" s="65">
        <f>IF(VLOOKUP($D166,$C$5:$AU$501,3,)=0,0,(VLOOKUP($D166,$C$5:$AU$501,25,)/VLOOKUP($D166,$C$5:$AU$501,3,))*$E166)</f>
        <v>0</v>
      </c>
      <c r="AB166" s="65">
        <f>IF(VLOOKUP($D166,$C$5:$AU$501,3,)=0,0,(VLOOKUP($D166,$C$5:$AU$501,26,)/VLOOKUP($D166,$C$5:$AU$501,3,))*$E166)</f>
        <v>0</v>
      </c>
      <c r="AC166" s="65">
        <f>IF(VLOOKUP($D166,$C$5:$AU$501,3,)=0,0,(VLOOKUP($D166,$C$5:$AU$501,27,)/VLOOKUP($D166,$C$5:$AU$501,3,))*$E166)</f>
        <v>0</v>
      </c>
      <c r="AD166" s="65">
        <f>IF(VLOOKUP($D166,$C$5:$AU$501,3,)=0,0,(VLOOKUP($D166,$C$5:$AU$501,28,)/VLOOKUP($D166,$C$5:$AU$501,3,))*$E166)</f>
        <v>0</v>
      </c>
      <c r="AE166" s="65">
        <f>IF(VLOOKUP($D166,$C$5:$AU$501,3,)=0,0,(VLOOKUP($D166,$C$5:$AU$501,29,)/VLOOKUP($D166,$C$5:$AU$501,3,))*$E166)</f>
        <v>0</v>
      </c>
      <c r="AF166" s="65">
        <f>IF(VLOOKUP($D166,$C$5:$AU$501,3,)=0,0,(VLOOKUP($D166,$C$5:$AU$501,30,)/VLOOKUP($D166,$C$5:$AU$501,3,))*$E166)</f>
        <v>0</v>
      </c>
      <c r="AG166" s="90">
        <f>SUM(F166:AF166)</f>
        <v>0</v>
      </c>
      <c r="AH166" s="29" t="str">
        <f>IF(ABS(E166-AG166)&lt;0.01,"ok","err")</f>
        <v>ok</v>
      </c>
    </row>
    <row r="167" spans="1:34" x14ac:dyDescent="0.2">
      <c r="E167" s="255"/>
    </row>
    <row r="168" spans="1:34" x14ac:dyDescent="0.2">
      <c r="A168" s="13" t="s">
        <v>1</v>
      </c>
      <c r="E168" s="255"/>
      <c r="F168" s="49"/>
    </row>
    <row r="169" spans="1:34" x14ac:dyDescent="0.2">
      <c r="A169" s="93" t="s">
        <v>209</v>
      </c>
      <c r="C169" s="14" t="s">
        <v>277</v>
      </c>
      <c r="D169" s="14" t="s">
        <v>632</v>
      </c>
      <c r="E169" s="254">
        <f>'Func &amp; Classif'!M465</f>
        <v>266344.37901042437</v>
      </c>
      <c r="F169" s="65">
        <f>IF(VLOOKUP($D169,$C$5:$AU$501,3,)=0,0,(VLOOKUP($D169,$C$5:$AU$501,4,)/VLOOKUP($D169,$C$5:$AU$501,3,))*$E169)</f>
        <v>201786.35373497003</v>
      </c>
      <c r="G169" s="65">
        <f>IF(VLOOKUP($D169,$C$5:$AU$501,3,)=0,0,(VLOOKUP($D169,$C$5:$AU$501,5,)/VLOOKUP($D169,$C$5:$AU$501,3,))*$E169)</f>
        <v>17933.714412166359</v>
      </c>
      <c r="H169" s="65">
        <f>IF(VLOOKUP($D169,$C$5:$AU$501,3,)=0,0,(VLOOKUP($D169,$C$5:$AU$501,6,)/VLOOKUP($D169,$C$5:$AU$501,3,))*$E169)</f>
        <v>36766.418023837432</v>
      </c>
      <c r="I169" s="65">
        <f>IF(VLOOKUP($D169,$C$5:$AU$501,3,)=0,0,(VLOOKUP($D169,$C$5:$AU$501,7,)/VLOOKUP($D169,$C$5:$AU$501,3,))*$E169)</f>
        <v>519.29629699849681</v>
      </c>
      <c r="J169" s="65">
        <f>IF(VLOOKUP($D169,$C$5:$AU$501,3,)=0,0,(VLOOKUP($D169,$C$5:$AU$501,8,)/VLOOKUP($D169,$C$5:$AU$501,3,))*$E169)</f>
        <v>5289.8042872940596</v>
      </c>
      <c r="K169" s="65">
        <f>IF(VLOOKUP($D169,$C$5:$AU$501,3,)=0,0,(VLOOKUP($D169,$C$5:$AU$501,9,)/VLOOKUP($D169,$C$5:$AU$501,3,))*$E169)</f>
        <v>3669.4915217677712</v>
      </c>
      <c r="L169" s="65">
        <f>IF(VLOOKUP($D169,$C$5:$AU$501,3,)=0,0,(VLOOKUP($D169,$C$5:$AU$501,10,)/VLOOKUP($D169,$C$5:$AU$501,3,))*$E169)</f>
        <v>379.30073339019725</v>
      </c>
      <c r="M169" s="65">
        <f>IF(VLOOKUP($D169,$C$5:$AU$501,3,)=0,0,(VLOOKUP($D169,$C$5:$AU$501,11,)/VLOOKUP($D169,$C$5:$AU$501,3,))*$E169)</f>
        <v>0</v>
      </c>
      <c r="N169" s="65">
        <f>IF(VLOOKUP($D169,$C$5:$AU$501,3,)=0,0,(VLOOKUP($D169,$C$5:$AU$501,12,)/VLOOKUP($D169,$C$5:$AU$501,3,))*$E169)</f>
        <v>0</v>
      </c>
      <c r="O169" s="65">
        <f>IF(VLOOKUP($D169,$C$5:$AU$501,3,)=0,0,(VLOOKUP($D169,$C$5:$AU$501,13,)/VLOOKUP($D169,$C$5:$AU$501,3,))*$E169)</f>
        <v>0</v>
      </c>
      <c r="P169" s="65">
        <f>IF(VLOOKUP($D169,$C$5:$AU$501,3,)=0,0,(VLOOKUP($D169,$C$5:$AU$501,14,)/VLOOKUP($D169,$C$5:$AU$501,3,))*$E169)</f>
        <v>0</v>
      </c>
      <c r="Q169" s="65">
        <f>IF(VLOOKUP($D169,$C$5:$AU$501,3,)=0,0,(VLOOKUP($D169,$C$5:$AU$501,15,)/VLOOKUP($D169,$C$5:$AU$501,3,))*$E169)</f>
        <v>0</v>
      </c>
      <c r="R169" s="65">
        <f>IF(VLOOKUP($D169,$C$5:$AU$501,3,)=0,0,(VLOOKUP($D169,$C$5:$AU$501,16,)/VLOOKUP($D169,$C$5:$AU$501,3,))*$E169)</f>
        <v>0</v>
      </c>
      <c r="S169" s="65">
        <f>IF(VLOOKUP($D169,$C$5:$AU$501,3,)=0,0,(VLOOKUP($D169,$C$5:$AU$501,17,)/VLOOKUP($D169,$C$5:$AU$501,3,))*$E169)</f>
        <v>0</v>
      </c>
      <c r="T169" s="65">
        <f>IF(VLOOKUP($D169,$C$5:$AU$501,3,)=0,0,(VLOOKUP($D169,$C$5:$AU$501,18,)/VLOOKUP($D169,$C$5:$AU$501,3,))*$E169)</f>
        <v>0</v>
      </c>
      <c r="U169" s="65">
        <f>IF(VLOOKUP($D169,$C$5:$AU$501,3,)=0,0,(VLOOKUP($D169,$C$5:$AU$501,19,)/VLOOKUP($D169,$C$5:$AU$501,3,))*$E169)</f>
        <v>0</v>
      </c>
      <c r="V169" s="65">
        <f>IF(VLOOKUP($D169,$C$5:$AU$501,3,)=0,0,(VLOOKUP($D169,$C$5:$AU$501,20,)/VLOOKUP($D169,$C$5:$AU$501,3,))*$E169)</f>
        <v>0</v>
      </c>
      <c r="W169" s="65">
        <f>IF(VLOOKUP($D169,$C$5:$AU$501,3,)=0,0,(VLOOKUP($D169,$C$5:$AU$501,21,)/VLOOKUP($D169,$C$5:$AU$501,3,))*$E169)</f>
        <v>0</v>
      </c>
      <c r="X169" s="65">
        <f>IF(VLOOKUP($D169,$C$5:$AU$501,3,)=0,0,(VLOOKUP($D169,$C$5:$AU$501,22,)/VLOOKUP($D169,$C$5:$AU$501,3,))*$E169)</f>
        <v>0</v>
      </c>
      <c r="Y169" s="65">
        <f>IF(VLOOKUP($D169,$C$5:$AU$501,3,)=0,0,(VLOOKUP($D169,$C$5:$AU$501,23,)/VLOOKUP($D169,$C$5:$AU$501,3,))*$E169)</f>
        <v>0</v>
      </c>
      <c r="Z169" s="65">
        <f>IF(VLOOKUP($D169,$C$5:$AU$501,3,)=0,0,(VLOOKUP($D169,$C$5:$AU$501,24,)/VLOOKUP($D169,$C$5:$AU$501,3,))*$E169)</f>
        <v>0</v>
      </c>
      <c r="AA169" s="65">
        <f>IF(VLOOKUP($D169,$C$5:$AU$501,3,)=0,0,(VLOOKUP($D169,$C$5:$AU$501,25,)/VLOOKUP($D169,$C$5:$AU$501,3,))*$E169)</f>
        <v>0</v>
      </c>
      <c r="AB169" s="65">
        <f>IF(VLOOKUP($D169,$C$5:$AU$501,3,)=0,0,(VLOOKUP($D169,$C$5:$AU$501,26,)/VLOOKUP($D169,$C$5:$AU$501,3,))*$E169)</f>
        <v>0</v>
      </c>
      <c r="AC169" s="65">
        <f>IF(VLOOKUP($D169,$C$5:$AU$501,3,)=0,0,(VLOOKUP($D169,$C$5:$AU$501,27,)/VLOOKUP($D169,$C$5:$AU$501,3,))*$E169)</f>
        <v>0</v>
      </c>
      <c r="AD169" s="65">
        <f>IF(VLOOKUP($D169,$C$5:$AU$501,3,)=0,0,(VLOOKUP($D169,$C$5:$AU$501,28,)/VLOOKUP($D169,$C$5:$AU$501,3,))*$E169)</f>
        <v>0</v>
      </c>
      <c r="AE169" s="65">
        <f>IF(VLOOKUP($D169,$C$5:$AU$501,3,)=0,0,(VLOOKUP($D169,$C$5:$AU$501,29,)/VLOOKUP($D169,$C$5:$AU$501,3,))*$E169)</f>
        <v>0</v>
      </c>
      <c r="AF169" s="65">
        <f>IF(VLOOKUP($D169,$C$5:$AU$501,3,)=0,0,(VLOOKUP($D169,$C$5:$AU$501,30,)/VLOOKUP($D169,$C$5:$AU$501,3,))*$E169)</f>
        <v>0</v>
      </c>
      <c r="AG169" s="90">
        <f>SUM(F169:AF169)</f>
        <v>266344.37901042437</v>
      </c>
      <c r="AH169" s="29" t="str">
        <f>IF(ABS(E169-AG169)&lt;0.01,"ok","err")</f>
        <v>ok</v>
      </c>
    </row>
    <row r="170" spans="1:34" x14ac:dyDescent="0.2">
      <c r="E170" s="255"/>
    </row>
    <row r="171" spans="1:34" x14ac:dyDescent="0.2">
      <c r="A171" s="13" t="s">
        <v>2</v>
      </c>
      <c r="E171" s="255"/>
    </row>
    <row r="172" spans="1:34" x14ac:dyDescent="0.2">
      <c r="A172" s="93" t="s">
        <v>209</v>
      </c>
      <c r="C172" s="14" t="s">
        <v>278</v>
      </c>
      <c r="D172" s="14" t="s">
        <v>629</v>
      </c>
      <c r="E172" s="254">
        <f>'Func &amp; Classif'!O465</f>
        <v>1211937.3175289116</v>
      </c>
      <c r="F172" s="65">
        <f>IF(VLOOKUP($D172,$C$5:$AU$501,3,)=0,0,(VLOOKUP($D172,$C$5:$AU$501,4,)/VLOOKUP($D172,$C$5:$AU$501,3,))*$E172)</f>
        <v>1021143.6068807393</v>
      </c>
      <c r="G172" s="65">
        <f>IF(VLOOKUP($D172,$C$5:$AU$501,3,)=0,0,(VLOOKUP($D172,$C$5:$AU$501,5,)/VLOOKUP($D172,$C$5:$AU$501,3,))*$E172)</f>
        <v>62202.231107182561</v>
      </c>
      <c r="H172" s="65">
        <f>IF(VLOOKUP($D172,$C$5:$AU$501,3,)=0,0,(VLOOKUP($D172,$C$5:$AU$501,6,)/VLOOKUP($D172,$C$5:$AU$501,3,))*$E172)</f>
        <v>98243.207116597623</v>
      </c>
      <c r="I172" s="65">
        <f>IF(VLOOKUP($D172,$C$5:$AU$501,3,)=0,0,(VLOOKUP($D172,$C$5:$AU$501,7,)/VLOOKUP($D172,$C$5:$AU$501,3,))*$E172)</f>
        <v>1339.0969341401649</v>
      </c>
      <c r="J172" s="65">
        <f>IF(VLOOKUP($D172,$C$5:$AU$501,3,)=0,0,(VLOOKUP($D172,$C$5:$AU$501,8,)/VLOOKUP($D172,$C$5:$AU$501,3,))*$E172)</f>
        <v>16691.66506135356</v>
      </c>
      <c r="K172" s="65">
        <f>IF(VLOOKUP($D172,$C$5:$AU$501,3,)=0,0,(VLOOKUP($D172,$C$5:$AU$501,9,)/VLOOKUP($D172,$C$5:$AU$501,3,))*$E172)</f>
        <v>11159.495878608439</v>
      </c>
      <c r="L172" s="65">
        <f>IF(VLOOKUP($D172,$C$5:$AU$501,3,)=0,0,(VLOOKUP($D172,$C$5:$AU$501,10,)/VLOOKUP($D172,$C$5:$AU$501,3,))*$E172)</f>
        <v>1158.0145502900564</v>
      </c>
      <c r="M172" s="65">
        <f>IF(VLOOKUP($D172,$C$5:$AU$501,3,)=0,0,(VLOOKUP($D172,$C$5:$AU$501,11,)/VLOOKUP($D172,$C$5:$AU$501,3,))*$E172)</f>
        <v>0</v>
      </c>
      <c r="N172" s="65">
        <f>IF(VLOOKUP($D172,$C$5:$AU$501,3,)=0,0,(VLOOKUP($D172,$C$5:$AU$501,12,)/VLOOKUP($D172,$C$5:$AU$501,3,))*$E172)</f>
        <v>0</v>
      </c>
      <c r="O172" s="65">
        <f>IF(VLOOKUP($D172,$C$5:$AU$501,3,)=0,0,(VLOOKUP($D172,$C$5:$AU$501,13,)/VLOOKUP($D172,$C$5:$AU$501,3,))*$E172)</f>
        <v>0</v>
      </c>
      <c r="P172" s="65">
        <f>IF(VLOOKUP($D172,$C$5:$AU$501,3,)=0,0,(VLOOKUP($D172,$C$5:$AU$501,14,)/VLOOKUP($D172,$C$5:$AU$501,3,))*$E172)</f>
        <v>0</v>
      </c>
      <c r="Q172" s="65">
        <f>IF(VLOOKUP($D172,$C$5:$AU$501,3,)=0,0,(VLOOKUP($D172,$C$5:$AU$501,15,)/VLOOKUP($D172,$C$5:$AU$501,3,))*$E172)</f>
        <v>0</v>
      </c>
      <c r="R172" s="65">
        <f>IF(VLOOKUP($D172,$C$5:$AU$501,3,)=0,0,(VLOOKUP($D172,$C$5:$AU$501,16,)/VLOOKUP($D172,$C$5:$AU$501,3,))*$E172)</f>
        <v>0</v>
      </c>
      <c r="S172" s="65">
        <f>IF(VLOOKUP($D172,$C$5:$AU$501,3,)=0,0,(VLOOKUP($D172,$C$5:$AU$501,17,)/VLOOKUP($D172,$C$5:$AU$501,3,))*$E172)</f>
        <v>0</v>
      </c>
      <c r="T172" s="65">
        <f>IF(VLOOKUP($D172,$C$5:$AU$501,3,)=0,0,(VLOOKUP($D172,$C$5:$AU$501,18,)/VLOOKUP($D172,$C$5:$AU$501,3,))*$E172)</f>
        <v>0</v>
      </c>
      <c r="U172" s="65">
        <f>IF(VLOOKUP($D172,$C$5:$AU$501,3,)=0,0,(VLOOKUP($D172,$C$5:$AU$501,19,)/VLOOKUP($D172,$C$5:$AU$501,3,))*$E172)</f>
        <v>0</v>
      </c>
      <c r="V172" s="65">
        <f>IF(VLOOKUP($D172,$C$5:$AU$501,3,)=0,0,(VLOOKUP($D172,$C$5:$AU$501,20,)/VLOOKUP($D172,$C$5:$AU$501,3,))*$E172)</f>
        <v>0</v>
      </c>
      <c r="W172" s="65">
        <f>IF(VLOOKUP($D172,$C$5:$AU$501,3,)=0,0,(VLOOKUP($D172,$C$5:$AU$501,21,)/VLOOKUP($D172,$C$5:$AU$501,3,))*$E172)</f>
        <v>0</v>
      </c>
      <c r="X172" s="65">
        <f>IF(VLOOKUP($D172,$C$5:$AU$501,3,)=0,0,(VLOOKUP($D172,$C$5:$AU$501,22,)/VLOOKUP($D172,$C$5:$AU$501,3,))*$E172)</f>
        <v>0</v>
      </c>
      <c r="Y172" s="65">
        <f>IF(VLOOKUP($D172,$C$5:$AU$501,3,)=0,0,(VLOOKUP($D172,$C$5:$AU$501,23,)/VLOOKUP($D172,$C$5:$AU$501,3,))*$E172)</f>
        <v>0</v>
      </c>
      <c r="Z172" s="65">
        <f>IF(VLOOKUP($D172,$C$5:$AU$501,3,)=0,0,(VLOOKUP($D172,$C$5:$AU$501,24,)/VLOOKUP($D172,$C$5:$AU$501,3,))*$E172)</f>
        <v>0</v>
      </c>
      <c r="AA172" s="65">
        <f>IF(VLOOKUP($D172,$C$5:$AU$501,3,)=0,0,(VLOOKUP($D172,$C$5:$AU$501,25,)/VLOOKUP($D172,$C$5:$AU$501,3,))*$E172)</f>
        <v>0</v>
      </c>
      <c r="AB172" s="65">
        <f>IF(VLOOKUP($D172,$C$5:$AU$501,3,)=0,0,(VLOOKUP($D172,$C$5:$AU$501,26,)/VLOOKUP($D172,$C$5:$AU$501,3,))*$E172)</f>
        <v>0</v>
      </c>
      <c r="AC172" s="65">
        <f>IF(VLOOKUP($D172,$C$5:$AU$501,3,)=0,0,(VLOOKUP($D172,$C$5:$AU$501,27,)/VLOOKUP($D172,$C$5:$AU$501,3,))*$E172)</f>
        <v>0</v>
      </c>
      <c r="AD172" s="65">
        <f>IF(VLOOKUP($D172,$C$5:$AU$501,3,)=0,0,(VLOOKUP($D172,$C$5:$AU$501,28,)/VLOOKUP($D172,$C$5:$AU$501,3,))*$E172)</f>
        <v>0</v>
      </c>
      <c r="AE172" s="65">
        <f>IF(VLOOKUP($D172,$C$5:$AU$501,3,)=0,0,(VLOOKUP($D172,$C$5:$AU$501,29,)/VLOOKUP($D172,$C$5:$AU$501,3,))*$E172)</f>
        <v>0</v>
      </c>
      <c r="AF172" s="65">
        <f>IF(VLOOKUP($D172,$C$5:$AU$501,3,)=0,0,(VLOOKUP($D172,$C$5:$AU$501,30,)/VLOOKUP($D172,$C$5:$AU$501,3,))*$E172)</f>
        <v>0</v>
      </c>
      <c r="AG172" s="90">
        <f>SUM(F172:AF172)</f>
        <v>1211937.3175289116</v>
      </c>
      <c r="AH172" s="29" t="str">
        <f>IF(ABS(E172-AG172)&lt;0.01,"ok","err")</f>
        <v>ok</v>
      </c>
    </row>
    <row r="173" spans="1:34" x14ac:dyDescent="0.2">
      <c r="A173" s="93" t="s">
        <v>221</v>
      </c>
      <c r="C173" s="14" t="s">
        <v>279</v>
      </c>
      <c r="D173" s="14" t="s">
        <v>223</v>
      </c>
      <c r="E173" s="255">
        <f>'Func &amp; Classif'!P465</f>
        <v>1892183.4577429432</v>
      </c>
      <c r="F173" s="65">
        <f>IF(VLOOKUP($D173,$C$5:$AU$501,3,)=0,0,(VLOOKUP($D173,$C$5:$AU$501,4,)/VLOOKUP($D173,$C$5:$AU$501,3,))*$E173)</f>
        <v>1758127.8148238014</v>
      </c>
      <c r="G173" s="65">
        <f>IF(VLOOKUP($D173,$C$5:$AU$501,3,)=0,0,(VLOOKUP($D173,$C$5:$AU$501,5,)/VLOOKUP($D173,$C$5:$AU$501,3,))*$E173)</f>
        <v>109341.98903051474</v>
      </c>
      <c r="H173" s="65">
        <f>IF(VLOOKUP($D173,$C$5:$AU$501,3,)=0,0,(VLOOKUP($D173,$C$5:$AU$501,6,)/VLOOKUP($D173,$C$5:$AU$501,3,))*$E173)</f>
        <v>24164.639686787752</v>
      </c>
      <c r="I173" s="65">
        <f>IF(VLOOKUP($D173,$C$5:$AU$501,3,)=0,0,(VLOOKUP($D173,$C$5:$AU$501,7,)/VLOOKUP($D173,$C$5:$AU$501,3,))*$E173)</f>
        <v>240.44417598793785</v>
      </c>
      <c r="J173" s="65">
        <f>IF(VLOOKUP($D173,$C$5:$AU$501,3,)=0,0,(VLOOKUP($D173,$C$5:$AU$501,8,)/VLOOKUP($D173,$C$5:$AU$501,3,))*$E173)</f>
        <v>300.5552199849223</v>
      </c>
      <c r="K173" s="65">
        <f>IF(VLOOKUP($D173,$C$5:$AU$501,3,)=0,0,(VLOOKUP($D173,$C$5:$AU$501,9,)/VLOOKUP($D173,$C$5:$AU$501,3,))*$E173)</f>
        <v>0</v>
      </c>
      <c r="L173" s="65">
        <f>IF(VLOOKUP($D173,$C$5:$AU$501,3,)=0,0,(VLOOKUP($D173,$C$5:$AU$501,10,)/VLOOKUP($D173,$C$5:$AU$501,3,))*$E173)</f>
        <v>8.0148058662645951</v>
      </c>
      <c r="M173" s="65">
        <f>IF(VLOOKUP($D173,$C$5:$AU$501,3,)=0,0,(VLOOKUP($D173,$C$5:$AU$501,11,)/VLOOKUP($D173,$C$5:$AU$501,3,))*$E173)</f>
        <v>0</v>
      </c>
      <c r="N173" s="65">
        <f>IF(VLOOKUP($D173,$C$5:$AU$501,3,)=0,0,(VLOOKUP($D173,$C$5:$AU$501,12,)/VLOOKUP($D173,$C$5:$AU$501,3,))*$E173)</f>
        <v>0</v>
      </c>
      <c r="O173" s="65">
        <f>IF(VLOOKUP($D173,$C$5:$AU$501,3,)=0,0,(VLOOKUP($D173,$C$5:$AU$501,13,)/VLOOKUP($D173,$C$5:$AU$501,3,))*$E173)</f>
        <v>0</v>
      </c>
      <c r="P173" s="65">
        <f>IF(VLOOKUP($D173,$C$5:$AU$501,3,)=0,0,(VLOOKUP($D173,$C$5:$AU$501,14,)/VLOOKUP($D173,$C$5:$AU$501,3,))*$E173)</f>
        <v>0</v>
      </c>
      <c r="Q173" s="65">
        <f>IF(VLOOKUP($D173,$C$5:$AU$501,3,)=0,0,(VLOOKUP($D173,$C$5:$AU$501,15,)/VLOOKUP($D173,$C$5:$AU$501,3,))*$E173)</f>
        <v>0</v>
      </c>
      <c r="R173" s="65">
        <f>IF(VLOOKUP($D173,$C$5:$AU$501,3,)=0,0,(VLOOKUP($D173,$C$5:$AU$501,16,)/VLOOKUP($D173,$C$5:$AU$501,3,))*$E173)</f>
        <v>0</v>
      </c>
      <c r="S173" s="65">
        <f>IF(VLOOKUP($D173,$C$5:$AU$501,3,)=0,0,(VLOOKUP($D173,$C$5:$AU$501,17,)/VLOOKUP($D173,$C$5:$AU$501,3,))*$E173)</f>
        <v>0</v>
      </c>
      <c r="T173" s="65">
        <f>IF(VLOOKUP($D173,$C$5:$AU$501,3,)=0,0,(VLOOKUP($D173,$C$5:$AU$501,18,)/VLOOKUP($D173,$C$5:$AU$501,3,))*$E173)</f>
        <v>0</v>
      </c>
      <c r="U173" s="65">
        <f>IF(VLOOKUP($D173,$C$5:$AU$501,3,)=0,0,(VLOOKUP($D173,$C$5:$AU$501,19,)/VLOOKUP($D173,$C$5:$AU$501,3,))*$E173)</f>
        <v>0</v>
      </c>
      <c r="V173" s="65">
        <f>IF(VLOOKUP($D173,$C$5:$AU$501,3,)=0,0,(VLOOKUP($D173,$C$5:$AU$501,20,)/VLOOKUP($D173,$C$5:$AU$501,3,))*$E173)</f>
        <v>0</v>
      </c>
      <c r="W173" s="65">
        <f>IF(VLOOKUP($D173,$C$5:$AU$501,3,)=0,0,(VLOOKUP($D173,$C$5:$AU$501,21,)/VLOOKUP($D173,$C$5:$AU$501,3,))*$E173)</f>
        <v>0</v>
      </c>
      <c r="X173" s="65">
        <f>IF(VLOOKUP($D173,$C$5:$AU$501,3,)=0,0,(VLOOKUP($D173,$C$5:$AU$501,22,)/VLOOKUP($D173,$C$5:$AU$501,3,))*$E173)</f>
        <v>0</v>
      </c>
      <c r="Y173" s="65">
        <f>IF(VLOOKUP($D173,$C$5:$AU$501,3,)=0,0,(VLOOKUP($D173,$C$5:$AU$501,23,)/VLOOKUP($D173,$C$5:$AU$501,3,))*$E173)</f>
        <v>0</v>
      </c>
      <c r="Z173" s="65">
        <f>IF(VLOOKUP($D173,$C$5:$AU$501,3,)=0,0,(VLOOKUP($D173,$C$5:$AU$501,24,)/VLOOKUP($D173,$C$5:$AU$501,3,))*$E173)</f>
        <v>0</v>
      </c>
      <c r="AA173" s="65">
        <f>IF(VLOOKUP($D173,$C$5:$AU$501,3,)=0,0,(VLOOKUP($D173,$C$5:$AU$501,25,)/VLOOKUP($D173,$C$5:$AU$501,3,))*$E173)</f>
        <v>0</v>
      </c>
      <c r="AB173" s="65">
        <f>IF(VLOOKUP($D173,$C$5:$AU$501,3,)=0,0,(VLOOKUP($D173,$C$5:$AU$501,26,)/VLOOKUP($D173,$C$5:$AU$501,3,))*$E173)</f>
        <v>0</v>
      </c>
      <c r="AC173" s="65">
        <f>IF(VLOOKUP($D173,$C$5:$AU$501,3,)=0,0,(VLOOKUP($D173,$C$5:$AU$501,27,)/VLOOKUP($D173,$C$5:$AU$501,3,))*$E173)</f>
        <v>0</v>
      </c>
      <c r="AD173" s="65">
        <f>IF(VLOOKUP($D173,$C$5:$AU$501,3,)=0,0,(VLOOKUP($D173,$C$5:$AU$501,28,)/VLOOKUP($D173,$C$5:$AU$501,3,))*$E173)</f>
        <v>0</v>
      </c>
      <c r="AE173" s="65">
        <f>IF(VLOOKUP($D173,$C$5:$AU$501,3,)=0,0,(VLOOKUP($D173,$C$5:$AU$501,29,)/VLOOKUP($D173,$C$5:$AU$501,3,))*$E173)</f>
        <v>0</v>
      </c>
      <c r="AF173" s="65">
        <f>IF(VLOOKUP($D173,$C$5:$AU$501,3,)=0,0,(VLOOKUP($D173,$C$5:$AU$501,30,)/VLOOKUP($D173,$C$5:$AU$501,3,))*$E173)</f>
        <v>0</v>
      </c>
      <c r="AG173" s="90">
        <f>SUM(F173:AF173)</f>
        <v>1892183.457742943</v>
      </c>
      <c r="AH173" s="29" t="str">
        <f>IF(ABS(E173-AG173)&lt;0.01,"ok","err")</f>
        <v>ok</v>
      </c>
    </row>
    <row r="174" spans="1:34" x14ac:dyDescent="0.2">
      <c r="A174" s="14" t="s">
        <v>224</v>
      </c>
      <c r="E174" s="254">
        <f t="shared" ref="E174:T174" si="35">E172+E173</f>
        <v>3104120.7752718548</v>
      </c>
      <c r="F174" s="65">
        <f t="shared" si="35"/>
        <v>2779271.421704541</v>
      </c>
      <c r="G174" s="65">
        <f t="shared" si="35"/>
        <v>171544.2201376973</v>
      </c>
      <c r="H174" s="65">
        <f t="shared" si="35"/>
        <v>122407.84680338537</v>
      </c>
      <c r="I174" s="65">
        <f t="shared" si="35"/>
        <v>1579.5411101281027</v>
      </c>
      <c r="J174" s="65">
        <f t="shared" si="35"/>
        <v>16992.220281338483</v>
      </c>
      <c r="K174" s="65">
        <f t="shared" si="35"/>
        <v>11159.495878608439</v>
      </c>
      <c r="L174" s="65">
        <f t="shared" si="35"/>
        <v>1166.029356156321</v>
      </c>
      <c r="M174" s="65">
        <f t="shared" si="35"/>
        <v>0</v>
      </c>
      <c r="N174" s="65">
        <f t="shared" si="35"/>
        <v>0</v>
      </c>
      <c r="O174" s="65">
        <f t="shared" si="35"/>
        <v>0</v>
      </c>
      <c r="P174" s="65">
        <f t="shared" si="35"/>
        <v>0</v>
      </c>
      <c r="Q174" s="65">
        <f t="shared" si="35"/>
        <v>0</v>
      </c>
      <c r="R174" s="65">
        <f t="shared" si="35"/>
        <v>0</v>
      </c>
      <c r="S174" s="65">
        <f t="shared" si="35"/>
        <v>0</v>
      </c>
      <c r="T174" s="65">
        <f t="shared" si="35"/>
        <v>0</v>
      </c>
      <c r="U174" s="65">
        <f t="shared" ref="U174:AF174" si="36">U172+U173</f>
        <v>0</v>
      </c>
      <c r="V174" s="65">
        <f t="shared" si="36"/>
        <v>0</v>
      </c>
      <c r="W174" s="65">
        <f t="shared" si="36"/>
        <v>0</v>
      </c>
      <c r="X174" s="65">
        <f t="shared" si="36"/>
        <v>0</v>
      </c>
      <c r="Y174" s="65">
        <f t="shared" si="36"/>
        <v>0</v>
      </c>
      <c r="Z174" s="65">
        <f t="shared" si="36"/>
        <v>0</v>
      </c>
      <c r="AA174" s="65">
        <f t="shared" si="36"/>
        <v>0</v>
      </c>
      <c r="AB174" s="65">
        <f t="shared" si="36"/>
        <v>0</v>
      </c>
      <c r="AC174" s="65">
        <f t="shared" si="36"/>
        <v>0</v>
      </c>
      <c r="AD174" s="65">
        <f t="shared" si="36"/>
        <v>0</v>
      </c>
      <c r="AE174" s="65">
        <f t="shared" si="36"/>
        <v>0</v>
      </c>
      <c r="AF174" s="65">
        <f t="shared" si="36"/>
        <v>0</v>
      </c>
      <c r="AG174" s="90">
        <f>SUM(F174:AF174)</f>
        <v>3104120.7752718548</v>
      </c>
      <c r="AH174" s="29" t="str">
        <f>IF(ABS(E174-AG174)&lt;0.01,"ok","err")</f>
        <v>ok</v>
      </c>
    </row>
    <row r="175" spans="1:34" x14ac:dyDescent="0.2">
      <c r="E175" s="255"/>
    </row>
    <row r="176" spans="1:34" x14ac:dyDescent="0.2">
      <c r="A176" s="13" t="s">
        <v>3</v>
      </c>
      <c r="E176" s="255"/>
    </row>
    <row r="177" spans="1:34" x14ac:dyDescent="0.2">
      <c r="A177" s="93" t="s">
        <v>209</v>
      </c>
      <c r="C177" s="14" t="s">
        <v>280</v>
      </c>
      <c r="D177" s="14" t="s">
        <v>701</v>
      </c>
      <c r="E177" s="254">
        <f>'Func &amp; Classif'!R465</f>
        <v>0</v>
      </c>
      <c r="F177" s="65">
        <f>IF(VLOOKUP($D177,$C$5:$AU$501,3,)=0,0,(VLOOKUP($D177,$C$5:$AU$501,4,)/VLOOKUP($D177,$C$5:$AU$501,3,))*$E177)</f>
        <v>0</v>
      </c>
      <c r="G177" s="65">
        <f>IF(VLOOKUP($D177,$C$5:$AU$501,3,)=0,0,(VLOOKUP($D177,$C$5:$AU$501,5,)/VLOOKUP($D177,$C$5:$AU$501,3,))*$E177)</f>
        <v>0</v>
      </c>
      <c r="H177" s="65">
        <f>IF(VLOOKUP($D177,$C$5:$AU$501,3,)=0,0,(VLOOKUP($D177,$C$5:$AU$501,6,)/VLOOKUP($D177,$C$5:$AU$501,3,))*$E177)</f>
        <v>0</v>
      </c>
      <c r="I177" s="65">
        <f>IF(VLOOKUP($D177,$C$5:$AU$501,3,)=0,0,(VLOOKUP($D177,$C$5:$AU$501,7,)/VLOOKUP($D177,$C$5:$AU$501,3,))*$E177)</f>
        <v>0</v>
      </c>
      <c r="J177" s="65">
        <f>IF(VLOOKUP($D177,$C$5:$AU$501,3,)=0,0,(VLOOKUP($D177,$C$5:$AU$501,8,)/VLOOKUP($D177,$C$5:$AU$501,3,))*$E177)</f>
        <v>0</v>
      </c>
      <c r="K177" s="65">
        <f>IF(VLOOKUP($D177,$C$5:$AU$501,3,)=0,0,(VLOOKUP($D177,$C$5:$AU$501,9,)/VLOOKUP($D177,$C$5:$AU$501,3,))*$E177)</f>
        <v>0</v>
      </c>
      <c r="L177" s="65">
        <f>IF(VLOOKUP($D177,$C$5:$AU$501,3,)=0,0,(VLOOKUP($D177,$C$5:$AU$501,10,)/VLOOKUP($D177,$C$5:$AU$501,3,))*$E177)</f>
        <v>0</v>
      </c>
      <c r="M177" s="65">
        <f>IF(VLOOKUP($D177,$C$5:$AU$501,3,)=0,0,(VLOOKUP($D177,$C$5:$AU$501,11,)/VLOOKUP($D177,$C$5:$AU$501,3,))*$E177)</f>
        <v>0</v>
      </c>
      <c r="N177" s="65">
        <f>IF(VLOOKUP($D177,$C$5:$AU$501,3,)=0,0,(VLOOKUP($D177,$C$5:$AU$501,12,)/VLOOKUP($D177,$C$5:$AU$501,3,))*$E177)</f>
        <v>0</v>
      </c>
      <c r="O177" s="65">
        <f>IF(VLOOKUP($D177,$C$5:$AU$501,3,)=0,0,(VLOOKUP($D177,$C$5:$AU$501,13,)/VLOOKUP($D177,$C$5:$AU$501,3,))*$E177)</f>
        <v>0</v>
      </c>
      <c r="P177" s="65">
        <f>IF(VLOOKUP($D177,$C$5:$AU$501,3,)=0,0,(VLOOKUP($D177,$C$5:$AU$501,14,)/VLOOKUP($D177,$C$5:$AU$501,3,))*$E177)</f>
        <v>0</v>
      </c>
      <c r="Q177" s="65">
        <f>IF(VLOOKUP($D177,$C$5:$AU$501,3,)=0,0,(VLOOKUP($D177,$C$5:$AU$501,15,)/VLOOKUP($D177,$C$5:$AU$501,3,))*$E177)</f>
        <v>0</v>
      </c>
      <c r="R177" s="65">
        <f>IF(VLOOKUP($D177,$C$5:$AU$501,3,)=0,0,(VLOOKUP($D177,$C$5:$AU$501,16,)/VLOOKUP($D177,$C$5:$AU$501,3,))*$E177)</f>
        <v>0</v>
      </c>
      <c r="S177" s="65">
        <f>IF(VLOOKUP($D177,$C$5:$AU$501,3,)=0,0,(VLOOKUP($D177,$C$5:$AU$501,17,)/VLOOKUP($D177,$C$5:$AU$501,3,))*$E177)</f>
        <v>0</v>
      </c>
      <c r="T177" s="65">
        <f>IF(VLOOKUP($D177,$C$5:$AU$501,3,)=0,0,(VLOOKUP($D177,$C$5:$AU$501,18,)/VLOOKUP($D177,$C$5:$AU$501,3,))*$E177)</f>
        <v>0</v>
      </c>
      <c r="U177" s="65">
        <f>IF(VLOOKUP($D177,$C$5:$AU$501,3,)=0,0,(VLOOKUP($D177,$C$5:$AU$501,19,)/VLOOKUP($D177,$C$5:$AU$501,3,))*$E177)</f>
        <v>0</v>
      </c>
      <c r="V177" s="65">
        <f>IF(VLOOKUP($D177,$C$5:$AU$501,3,)=0,0,(VLOOKUP($D177,$C$5:$AU$501,20,)/VLOOKUP($D177,$C$5:$AU$501,3,))*$E177)</f>
        <v>0</v>
      </c>
      <c r="W177" s="65">
        <f>IF(VLOOKUP($D177,$C$5:$AU$501,3,)=0,0,(VLOOKUP($D177,$C$5:$AU$501,21,)/VLOOKUP($D177,$C$5:$AU$501,3,))*$E177)</f>
        <v>0</v>
      </c>
      <c r="X177" s="65">
        <f>IF(VLOOKUP($D177,$C$5:$AU$501,3,)=0,0,(VLOOKUP($D177,$C$5:$AU$501,22,)/VLOOKUP($D177,$C$5:$AU$501,3,))*$E177)</f>
        <v>0</v>
      </c>
      <c r="Y177" s="65">
        <f>IF(VLOOKUP($D177,$C$5:$AU$501,3,)=0,0,(VLOOKUP($D177,$C$5:$AU$501,23,)/VLOOKUP($D177,$C$5:$AU$501,3,))*$E177)</f>
        <v>0</v>
      </c>
      <c r="Z177" s="65">
        <f>IF(VLOOKUP($D177,$C$5:$AU$501,3,)=0,0,(VLOOKUP($D177,$C$5:$AU$501,24,)/VLOOKUP($D177,$C$5:$AU$501,3,))*$E177)</f>
        <v>0</v>
      </c>
      <c r="AA177" s="65">
        <f>IF(VLOOKUP($D177,$C$5:$AU$501,3,)=0,0,(VLOOKUP($D177,$C$5:$AU$501,25,)/VLOOKUP($D177,$C$5:$AU$501,3,))*$E177)</f>
        <v>0</v>
      </c>
      <c r="AB177" s="65">
        <f>IF(VLOOKUP($D177,$C$5:$AU$501,3,)=0,0,(VLOOKUP($D177,$C$5:$AU$501,26,)/VLOOKUP($D177,$C$5:$AU$501,3,))*$E177)</f>
        <v>0</v>
      </c>
      <c r="AC177" s="65">
        <f>IF(VLOOKUP($D177,$C$5:$AU$501,3,)=0,0,(VLOOKUP($D177,$C$5:$AU$501,27,)/VLOOKUP($D177,$C$5:$AU$501,3,))*$E177)</f>
        <v>0</v>
      </c>
      <c r="AD177" s="65">
        <f>IF(VLOOKUP($D177,$C$5:$AU$501,3,)=0,0,(VLOOKUP($D177,$C$5:$AU$501,28,)/VLOOKUP($D177,$C$5:$AU$501,3,))*$E177)</f>
        <v>0</v>
      </c>
      <c r="AE177" s="65">
        <f>IF(VLOOKUP($D177,$C$5:$AU$501,3,)=0,0,(VLOOKUP($D177,$C$5:$AU$501,29,)/VLOOKUP($D177,$C$5:$AU$501,3,))*$E177)</f>
        <v>0</v>
      </c>
      <c r="AF177" s="65">
        <f>IF(VLOOKUP($D177,$C$5:$AU$501,3,)=0,0,(VLOOKUP($D177,$C$5:$AU$501,30,)/VLOOKUP($D177,$C$5:$AU$501,3,))*$E177)</f>
        <v>0</v>
      </c>
      <c r="AG177" s="90">
        <f>SUM(F177:AF177)</f>
        <v>0</v>
      </c>
      <c r="AH177" s="29" t="str">
        <f>IF(ABS(E177-AG177)&lt;0.01,"ok","err")</f>
        <v>ok</v>
      </c>
    </row>
    <row r="178" spans="1:34" x14ac:dyDescent="0.2">
      <c r="A178" s="93" t="s">
        <v>221</v>
      </c>
      <c r="C178" s="14" t="s">
        <v>281</v>
      </c>
      <c r="D178" s="14" t="s">
        <v>701</v>
      </c>
      <c r="E178" s="255">
        <f>'Func &amp; Classif'!S465</f>
        <v>96569.9826847605</v>
      </c>
      <c r="F178" s="65">
        <f>IF(VLOOKUP($D178,$C$5:$AU$501,3,)=0,0,(VLOOKUP($D178,$C$5:$AU$501,4,)/VLOOKUP($D178,$C$5:$AU$501,3,))*$E178)</f>
        <v>86505.934029345095</v>
      </c>
      <c r="G178" s="65">
        <f>IF(VLOOKUP($D178,$C$5:$AU$501,3,)=0,0,(VLOOKUP($D178,$C$5:$AU$501,5,)/VLOOKUP($D178,$C$5:$AU$501,3,))*$E178)</f>
        <v>6086.0509364421541</v>
      </c>
      <c r="H178" s="65">
        <f>IF(VLOOKUP($D178,$C$5:$AU$501,3,)=0,0,(VLOOKUP($D178,$C$5:$AU$501,6,)/VLOOKUP($D178,$C$5:$AU$501,3,))*$E178)</f>
        <v>3812.8756525239601</v>
      </c>
      <c r="I178" s="65">
        <f>IF(VLOOKUP($D178,$C$5:$AU$501,3,)=0,0,(VLOOKUP($D178,$C$5:$AU$501,7,)/VLOOKUP($D178,$C$5:$AU$501,3,))*$E178)</f>
        <v>37.939061219143881</v>
      </c>
      <c r="J178" s="65">
        <f>IF(VLOOKUP($D178,$C$5:$AU$501,3,)=0,0,(VLOOKUP($D178,$C$5:$AU$501,8,)/VLOOKUP($D178,$C$5:$AU$501,3,))*$E178)</f>
        <v>114.14110534270229</v>
      </c>
      <c r="K178" s="65">
        <f>IF(VLOOKUP($D178,$C$5:$AU$501,3,)=0,0,(VLOOKUP($D178,$C$5:$AU$501,9,)/VLOOKUP($D178,$C$5:$AU$501,3,))*$E178)</f>
        <v>0</v>
      </c>
      <c r="L178" s="65">
        <f>IF(VLOOKUP($D178,$C$5:$AU$501,3,)=0,0,(VLOOKUP($D178,$C$5:$AU$501,10,)/VLOOKUP($D178,$C$5:$AU$501,3,))*$E178)</f>
        <v>13.041899887450588</v>
      </c>
      <c r="M178" s="65">
        <f>IF(VLOOKUP($D178,$C$5:$AU$501,3,)=0,0,(VLOOKUP($D178,$C$5:$AU$501,11,)/VLOOKUP($D178,$C$5:$AU$501,3,))*$E178)</f>
        <v>0</v>
      </c>
      <c r="N178" s="65">
        <f>IF(VLOOKUP($D178,$C$5:$AU$501,3,)=0,0,(VLOOKUP($D178,$C$5:$AU$501,12,)/VLOOKUP($D178,$C$5:$AU$501,3,))*$E178)</f>
        <v>0</v>
      </c>
      <c r="O178" s="65">
        <f>IF(VLOOKUP($D178,$C$5:$AU$501,3,)=0,0,(VLOOKUP($D178,$C$5:$AU$501,13,)/VLOOKUP($D178,$C$5:$AU$501,3,))*$E178)</f>
        <v>0</v>
      </c>
      <c r="P178" s="65">
        <f>IF(VLOOKUP($D178,$C$5:$AU$501,3,)=0,0,(VLOOKUP($D178,$C$5:$AU$501,14,)/VLOOKUP($D178,$C$5:$AU$501,3,))*$E178)</f>
        <v>0</v>
      </c>
      <c r="Q178" s="65">
        <f>IF(VLOOKUP($D178,$C$5:$AU$501,3,)=0,0,(VLOOKUP($D178,$C$5:$AU$501,15,)/VLOOKUP($D178,$C$5:$AU$501,3,))*$E178)</f>
        <v>0</v>
      </c>
      <c r="R178" s="65">
        <f>IF(VLOOKUP($D178,$C$5:$AU$501,3,)=0,0,(VLOOKUP($D178,$C$5:$AU$501,16,)/VLOOKUP($D178,$C$5:$AU$501,3,))*$E178)</f>
        <v>0</v>
      </c>
      <c r="S178" s="65">
        <f>IF(VLOOKUP($D178,$C$5:$AU$501,3,)=0,0,(VLOOKUP($D178,$C$5:$AU$501,17,)/VLOOKUP($D178,$C$5:$AU$501,3,))*$E178)</f>
        <v>0</v>
      </c>
      <c r="T178" s="65">
        <f>IF(VLOOKUP($D178,$C$5:$AU$501,3,)=0,0,(VLOOKUP($D178,$C$5:$AU$501,18,)/VLOOKUP($D178,$C$5:$AU$501,3,))*$E178)</f>
        <v>0</v>
      </c>
      <c r="U178" s="65">
        <f>IF(VLOOKUP($D178,$C$5:$AU$501,3,)=0,0,(VLOOKUP($D178,$C$5:$AU$501,19,)/VLOOKUP($D178,$C$5:$AU$501,3,))*$E178)</f>
        <v>0</v>
      </c>
      <c r="V178" s="65">
        <f>IF(VLOOKUP($D178,$C$5:$AU$501,3,)=0,0,(VLOOKUP($D178,$C$5:$AU$501,20,)/VLOOKUP($D178,$C$5:$AU$501,3,))*$E178)</f>
        <v>0</v>
      </c>
      <c r="W178" s="65">
        <f>IF(VLOOKUP($D178,$C$5:$AU$501,3,)=0,0,(VLOOKUP($D178,$C$5:$AU$501,21,)/VLOOKUP($D178,$C$5:$AU$501,3,))*$E178)</f>
        <v>0</v>
      </c>
      <c r="X178" s="65">
        <f>IF(VLOOKUP($D178,$C$5:$AU$501,3,)=0,0,(VLOOKUP($D178,$C$5:$AU$501,22,)/VLOOKUP($D178,$C$5:$AU$501,3,))*$E178)</f>
        <v>0</v>
      </c>
      <c r="Y178" s="65">
        <f>IF(VLOOKUP($D178,$C$5:$AU$501,3,)=0,0,(VLOOKUP($D178,$C$5:$AU$501,23,)/VLOOKUP($D178,$C$5:$AU$501,3,))*$E178)</f>
        <v>0</v>
      </c>
      <c r="Z178" s="65">
        <f>IF(VLOOKUP($D178,$C$5:$AU$501,3,)=0,0,(VLOOKUP($D178,$C$5:$AU$501,24,)/VLOOKUP($D178,$C$5:$AU$501,3,))*$E178)</f>
        <v>0</v>
      </c>
      <c r="AA178" s="65">
        <f>IF(VLOOKUP($D178,$C$5:$AU$501,3,)=0,0,(VLOOKUP($D178,$C$5:$AU$501,25,)/VLOOKUP($D178,$C$5:$AU$501,3,))*$E178)</f>
        <v>0</v>
      </c>
      <c r="AB178" s="65">
        <f>IF(VLOOKUP($D178,$C$5:$AU$501,3,)=0,0,(VLOOKUP($D178,$C$5:$AU$501,26,)/VLOOKUP($D178,$C$5:$AU$501,3,))*$E178)</f>
        <v>0</v>
      </c>
      <c r="AC178" s="65">
        <f>IF(VLOOKUP($D178,$C$5:$AU$501,3,)=0,0,(VLOOKUP($D178,$C$5:$AU$501,27,)/VLOOKUP($D178,$C$5:$AU$501,3,))*$E178)</f>
        <v>0</v>
      </c>
      <c r="AD178" s="65">
        <f>IF(VLOOKUP($D178,$C$5:$AU$501,3,)=0,0,(VLOOKUP($D178,$C$5:$AU$501,28,)/VLOOKUP($D178,$C$5:$AU$501,3,))*$E178)</f>
        <v>0</v>
      </c>
      <c r="AE178" s="65">
        <f>IF(VLOOKUP($D178,$C$5:$AU$501,3,)=0,0,(VLOOKUP($D178,$C$5:$AU$501,29,)/VLOOKUP($D178,$C$5:$AU$501,3,))*$E178)</f>
        <v>0</v>
      </c>
      <c r="AF178" s="65">
        <f>IF(VLOOKUP($D178,$C$5:$AU$501,3,)=0,0,(VLOOKUP($D178,$C$5:$AU$501,30,)/VLOOKUP($D178,$C$5:$AU$501,3,))*$E178)</f>
        <v>0</v>
      </c>
      <c r="AG178" s="90">
        <f>SUM(F178:AF178)</f>
        <v>96569.982684760515</v>
      </c>
      <c r="AH178" s="29" t="str">
        <f>IF(ABS(E178-AG178)&lt;0.01,"ok","err")</f>
        <v>ok</v>
      </c>
    </row>
    <row r="179" spans="1:34" x14ac:dyDescent="0.2">
      <c r="A179" s="14" t="s">
        <v>228</v>
      </c>
      <c r="E179" s="254">
        <f t="shared" ref="E179:T179" si="37">E177+E178</f>
        <v>96569.9826847605</v>
      </c>
      <c r="F179" s="65">
        <f t="shared" si="37"/>
        <v>86505.934029345095</v>
      </c>
      <c r="G179" s="65">
        <f t="shared" si="37"/>
        <v>6086.0509364421541</v>
      </c>
      <c r="H179" s="65">
        <f t="shared" si="37"/>
        <v>3812.8756525239601</v>
      </c>
      <c r="I179" s="65">
        <f t="shared" si="37"/>
        <v>37.939061219143881</v>
      </c>
      <c r="J179" s="65">
        <f t="shared" si="37"/>
        <v>114.14110534270229</v>
      </c>
      <c r="K179" s="65">
        <f t="shared" si="37"/>
        <v>0</v>
      </c>
      <c r="L179" s="65">
        <f t="shared" si="37"/>
        <v>13.041899887450588</v>
      </c>
      <c r="M179" s="65">
        <f t="shared" si="37"/>
        <v>0</v>
      </c>
      <c r="N179" s="65">
        <f t="shared" si="37"/>
        <v>0</v>
      </c>
      <c r="O179" s="65">
        <f t="shared" si="37"/>
        <v>0</v>
      </c>
      <c r="P179" s="65">
        <f t="shared" si="37"/>
        <v>0</v>
      </c>
      <c r="Q179" s="65">
        <f t="shared" si="37"/>
        <v>0</v>
      </c>
      <c r="R179" s="65">
        <f t="shared" si="37"/>
        <v>0</v>
      </c>
      <c r="S179" s="65">
        <f t="shared" si="37"/>
        <v>0</v>
      </c>
      <c r="T179" s="65">
        <f t="shared" si="37"/>
        <v>0</v>
      </c>
      <c r="U179" s="65">
        <f t="shared" ref="U179:AF179" si="38">U177+U178</f>
        <v>0</v>
      </c>
      <c r="V179" s="65">
        <f t="shared" si="38"/>
        <v>0</v>
      </c>
      <c r="W179" s="65">
        <f t="shared" si="38"/>
        <v>0</v>
      </c>
      <c r="X179" s="65">
        <f t="shared" si="38"/>
        <v>0</v>
      </c>
      <c r="Y179" s="65">
        <f t="shared" si="38"/>
        <v>0</v>
      </c>
      <c r="Z179" s="65">
        <f t="shared" si="38"/>
        <v>0</v>
      </c>
      <c r="AA179" s="65">
        <f t="shared" si="38"/>
        <v>0</v>
      </c>
      <c r="AB179" s="65">
        <f t="shared" si="38"/>
        <v>0</v>
      </c>
      <c r="AC179" s="65">
        <f t="shared" si="38"/>
        <v>0</v>
      </c>
      <c r="AD179" s="65">
        <f t="shared" si="38"/>
        <v>0</v>
      </c>
      <c r="AE179" s="65">
        <f t="shared" si="38"/>
        <v>0</v>
      </c>
      <c r="AF179" s="65">
        <f t="shared" si="38"/>
        <v>0</v>
      </c>
      <c r="AG179" s="90">
        <f>SUM(F179:AF179)</f>
        <v>96569.982684760515</v>
      </c>
      <c r="AH179" s="29" t="str">
        <f>IF(ABS(E179-AG179)&lt;0.01,"ok","err")</f>
        <v>ok</v>
      </c>
    </row>
    <row r="180" spans="1:34" x14ac:dyDescent="0.2">
      <c r="E180" s="255"/>
    </row>
    <row r="181" spans="1:34" x14ac:dyDescent="0.2">
      <c r="A181" s="13" t="s">
        <v>4</v>
      </c>
      <c r="E181" s="255"/>
    </row>
    <row r="182" spans="1:34" x14ac:dyDescent="0.2">
      <c r="A182" s="93" t="s">
        <v>221</v>
      </c>
      <c r="C182" s="14" t="s">
        <v>282</v>
      </c>
      <c r="D182" s="14" t="s">
        <v>230</v>
      </c>
      <c r="E182" s="254">
        <f>'Func &amp; Classif'!U465</f>
        <v>253690.00673637574</v>
      </c>
      <c r="F182" s="65">
        <f>IF(VLOOKUP($D182,$C$5:$AU$501,3,)=0,0,(VLOOKUP($D182,$C$5:$AU$501,4,)/VLOOKUP($D182,$C$5:$AU$501,3,))*$E182)</f>
        <v>196312.2932450517</v>
      </c>
      <c r="G182" s="65">
        <f>IF(VLOOKUP($D182,$C$5:$AU$501,3,)=0,0,(VLOOKUP($D182,$C$5:$AU$501,5,)/VLOOKUP($D182,$C$5:$AU$501,3,))*$E182)</f>
        <v>19187.361732268335</v>
      </c>
      <c r="H182" s="65">
        <f>IF(VLOOKUP($D182,$C$5:$AU$501,3,)=0,0,(VLOOKUP($D182,$C$5:$AU$501,6,)/VLOOKUP($D182,$C$5:$AU$501,3,))*$E182)</f>
        <v>32588.204360555283</v>
      </c>
      <c r="I182" s="65">
        <f>IF(VLOOKUP($D182,$C$5:$AU$501,3,)=0,0,(VLOOKUP($D182,$C$5:$AU$501,7,)/VLOOKUP($D182,$C$5:$AU$501,3,))*$E182)</f>
        <v>2489.8432882224247</v>
      </c>
      <c r="J182" s="65">
        <f>IF(VLOOKUP($D182,$C$5:$AU$501,3,)=0,0,(VLOOKUP($D182,$C$5:$AU$501,8,)/VLOOKUP($D182,$C$5:$AU$501,3,))*$E182)</f>
        <v>3112.3041102780307</v>
      </c>
      <c r="K182" s="65">
        <f>IF(VLOOKUP($D182,$C$5:$AU$501,3,)=0,0,(VLOOKUP($D182,$C$5:$AU$501,9,)/VLOOKUP($D182,$C$5:$AU$501,3,))*$E182)</f>
        <v>0</v>
      </c>
      <c r="L182" s="65">
        <f>IF(VLOOKUP($D182,$C$5:$AU$501,3,)=0,0,(VLOOKUP($D182,$C$5:$AU$501,10,)/VLOOKUP($D182,$C$5:$AU$501,3,))*$E182)</f>
        <v>0</v>
      </c>
      <c r="M182" s="65">
        <f>IF(VLOOKUP($D182,$C$5:$AU$501,3,)=0,0,(VLOOKUP($D182,$C$5:$AU$501,11,)/VLOOKUP($D182,$C$5:$AU$501,3,))*$E182)</f>
        <v>0</v>
      </c>
      <c r="N182" s="65">
        <f>IF(VLOOKUP($D182,$C$5:$AU$501,3,)=0,0,(VLOOKUP($D182,$C$5:$AU$501,12,)/VLOOKUP($D182,$C$5:$AU$501,3,))*$E182)</f>
        <v>0</v>
      </c>
      <c r="O182" s="65">
        <f>IF(VLOOKUP($D182,$C$5:$AU$501,3,)=0,0,(VLOOKUP($D182,$C$5:$AU$501,13,)/VLOOKUP($D182,$C$5:$AU$501,3,))*$E182)</f>
        <v>0</v>
      </c>
      <c r="P182" s="65">
        <f>IF(VLOOKUP($D182,$C$5:$AU$501,3,)=0,0,(VLOOKUP($D182,$C$5:$AU$501,14,)/VLOOKUP($D182,$C$5:$AU$501,3,))*$E182)</f>
        <v>0</v>
      </c>
      <c r="Q182" s="65">
        <f>IF(VLOOKUP($D182,$C$5:$AU$501,3,)=0,0,(VLOOKUP($D182,$C$5:$AU$501,15,)/VLOOKUP($D182,$C$5:$AU$501,3,))*$E182)</f>
        <v>0</v>
      </c>
      <c r="R182" s="65">
        <f>IF(VLOOKUP($D182,$C$5:$AU$501,3,)=0,0,(VLOOKUP($D182,$C$5:$AU$501,16,)/VLOOKUP($D182,$C$5:$AU$501,3,))*$E182)</f>
        <v>0</v>
      </c>
      <c r="S182" s="65">
        <f>IF(VLOOKUP($D182,$C$5:$AU$501,3,)=0,0,(VLOOKUP($D182,$C$5:$AU$501,17,)/VLOOKUP($D182,$C$5:$AU$501,3,))*$E182)</f>
        <v>0</v>
      </c>
      <c r="T182" s="65">
        <f>IF(VLOOKUP($D182,$C$5:$AU$501,3,)=0,0,(VLOOKUP($D182,$C$5:$AU$501,18,)/VLOOKUP($D182,$C$5:$AU$501,3,))*$E182)</f>
        <v>0</v>
      </c>
      <c r="U182" s="65">
        <f>IF(VLOOKUP($D182,$C$5:$AU$501,3,)=0,0,(VLOOKUP($D182,$C$5:$AU$501,19,)/VLOOKUP($D182,$C$5:$AU$501,3,))*$E182)</f>
        <v>0</v>
      </c>
      <c r="V182" s="65">
        <f>IF(VLOOKUP($D182,$C$5:$AU$501,3,)=0,0,(VLOOKUP($D182,$C$5:$AU$501,20,)/VLOOKUP($D182,$C$5:$AU$501,3,))*$E182)</f>
        <v>0</v>
      </c>
      <c r="W182" s="65">
        <f>IF(VLOOKUP($D182,$C$5:$AU$501,3,)=0,0,(VLOOKUP($D182,$C$5:$AU$501,21,)/VLOOKUP($D182,$C$5:$AU$501,3,))*$E182)</f>
        <v>0</v>
      </c>
      <c r="X182" s="65">
        <f>IF(VLOOKUP($D182,$C$5:$AU$501,3,)=0,0,(VLOOKUP($D182,$C$5:$AU$501,22,)/VLOOKUP($D182,$C$5:$AU$501,3,))*$E182)</f>
        <v>0</v>
      </c>
      <c r="Y182" s="65">
        <f>IF(VLOOKUP($D182,$C$5:$AU$501,3,)=0,0,(VLOOKUP($D182,$C$5:$AU$501,23,)/VLOOKUP($D182,$C$5:$AU$501,3,))*$E182)</f>
        <v>0</v>
      </c>
      <c r="Z182" s="65">
        <f>IF(VLOOKUP($D182,$C$5:$AU$501,3,)=0,0,(VLOOKUP($D182,$C$5:$AU$501,24,)/VLOOKUP($D182,$C$5:$AU$501,3,))*$E182)</f>
        <v>0</v>
      </c>
      <c r="AA182" s="65">
        <f>IF(VLOOKUP($D182,$C$5:$AU$501,3,)=0,0,(VLOOKUP($D182,$C$5:$AU$501,25,)/VLOOKUP($D182,$C$5:$AU$501,3,))*$E182)</f>
        <v>0</v>
      </c>
      <c r="AB182" s="65">
        <f>IF(VLOOKUP($D182,$C$5:$AU$501,3,)=0,0,(VLOOKUP($D182,$C$5:$AU$501,26,)/VLOOKUP($D182,$C$5:$AU$501,3,))*$E182)</f>
        <v>0</v>
      </c>
      <c r="AC182" s="65">
        <f>IF(VLOOKUP($D182,$C$5:$AU$501,3,)=0,0,(VLOOKUP($D182,$C$5:$AU$501,27,)/VLOOKUP($D182,$C$5:$AU$501,3,))*$E182)</f>
        <v>0</v>
      </c>
      <c r="AD182" s="65">
        <f>IF(VLOOKUP($D182,$C$5:$AU$501,3,)=0,0,(VLOOKUP($D182,$C$5:$AU$501,28,)/VLOOKUP($D182,$C$5:$AU$501,3,))*$E182)</f>
        <v>0</v>
      </c>
      <c r="AE182" s="65">
        <f>IF(VLOOKUP($D182,$C$5:$AU$501,3,)=0,0,(VLOOKUP($D182,$C$5:$AU$501,29,)/VLOOKUP($D182,$C$5:$AU$501,3,))*$E182)</f>
        <v>0</v>
      </c>
      <c r="AF182" s="65">
        <f>IF(VLOOKUP($D182,$C$5:$AU$501,3,)=0,0,(VLOOKUP($D182,$C$5:$AU$501,30,)/VLOOKUP($D182,$C$5:$AU$501,3,))*$E182)</f>
        <v>0</v>
      </c>
      <c r="AG182" s="90">
        <f>SUM(F182:AF182)</f>
        <v>253690.00673637574</v>
      </c>
      <c r="AH182" s="29" t="str">
        <f>IF(ABS(E182-AG182)&lt;0.01,"ok","err")</f>
        <v>ok</v>
      </c>
    </row>
    <row r="183" spans="1:34" x14ac:dyDescent="0.2">
      <c r="E183" s="255"/>
    </row>
    <row r="184" spans="1:34" x14ac:dyDescent="0.2">
      <c r="A184" s="13" t="s">
        <v>5</v>
      </c>
      <c r="E184" s="255"/>
    </row>
    <row r="185" spans="1:34" x14ac:dyDescent="0.2">
      <c r="A185" s="93" t="s">
        <v>221</v>
      </c>
      <c r="C185" s="14" t="s">
        <v>283</v>
      </c>
      <c r="D185" s="14" t="s">
        <v>232</v>
      </c>
      <c r="E185" s="254">
        <f>'Func &amp; Classif'!W465</f>
        <v>56733.867485330687</v>
      </c>
      <c r="F185" s="65">
        <f>IF(VLOOKUP($D185,$C$5:$AU$501,3,)=0,0,(VLOOKUP($D185,$C$5:$AU$501,4,)/VLOOKUP($D185,$C$5:$AU$501,3,))*$E185)</f>
        <v>0</v>
      </c>
      <c r="G185" s="65">
        <f>IF(VLOOKUP($D185,$C$5:$AU$501,3,)=0,0,(VLOOKUP($D185,$C$5:$AU$501,5,)/VLOOKUP($D185,$C$5:$AU$501,3,))*$E185)</f>
        <v>0</v>
      </c>
      <c r="H185" s="65">
        <f>IF(VLOOKUP($D185,$C$5:$AU$501,3,)=0,0,(VLOOKUP($D185,$C$5:$AU$501,6,)/VLOOKUP($D185,$C$5:$AU$501,3,))*$E185)</f>
        <v>0</v>
      </c>
      <c r="I185" s="65">
        <f>IF(VLOOKUP($D185,$C$5:$AU$501,3,)=0,0,(VLOOKUP($D185,$C$5:$AU$501,7,)/VLOOKUP($D185,$C$5:$AU$501,3,))*$E185)</f>
        <v>0</v>
      </c>
      <c r="J185" s="65">
        <f>IF(VLOOKUP($D185,$C$5:$AU$501,3,)=0,0,(VLOOKUP($D185,$C$5:$AU$501,8,)/VLOOKUP($D185,$C$5:$AU$501,3,))*$E185)</f>
        <v>0</v>
      </c>
      <c r="K185" s="65">
        <f>IF(VLOOKUP($D185,$C$5:$AU$501,3,)=0,0,(VLOOKUP($D185,$C$5:$AU$501,9,)/VLOOKUP($D185,$C$5:$AU$501,3,))*$E185)</f>
        <v>51400.457117871156</v>
      </c>
      <c r="L185" s="65">
        <f>IF(VLOOKUP($D185,$C$5:$AU$501,3,)=0,0,(VLOOKUP($D185,$C$5:$AU$501,10,)/VLOOKUP($D185,$C$5:$AU$501,3,))*$E185)</f>
        <v>5333.4103674595335</v>
      </c>
      <c r="M185" s="65">
        <f>IF(VLOOKUP($D185,$C$5:$AU$501,3,)=0,0,(VLOOKUP($D185,$C$5:$AU$501,11,)/VLOOKUP($D185,$C$5:$AU$501,3,))*$E185)</f>
        <v>0</v>
      </c>
      <c r="N185" s="65">
        <f>IF(VLOOKUP($D185,$C$5:$AU$501,3,)=0,0,(VLOOKUP($D185,$C$5:$AU$501,12,)/VLOOKUP($D185,$C$5:$AU$501,3,))*$E185)</f>
        <v>0</v>
      </c>
      <c r="O185" s="65">
        <f>IF(VLOOKUP($D185,$C$5:$AU$501,3,)=0,0,(VLOOKUP($D185,$C$5:$AU$501,13,)/VLOOKUP($D185,$C$5:$AU$501,3,))*$E185)</f>
        <v>0</v>
      </c>
      <c r="P185" s="65">
        <f>IF(VLOOKUP($D185,$C$5:$AU$501,3,)=0,0,(VLOOKUP($D185,$C$5:$AU$501,14,)/VLOOKUP($D185,$C$5:$AU$501,3,))*$E185)</f>
        <v>0</v>
      </c>
      <c r="Q185" s="65">
        <f>IF(VLOOKUP($D185,$C$5:$AU$501,3,)=0,0,(VLOOKUP($D185,$C$5:$AU$501,15,)/VLOOKUP($D185,$C$5:$AU$501,3,))*$E185)</f>
        <v>0</v>
      </c>
      <c r="R185" s="65">
        <f>IF(VLOOKUP($D185,$C$5:$AU$501,3,)=0,0,(VLOOKUP($D185,$C$5:$AU$501,16,)/VLOOKUP($D185,$C$5:$AU$501,3,))*$E185)</f>
        <v>0</v>
      </c>
      <c r="S185" s="65">
        <f>IF(VLOOKUP($D185,$C$5:$AU$501,3,)=0,0,(VLOOKUP($D185,$C$5:$AU$501,17,)/VLOOKUP($D185,$C$5:$AU$501,3,))*$E185)</f>
        <v>0</v>
      </c>
      <c r="T185" s="65">
        <f>IF(VLOOKUP($D185,$C$5:$AU$501,3,)=0,0,(VLOOKUP($D185,$C$5:$AU$501,18,)/VLOOKUP($D185,$C$5:$AU$501,3,))*$E185)</f>
        <v>0</v>
      </c>
      <c r="U185" s="65">
        <f>IF(VLOOKUP($D185,$C$5:$AU$501,3,)=0,0,(VLOOKUP($D185,$C$5:$AU$501,19,)/VLOOKUP($D185,$C$5:$AU$501,3,))*$E185)</f>
        <v>0</v>
      </c>
      <c r="V185" s="65">
        <f>IF(VLOOKUP($D185,$C$5:$AU$501,3,)=0,0,(VLOOKUP($D185,$C$5:$AU$501,20,)/VLOOKUP($D185,$C$5:$AU$501,3,))*$E185)</f>
        <v>0</v>
      </c>
      <c r="W185" s="65">
        <f>IF(VLOOKUP($D185,$C$5:$AU$501,3,)=0,0,(VLOOKUP($D185,$C$5:$AU$501,21,)/VLOOKUP($D185,$C$5:$AU$501,3,))*$E185)</f>
        <v>0</v>
      </c>
      <c r="X185" s="65">
        <f>IF(VLOOKUP($D185,$C$5:$AU$501,3,)=0,0,(VLOOKUP($D185,$C$5:$AU$501,22,)/VLOOKUP($D185,$C$5:$AU$501,3,))*$E185)</f>
        <v>0</v>
      </c>
      <c r="Y185" s="65">
        <f>IF(VLOOKUP($D185,$C$5:$AU$501,3,)=0,0,(VLOOKUP($D185,$C$5:$AU$501,23,)/VLOOKUP($D185,$C$5:$AU$501,3,))*$E185)</f>
        <v>0</v>
      </c>
      <c r="Z185" s="65">
        <f>IF(VLOOKUP($D185,$C$5:$AU$501,3,)=0,0,(VLOOKUP($D185,$C$5:$AU$501,24,)/VLOOKUP($D185,$C$5:$AU$501,3,))*$E185)</f>
        <v>0</v>
      </c>
      <c r="AA185" s="65">
        <f>IF(VLOOKUP($D185,$C$5:$AU$501,3,)=0,0,(VLOOKUP($D185,$C$5:$AU$501,25,)/VLOOKUP($D185,$C$5:$AU$501,3,))*$E185)</f>
        <v>0</v>
      </c>
      <c r="AB185" s="65">
        <f>IF(VLOOKUP($D185,$C$5:$AU$501,3,)=0,0,(VLOOKUP($D185,$C$5:$AU$501,26,)/VLOOKUP($D185,$C$5:$AU$501,3,))*$E185)</f>
        <v>0</v>
      </c>
      <c r="AC185" s="65">
        <f>IF(VLOOKUP($D185,$C$5:$AU$501,3,)=0,0,(VLOOKUP($D185,$C$5:$AU$501,27,)/VLOOKUP($D185,$C$5:$AU$501,3,))*$E185)</f>
        <v>0</v>
      </c>
      <c r="AD185" s="65">
        <f>IF(VLOOKUP($D185,$C$5:$AU$501,3,)=0,0,(VLOOKUP($D185,$C$5:$AU$501,28,)/VLOOKUP($D185,$C$5:$AU$501,3,))*$E185)</f>
        <v>0</v>
      </c>
      <c r="AE185" s="65">
        <f>IF(VLOOKUP($D185,$C$5:$AU$501,3,)=0,0,(VLOOKUP($D185,$C$5:$AU$501,29,)/VLOOKUP($D185,$C$5:$AU$501,3,))*$E185)</f>
        <v>0</v>
      </c>
      <c r="AF185" s="65">
        <f>IF(VLOOKUP($D185,$C$5:$AU$501,3,)=0,0,(VLOOKUP($D185,$C$5:$AU$501,30,)/VLOOKUP($D185,$C$5:$AU$501,3,))*$E185)</f>
        <v>0</v>
      </c>
      <c r="AG185" s="90">
        <f>SUM(F185:AF185)</f>
        <v>56733.867485330687</v>
      </c>
      <c r="AH185" s="29" t="str">
        <f>IF(ABS(E185-AG185)&lt;0.01,"ok","err")</f>
        <v>ok</v>
      </c>
    </row>
    <row r="186" spans="1:34" x14ac:dyDescent="0.2">
      <c r="E186" s="255"/>
    </row>
    <row r="187" spans="1:34" x14ac:dyDescent="0.2">
      <c r="A187" s="13" t="s">
        <v>545</v>
      </c>
      <c r="E187" s="255"/>
    </row>
    <row r="188" spans="1:34" x14ac:dyDescent="0.2">
      <c r="A188" s="93" t="s">
        <v>221</v>
      </c>
      <c r="C188" s="14" t="s">
        <v>284</v>
      </c>
      <c r="D188" s="14" t="s">
        <v>234</v>
      </c>
      <c r="E188" s="254">
        <f>'Func &amp; Classif'!Y465</f>
        <v>1256722.3389990132</v>
      </c>
      <c r="F188" s="65">
        <f>IF(VLOOKUP($D188,$C$5:$AU$501,3,)=0,0,(VLOOKUP($D188,$C$5:$AU$501,4,)/VLOOKUP($D188,$C$5:$AU$501,3,))*$E188)</f>
        <v>1167469.6662127792</v>
      </c>
      <c r="G188" s="65">
        <f>IF(VLOOKUP($D188,$C$5:$AU$501,3,)=0,0,(VLOOKUP($D188,$C$5:$AU$501,5,)/VLOOKUP($D188,$C$5:$AU$501,3,))*$E188)</f>
        <v>72607.60813871189</v>
      </c>
      <c r="H188" s="65">
        <f>IF(VLOOKUP($D188,$C$5:$AU$501,3,)=0,0,(VLOOKUP($D188,$C$5:$AU$501,6,)/VLOOKUP($D188,$C$5:$AU$501,3,))*$E188)</f>
        <v>16046.321314877503</v>
      </c>
      <c r="I188" s="65">
        <f>IF(VLOOKUP($D188,$C$5:$AU$501,3,)=0,0,(VLOOKUP($D188,$C$5:$AU$501,7,)/VLOOKUP($D188,$C$5:$AU$501,3,))*$E188)</f>
        <v>159.66488870524876</v>
      </c>
      <c r="J188" s="65">
        <f>IF(VLOOKUP($D188,$C$5:$AU$501,3,)=0,0,(VLOOKUP($D188,$C$5:$AU$501,8,)/VLOOKUP($D188,$C$5:$AU$501,3,))*$E188)</f>
        <v>199.58111088156099</v>
      </c>
      <c r="K188" s="65">
        <f>IF(VLOOKUP($D188,$C$5:$AU$501,3,)=0,0,(VLOOKUP($D188,$C$5:$AU$501,9,)/VLOOKUP($D188,$C$5:$AU$501,3,))*$E188)</f>
        <v>0</v>
      </c>
      <c r="L188" s="65">
        <f>IF(VLOOKUP($D188,$C$5:$AU$501,3,)=0,0,(VLOOKUP($D188,$C$5:$AU$501,10,)/VLOOKUP($D188,$C$5:$AU$501,3,))*$E188)</f>
        <v>239.49733305787319</v>
      </c>
      <c r="M188" s="65">
        <f>IF(VLOOKUP($D188,$C$5:$AU$501,3,)=0,0,(VLOOKUP($D188,$C$5:$AU$501,11,)/VLOOKUP($D188,$C$5:$AU$501,3,))*$E188)</f>
        <v>0</v>
      </c>
      <c r="N188" s="65">
        <f>IF(VLOOKUP($D188,$C$5:$AU$501,3,)=0,0,(VLOOKUP($D188,$C$5:$AU$501,12,)/VLOOKUP($D188,$C$5:$AU$501,3,))*$E188)</f>
        <v>0</v>
      </c>
      <c r="O188" s="65">
        <f>IF(VLOOKUP($D188,$C$5:$AU$501,3,)=0,0,(VLOOKUP($D188,$C$5:$AU$501,13,)/VLOOKUP($D188,$C$5:$AU$501,3,))*$E188)</f>
        <v>0</v>
      </c>
      <c r="P188" s="65">
        <f>IF(VLOOKUP($D188,$C$5:$AU$501,3,)=0,0,(VLOOKUP($D188,$C$5:$AU$501,14,)/VLOOKUP($D188,$C$5:$AU$501,3,))*$E188)</f>
        <v>0</v>
      </c>
      <c r="Q188" s="65">
        <f>IF(VLOOKUP($D188,$C$5:$AU$501,3,)=0,0,(VLOOKUP($D188,$C$5:$AU$501,15,)/VLOOKUP($D188,$C$5:$AU$501,3,))*$E188)</f>
        <v>0</v>
      </c>
      <c r="R188" s="65">
        <f>IF(VLOOKUP($D188,$C$5:$AU$501,3,)=0,0,(VLOOKUP($D188,$C$5:$AU$501,16,)/VLOOKUP($D188,$C$5:$AU$501,3,))*$E188)</f>
        <v>0</v>
      </c>
      <c r="S188" s="65">
        <f>IF(VLOOKUP($D188,$C$5:$AU$501,3,)=0,0,(VLOOKUP($D188,$C$5:$AU$501,17,)/VLOOKUP($D188,$C$5:$AU$501,3,))*$E188)</f>
        <v>0</v>
      </c>
      <c r="T188" s="65">
        <f>IF(VLOOKUP($D188,$C$5:$AU$501,3,)=0,0,(VLOOKUP($D188,$C$5:$AU$501,18,)/VLOOKUP($D188,$C$5:$AU$501,3,))*$E188)</f>
        <v>0</v>
      </c>
      <c r="U188" s="65">
        <f>IF(VLOOKUP($D188,$C$5:$AU$501,3,)=0,0,(VLOOKUP($D188,$C$5:$AU$501,19,)/VLOOKUP($D188,$C$5:$AU$501,3,))*$E188)</f>
        <v>0</v>
      </c>
      <c r="V188" s="65">
        <f>IF(VLOOKUP($D188,$C$5:$AU$501,3,)=0,0,(VLOOKUP($D188,$C$5:$AU$501,20,)/VLOOKUP($D188,$C$5:$AU$501,3,))*$E188)</f>
        <v>0</v>
      </c>
      <c r="W188" s="65">
        <f>IF(VLOOKUP($D188,$C$5:$AU$501,3,)=0,0,(VLOOKUP($D188,$C$5:$AU$501,21,)/VLOOKUP($D188,$C$5:$AU$501,3,))*$E188)</f>
        <v>0</v>
      </c>
      <c r="X188" s="65">
        <f>IF(VLOOKUP($D188,$C$5:$AU$501,3,)=0,0,(VLOOKUP($D188,$C$5:$AU$501,22,)/VLOOKUP($D188,$C$5:$AU$501,3,))*$E188)</f>
        <v>0</v>
      </c>
      <c r="Y188" s="65">
        <f>IF(VLOOKUP($D188,$C$5:$AU$501,3,)=0,0,(VLOOKUP($D188,$C$5:$AU$501,23,)/VLOOKUP($D188,$C$5:$AU$501,3,))*$E188)</f>
        <v>0</v>
      </c>
      <c r="Z188" s="65">
        <f>IF(VLOOKUP($D188,$C$5:$AU$501,3,)=0,0,(VLOOKUP($D188,$C$5:$AU$501,24,)/VLOOKUP($D188,$C$5:$AU$501,3,))*$E188)</f>
        <v>0</v>
      </c>
      <c r="AA188" s="65">
        <f>IF(VLOOKUP($D188,$C$5:$AU$501,3,)=0,0,(VLOOKUP($D188,$C$5:$AU$501,25,)/VLOOKUP($D188,$C$5:$AU$501,3,))*$E188)</f>
        <v>0</v>
      </c>
      <c r="AB188" s="65">
        <f>IF(VLOOKUP($D188,$C$5:$AU$501,3,)=0,0,(VLOOKUP($D188,$C$5:$AU$501,26,)/VLOOKUP($D188,$C$5:$AU$501,3,))*$E188)</f>
        <v>0</v>
      </c>
      <c r="AC188" s="65">
        <f>IF(VLOOKUP($D188,$C$5:$AU$501,3,)=0,0,(VLOOKUP($D188,$C$5:$AU$501,27,)/VLOOKUP($D188,$C$5:$AU$501,3,))*$E188)</f>
        <v>0</v>
      </c>
      <c r="AD188" s="65">
        <f>IF(VLOOKUP($D188,$C$5:$AU$501,3,)=0,0,(VLOOKUP($D188,$C$5:$AU$501,28,)/VLOOKUP($D188,$C$5:$AU$501,3,))*$E188)</f>
        <v>0</v>
      </c>
      <c r="AE188" s="65">
        <f>IF(VLOOKUP($D188,$C$5:$AU$501,3,)=0,0,(VLOOKUP($D188,$C$5:$AU$501,29,)/VLOOKUP($D188,$C$5:$AU$501,3,))*$E188)</f>
        <v>0</v>
      </c>
      <c r="AF188" s="65">
        <f>IF(VLOOKUP($D188,$C$5:$AU$501,3,)=0,0,(VLOOKUP($D188,$C$5:$AU$501,30,)/VLOOKUP($D188,$C$5:$AU$501,3,))*$E188)</f>
        <v>0</v>
      </c>
      <c r="AG188" s="90">
        <f>SUM(F188:AF188)</f>
        <v>1256722.3389990136</v>
      </c>
      <c r="AH188" s="29" t="str">
        <f>IF(ABS(E188-AG188)&lt;0.01,"ok","err")</f>
        <v>ok</v>
      </c>
    </row>
    <row r="189" spans="1:34" x14ac:dyDescent="0.2">
      <c r="E189" s="255"/>
    </row>
    <row r="190" spans="1:34" x14ac:dyDescent="0.2">
      <c r="A190" s="13" t="s">
        <v>470</v>
      </c>
      <c r="E190" s="255"/>
    </row>
    <row r="191" spans="1:34" x14ac:dyDescent="0.2">
      <c r="A191" s="93" t="s">
        <v>221</v>
      </c>
      <c r="C191" s="14" t="s">
        <v>281</v>
      </c>
      <c r="D191" s="14" t="s">
        <v>235</v>
      </c>
      <c r="E191" s="254">
        <f>'Func &amp; Classif'!AA465</f>
        <v>-524.13018775943067</v>
      </c>
      <c r="F191" s="65">
        <f>IF(VLOOKUP($D191,$C$5:$AU$501,3,)=0,0,(VLOOKUP($D191,$C$5:$AU$501,4,)/VLOOKUP($D191,$C$5:$AU$501,3,))*$E191)</f>
        <v>-486.99916549932743</v>
      </c>
      <c r="G191" s="65">
        <f>IF(VLOOKUP($D191,$C$5:$AU$501,3,)=0,0,(VLOOKUP($D191,$C$5:$AU$501,5,)/VLOOKUP($D191,$C$5:$AU$501,3,))*$E191)</f>
        <v>-30.287591700057323</v>
      </c>
      <c r="H191" s="65">
        <f>IF(VLOOKUP($D191,$C$5:$AU$501,3,)=0,0,(VLOOKUP($D191,$C$5:$AU$501,6,)/VLOOKUP($D191,$C$5:$AU$501,3,))*$E191)</f>
        <v>-6.6935744163952959</v>
      </c>
      <c r="I191" s="65">
        <f>IF(VLOOKUP($D191,$C$5:$AU$501,3,)=0,0,(VLOOKUP($D191,$C$5:$AU$501,7,)/VLOOKUP($D191,$C$5:$AU$501,3,))*$E191)</f>
        <v>-6.660273051139598E-2</v>
      </c>
      <c r="J191" s="65">
        <f>IF(VLOOKUP($D191,$C$5:$AU$501,3,)=0,0,(VLOOKUP($D191,$C$5:$AU$501,8,)/VLOOKUP($D191,$C$5:$AU$501,3,))*$E191)</f>
        <v>-8.3253413139244975E-2</v>
      </c>
      <c r="K191" s="65">
        <f>IF(VLOOKUP($D191,$C$5:$AU$501,3,)=0,0,(VLOOKUP($D191,$C$5:$AU$501,9,)/VLOOKUP($D191,$C$5:$AU$501,3,))*$E191)</f>
        <v>0</v>
      </c>
      <c r="L191" s="65">
        <f>IF(VLOOKUP($D191,$C$5:$AU$501,3,)=0,0,(VLOOKUP($D191,$C$5:$AU$501,10,)/VLOOKUP($D191,$C$5:$AU$501,3,))*$E191)</f>
        <v>0</v>
      </c>
      <c r="M191" s="65">
        <f>IF(VLOOKUP($D191,$C$5:$AU$501,3,)=0,0,(VLOOKUP($D191,$C$5:$AU$501,11,)/VLOOKUP($D191,$C$5:$AU$501,3,))*$E191)</f>
        <v>0</v>
      </c>
      <c r="N191" s="65">
        <f>IF(VLOOKUP($D191,$C$5:$AU$501,3,)=0,0,(VLOOKUP($D191,$C$5:$AU$501,12,)/VLOOKUP($D191,$C$5:$AU$501,3,))*$E191)</f>
        <v>0</v>
      </c>
      <c r="O191" s="65">
        <f>IF(VLOOKUP($D191,$C$5:$AU$501,3,)=0,0,(VLOOKUP($D191,$C$5:$AU$501,13,)/VLOOKUP($D191,$C$5:$AU$501,3,))*$E191)</f>
        <v>0</v>
      </c>
      <c r="P191" s="65">
        <f>IF(VLOOKUP($D191,$C$5:$AU$501,3,)=0,0,(VLOOKUP($D191,$C$5:$AU$501,14,)/VLOOKUP($D191,$C$5:$AU$501,3,))*$E191)</f>
        <v>0</v>
      </c>
      <c r="Q191" s="65">
        <f>IF(VLOOKUP($D191,$C$5:$AU$501,3,)=0,0,(VLOOKUP($D191,$C$5:$AU$501,15,)/VLOOKUP($D191,$C$5:$AU$501,3,))*$E191)</f>
        <v>0</v>
      </c>
      <c r="R191" s="65">
        <f>IF(VLOOKUP($D191,$C$5:$AU$501,3,)=0,0,(VLOOKUP($D191,$C$5:$AU$501,16,)/VLOOKUP($D191,$C$5:$AU$501,3,))*$E191)</f>
        <v>0</v>
      </c>
      <c r="S191" s="65">
        <f>IF(VLOOKUP($D191,$C$5:$AU$501,3,)=0,0,(VLOOKUP($D191,$C$5:$AU$501,17,)/VLOOKUP($D191,$C$5:$AU$501,3,))*$E191)</f>
        <v>0</v>
      </c>
      <c r="T191" s="65">
        <f>IF(VLOOKUP($D191,$C$5:$AU$501,3,)=0,0,(VLOOKUP($D191,$C$5:$AU$501,18,)/VLOOKUP($D191,$C$5:$AU$501,3,))*$E191)</f>
        <v>0</v>
      </c>
      <c r="U191" s="65">
        <f>IF(VLOOKUP($D191,$C$5:$AU$501,3,)=0,0,(VLOOKUP($D191,$C$5:$AU$501,19,)/VLOOKUP($D191,$C$5:$AU$501,3,))*$E191)</f>
        <v>0</v>
      </c>
      <c r="V191" s="65">
        <f>IF(VLOOKUP($D191,$C$5:$AU$501,3,)=0,0,(VLOOKUP($D191,$C$5:$AU$501,20,)/VLOOKUP($D191,$C$5:$AU$501,3,))*$E191)</f>
        <v>0</v>
      </c>
      <c r="W191" s="65">
        <f>IF(VLOOKUP($D191,$C$5:$AU$501,3,)=0,0,(VLOOKUP($D191,$C$5:$AU$501,21,)/VLOOKUP($D191,$C$5:$AU$501,3,))*$E191)</f>
        <v>0</v>
      </c>
      <c r="X191" s="65">
        <f>IF(VLOOKUP($D191,$C$5:$AU$501,3,)=0,0,(VLOOKUP($D191,$C$5:$AU$501,22,)/VLOOKUP($D191,$C$5:$AU$501,3,))*$E191)</f>
        <v>0</v>
      </c>
      <c r="Y191" s="65">
        <f>IF(VLOOKUP($D191,$C$5:$AU$501,3,)=0,0,(VLOOKUP($D191,$C$5:$AU$501,23,)/VLOOKUP($D191,$C$5:$AU$501,3,))*$E191)</f>
        <v>0</v>
      </c>
      <c r="Z191" s="65">
        <f>IF(VLOOKUP($D191,$C$5:$AU$501,3,)=0,0,(VLOOKUP($D191,$C$5:$AU$501,24,)/VLOOKUP($D191,$C$5:$AU$501,3,))*$E191)</f>
        <v>0</v>
      </c>
      <c r="AA191" s="65">
        <f>IF(VLOOKUP($D191,$C$5:$AU$501,3,)=0,0,(VLOOKUP($D191,$C$5:$AU$501,25,)/VLOOKUP($D191,$C$5:$AU$501,3,))*$E191)</f>
        <v>0</v>
      </c>
      <c r="AB191" s="65">
        <f>IF(VLOOKUP($D191,$C$5:$AU$501,3,)=0,0,(VLOOKUP($D191,$C$5:$AU$501,26,)/VLOOKUP($D191,$C$5:$AU$501,3,))*$E191)</f>
        <v>0</v>
      </c>
      <c r="AC191" s="65">
        <f>IF(VLOOKUP($D191,$C$5:$AU$501,3,)=0,0,(VLOOKUP($D191,$C$5:$AU$501,27,)/VLOOKUP($D191,$C$5:$AU$501,3,))*$E191)</f>
        <v>0</v>
      </c>
      <c r="AD191" s="65">
        <f>IF(VLOOKUP($D191,$C$5:$AU$501,3,)=0,0,(VLOOKUP($D191,$C$5:$AU$501,28,)/VLOOKUP($D191,$C$5:$AU$501,3,))*$E191)</f>
        <v>0</v>
      </c>
      <c r="AE191" s="65">
        <f>IF(VLOOKUP($D191,$C$5:$AU$501,3,)=0,0,(VLOOKUP($D191,$C$5:$AU$501,29,)/VLOOKUP($D191,$C$5:$AU$501,3,))*$E191)</f>
        <v>0</v>
      </c>
      <c r="AF191" s="65">
        <f>IF(VLOOKUP($D191,$C$5:$AU$501,3,)=0,0,(VLOOKUP($D191,$C$5:$AU$501,30,)/VLOOKUP($D191,$C$5:$AU$501,3,))*$E191)</f>
        <v>0</v>
      </c>
      <c r="AG191" s="90">
        <f>SUM(F191:AF191)</f>
        <v>-524.13018775943067</v>
      </c>
      <c r="AH191" s="29" t="str">
        <f>IF(ABS(E191-AG191)&lt;0.01,"ok","err")</f>
        <v>ok</v>
      </c>
    </row>
    <row r="192" spans="1:34" x14ac:dyDescent="0.2">
      <c r="E192" s="255"/>
    </row>
    <row r="193" spans="1:34" x14ac:dyDescent="0.2">
      <c r="A193" s="14" t="s">
        <v>0</v>
      </c>
      <c r="C193" s="14" t="s">
        <v>285</v>
      </c>
      <c r="E193" s="254">
        <f>E163+E166+E169+E174+E179+E182+E185+E188+E191</f>
        <v>5033657.2200000007</v>
      </c>
      <c r="F193" s="65">
        <f t="shared" ref="F193:R193" si="39">F163+F166+F169+F174+F179+F182+F185+F188+F191</f>
        <v>4430858.6697611874</v>
      </c>
      <c r="G193" s="65">
        <f t="shared" si="39"/>
        <v>287328.667765586</v>
      </c>
      <c r="H193" s="65">
        <f t="shared" si="39"/>
        <v>211614.97258076316</v>
      </c>
      <c r="I193" s="65">
        <f t="shared" si="39"/>
        <v>4786.2180425429051</v>
      </c>
      <c r="J193" s="65">
        <f t="shared" si="39"/>
        <v>25707.967641721698</v>
      </c>
      <c r="K193" s="65">
        <f t="shared" si="39"/>
        <v>66229.444518247372</v>
      </c>
      <c r="L193" s="65">
        <f t="shared" si="39"/>
        <v>7131.2796899513751</v>
      </c>
      <c r="M193" s="65">
        <f t="shared" si="39"/>
        <v>0</v>
      </c>
      <c r="N193" s="65">
        <f t="shared" si="39"/>
        <v>0</v>
      </c>
      <c r="O193" s="65">
        <f t="shared" si="39"/>
        <v>0</v>
      </c>
      <c r="P193" s="65">
        <f t="shared" si="39"/>
        <v>0</v>
      </c>
      <c r="Q193" s="65">
        <f t="shared" si="39"/>
        <v>0</v>
      </c>
      <c r="R193" s="65">
        <f t="shared" si="39"/>
        <v>0</v>
      </c>
      <c r="S193" s="65">
        <f t="shared" ref="S193:AF193" si="40">S163+S169+S174+S179+S182+S185+S188+S191</f>
        <v>0</v>
      </c>
      <c r="T193" s="65">
        <f t="shared" si="40"/>
        <v>0</v>
      </c>
      <c r="U193" s="65">
        <f t="shared" si="40"/>
        <v>0</v>
      </c>
      <c r="V193" s="65">
        <f t="shared" si="40"/>
        <v>0</v>
      </c>
      <c r="W193" s="65">
        <f t="shared" si="40"/>
        <v>0</v>
      </c>
      <c r="X193" s="65">
        <f t="shared" si="40"/>
        <v>0</v>
      </c>
      <c r="Y193" s="65">
        <f t="shared" si="40"/>
        <v>0</v>
      </c>
      <c r="Z193" s="65">
        <f t="shared" si="40"/>
        <v>0</v>
      </c>
      <c r="AA193" s="65">
        <f t="shared" si="40"/>
        <v>0</v>
      </c>
      <c r="AB193" s="65">
        <f t="shared" si="40"/>
        <v>0</v>
      </c>
      <c r="AC193" s="65">
        <f t="shared" si="40"/>
        <v>0</v>
      </c>
      <c r="AD193" s="65">
        <f t="shared" si="40"/>
        <v>0</v>
      </c>
      <c r="AE193" s="65">
        <f t="shared" si="40"/>
        <v>0</v>
      </c>
      <c r="AF193" s="65">
        <f t="shared" si="40"/>
        <v>0</v>
      </c>
      <c r="AG193" s="90">
        <f>SUM(F193:AF193)</f>
        <v>5033657.2200000007</v>
      </c>
      <c r="AH193" s="29" t="str">
        <f>IF(ABS(E193-AG193)&lt;0.01,"ok","err")</f>
        <v>ok</v>
      </c>
    </row>
    <row r="196" spans="1:34" x14ac:dyDescent="0.2">
      <c r="A196" s="27" t="s">
        <v>185</v>
      </c>
    </row>
    <row r="198" spans="1:34" x14ac:dyDescent="0.2">
      <c r="A198" s="13" t="s">
        <v>896</v>
      </c>
    </row>
    <row r="199" spans="1:34" x14ac:dyDescent="0.2">
      <c r="A199" s="93" t="s">
        <v>209</v>
      </c>
      <c r="C199" s="14" t="s">
        <v>286</v>
      </c>
      <c r="D199" s="14" t="s">
        <v>657</v>
      </c>
      <c r="E199" s="254">
        <f>'Func &amp; Classif'!H312</f>
        <v>0</v>
      </c>
      <c r="F199" s="65">
        <f>IF(VLOOKUP($D199,$C$5:$AU$501,3,)=0,0,(VLOOKUP($D199,$C$5:$AU$501,4,)/VLOOKUP($D199,$C$5:$AU$501,3,))*$E199)</f>
        <v>0</v>
      </c>
      <c r="G199" s="65">
        <f>IF(VLOOKUP($D199,$C$5:$AU$501,3,)=0,0,(VLOOKUP($D199,$C$5:$AU$501,5,)/VLOOKUP($D199,$C$5:$AU$501,3,))*$E199)</f>
        <v>0</v>
      </c>
      <c r="H199" s="65">
        <f>IF(VLOOKUP($D199,$C$5:$AU$501,3,)=0,0,(VLOOKUP($D199,$C$5:$AU$501,6,)/VLOOKUP($D199,$C$5:$AU$501,3,))*$E199)</f>
        <v>0</v>
      </c>
      <c r="I199" s="65">
        <f>IF(VLOOKUP($D199,$C$5:$AU$501,3,)=0,0,(VLOOKUP($D199,$C$5:$AU$501,7,)/VLOOKUP($D199,$C$5:$AU$501,3,))*$E199)</f>
        <v>0</v>
      </c>
      <c r="J199" s="65">
        <f>IF(VLOOKUP($D199,$C$5:$AU$501,3,)=0,0,(VLOOKUP($D199,$C$5:$AU$501,8,)/VLOOKUP($D199,$C$5:$AU$501,3,))*$E199)</f>
        <v>0</v>
      </c>
      <c r="K199" s="65">
        <f>IF(VLOOKUP($D199,$C$5:$AU$501,3,)=0,0,(VLOOKUP($D199,$C$5:$AU$501,9,)/VLOOKUP($D199,$C$5:$AU$501,3,))*$E199)</f>
        <v>0</v>
      </c>
      <c r="L199" s="65">
        <f>IF(VLOOKUP($D199,$C$5:$AU$501,3,)=0,0,(VLOOKUP($D199,$C$5:$AU$501,10,)/VLOOKUP($D199,$C$5:$AU$501,3,))*$E199)</f>
        <v>0</v>
      </c>
      <c r="M199" s="65">
        <f>IF(VLOOKUP($D199,$C$5:$AU$501,3,)=0,0,(VLOOKUP($D199,$C$5:$AU$501,11,)/VLOOKUP($D199,$C$5:$AU$501,3,))*$E199)</f>
        <v>0</v>
      </c>
      <c r="N199" s="65">
        <f>IF(VLOOKUP($D199,$C$5:$AU$501,3,)=0,0,(VLOOKUP($D199,$C$5:$AU$501,12,)/VLOOKUP($D199,$C$5:$AU$501,3,))*$E199)</f>
        <v>0</v>
      </c>
      <c r="O199" s="65">
        <f>IF(VLOOKUP($D199,$C$5:$AU$501,3,)=0,0,(VLOOKUP($D199,$C$5:$AU$501,13,)/VLOOKUP($D199,$C$5:$AU$501,3,))*$E199)</f>
        <v>0</v>
      </c>
      <c r="P199" s="65">
        <f>IF(VLOOKUP($D199,$C$5:$AU$501,3,)=0,0,(VLOOKUP($D199,$C$5:$AU$501,14,)/VLOOKUP($D199,$C$5:$AU$501,3,))*$E199)</f>
        <v>0</v>
      </c>
      <c r="Q199" s="65">
        <f>IF(VLOOKUP($D199,$C$5:$AU$501,3,)=0,0,(VLOOKUP($D199,$C$5:$AU$501,15,)/VLOOKUP($D199,$C$5:$AU$501,3,))*$E199)</f>
        <v>0</v>
      </c>
      <c r="R199" s="65">
        <f>IF(VLOOKUP($D199,$C$5:$AU$501,3,)=0,0,(VLOOKUP($D199,$C$5:$AU$501,16,)/VLOOKUP($D199,$C$5:$AU$501,3,))*$E199)</f>
        <v>0</v>
      </c>
      <c r="S199" s="65">
        <f>IF(VLOOKUP($D199,$C$5:$AU$501,3,)=0,0,(VLOOKUP($D199,$C$5:$AU$501,17,)/VLOOKUP($D199,$C$5:$AU$501,3,))*$E199)</f>
        <v>0</v>
      </c>
      <c r="T199" s="65">
        <f>IF(VLOOKUP($D199,$C$5:$AU$501,3,)=0,0,(VLOOKUP($D199,$C$5:$AU$501,18,)/VLOOKUP($D199,$C$5:$AU$501,3,))*$E199)</f>
        <v>0</v>
      </c>
      <c r="U199" s="65">
        <f>IF(VLOOKUP($D199,$C$5:$AU$501,3,)=0,0,(VLOOKUP($D199,$C$5:$AU$501,19,)/VLOOKUP($D199,$C$5:$AU$501,3,))*$E199)</f>
        <v>0</v>
      </c>
      <c r="V199" s="65">
        <f>IF(VLOOKUP($D199,$C$5:$AU$501,3,)=0,0,(VLOOKUP($D199,$C$5:$AU$501,20,)/VLOOKUP($D199,$C$5:$AU$501,3,))*$E199)</f>
        <v>0</v>
      </c>
      <c r="W199" s="65">
        <f>IF(VLOOKUP($D199,$C$5:$AU$501,3,)=0,0,(VLOOKUP($D199,$C$5:$AU$501,21,)/VLOOKUP($D199,$C$5:$AU$501,3,))*$E199)</f>
        <v>0</v>
      </c>
      <c r="X199" s="65">
        <f>IF(VLOOKUP($D199,$C$5:$AU$501,3,)=0,0,(VLOOKUP($D199,$C$5:$AU$501,22,)/VLOOKUP($D199,$C$5:$AU$501,3,))*$E199)</f>
        <v>0</v>
      </c>
      <c r="Y199" s="65">
        <f>IF(VLOOKUP($D199,$C$5:$AU$501,3,)=0,0,(VLOOKUP($D199,$C$5:$AU$501,23,)/VLOOKUP($D199,$C$5:$AU$501,3,))*$E199)</f>
        <v>0</v>
      </c>
      <c r="Z199" s="65">
        <f>IF(VLOOKUP($D199,$C$5:$AU$501,3,)=0,0,(VLOOKUP($D199,$C$5:$AU$501,24,)/VLOOKUP($D199,$C$5:$AU$501,3,))*$E199)</f>
        <v>0</v>
      </c>
      <c r="AA199" s="65">
        <f>IF(VLOOKUP($D199,$C$5:$AU$501,3,)=0,0,(VLOOKUP($D199,$C$5:$AU$501,25,)/VLOOKUP($D199,$C$5:$AU$501,3,))*$E199)</f>
        <v>0</v>
      </c>
      <c r="AB199" s="65">
        <f>IF(VLOOKUP($D199,$C$5:$AU$501,3,)=0,0,(VLOOKUP($D199,$C$5:$AU$501,26,)/VLOOKUP($D199,$C$5:$AU$501,3,))*$E199)</f>
        <v>0</v>
      </c>
      <c r="AC199" s="65">
        <f>IF(VLOOKUP($D199,$C$5:$AU$501,3,)=0,0,(VLOOKUP($D199,$C$5:$AU$501,27,)/VLOOKUP($D199,$C$5:$AU$501,3,))*$E199)</f>
        <v>0</v>
      </c>
      <c r="AD199" s="65">
        <f>IF(VLOOKUP($D199,$C$5:$AU$501,3,)=0,0,(VLOOKUP($D199,$C$5:$AU$501,28,)/VLOOKUP($D199,$C$5:$AU$501,3,))*$E199)</f>
        <v>0</v>
      </c>
      <c r="AE199" s="65">
        <f>IF(VLOOKUP($D199,$C$5:$AU$501,3,)=0,0,(VLOOKUP($D199,$C$5:$AU$501,29,)/VLOOKUP($D199,$C$5:$AU$501,3,))*$E199)</f>
        <v>0</v>
      </c>
      <c r="AF199" s="65">
        <f>IF(VLOOKUP($D199,$C$5:$AU$501,3,)=0,0,(VLOOKUP($D199,$C$5:$AU$501,30,)/VLOOKUP($D199,$C$5:$AU$501,3,))*$E199)</f>
        <v>0</v>
      </c>
      <c r="AG199" s="90">
        <f>SUM(F199:AF199)</f>
        <v>0</v>
      </c>
      <c r="AH199" s="29" t="str">
        <f>IF(ABS(E199-AG199)&lt;0.01,"ok","err")</f>
        <v>ok</v>
      </c>
    </row>
    <row r="200" spans="1:34" x14ac:dyDescent="0.2">
      <c r="A200" s="93" t="s">
        <v>212</v>
      </c>
      <c r="C200" s="14" t="s">
        <v>287</v>
      </c>
      <c r="D200" s="14" t="s">
        <v>666</v>
      </c>
      <c r="E200" s="255">
        <f>'Func &amp; Classif'!I312</f>
        <v>0</v>
      </c>
      <c r="F200" s="65">
        <f>IF(VLOOKUP($D200,$C$5:$AU$501,3,)=0,0,(VLOOKUP($D200,$C$5:$AU$501,4,)/VLOOKUP($D200,$C$5:$AU$501,3,))*$E200)</f>
        <v>0</v>
      </c>
      <c r="G200" s="65">
        <f>IF(VLOOKUP($D200,$C$5:$AU$501,3,)=0,0,(VLOOKUP($D200,$C$5:$AU$501,5,)/VLOOKUP($D200,$C$5:$AU$501,3,))*$E200)</f>
        <v>0</v>
      </c>
      <c r="H200" s="65">
        <f>IF(VLOOKUP($D200,$C$5:$AU$501,3,)=0,0,(VLOOKUP($D200,$C$5:$AU$501,6,)/VLOOKUP($D200,$C$5:$AU$501,3,))*$E200)</f>
        <v>0</v>
      </c>
      <c r="I200" s="65">
        <f>IF(VLOOKUP($D200,$C$5:$AU$501,3,)=0,0,(VLOOKUP($D200,$C$5:$AU$501,7,)/VLOOKUP($D200,$C$5:$AU$501,3,))*$E200)</f>
        <v>0</v>
      </c>
      <c r="J200" s="65">
        <f>IF(VLOOKUP($D200,$C$5:$AU$501,3,)=0,0,(VLOOKUP($D200,$C$5:$AU$501,8,)/VLOOKUP($D200,$C$5:$AU$501,3,))*$E200)</f>
        <v>0</v>
      </c>
      <c r="K200" s="65">
        <f>IF(VLOOKUP($D200,$C$5:$AU$501,3,)=0,0,(VLOOKUP($D200,$C$5:$AU$501,9,)/VLOOKUP($D200,$C$5:$AU$501,3,))*$E200)</f>
        <v>0</v>
      </c>
      <c r="L200" s="65">
        <f>IF(VLOOKUP($D200,$C$5:$AU$501,3,)=0,0,(VLOOKUP($D200,$C$5:$AU$501,10,)/VLOOKUP($D200,$C$5:$AU$501,3,))*$E200)</f>
        <v>0</v>
      </c>
      <c r="M200" s="65">
        <f>IF(VLOOKUP($D200,$C$5:$AU$501,3,)=0,0,(VLOOKUP($D200,$C$5:$AU$501,11,)/VLOOKUP($D200,$C$5:$AU$501,3,))*$E200)</f>
        <v>0</v>
      </c>
      <c r="N200" s="65">
        <f>IF(VLOOKUP($D200,$C$5:$AU$501,3,)=0,0,(VLOOKUP($D200,$C$5:$AU$501,12,)/VLOOKUP($D200,$C$5:$AU$501,3,))*$E200)</f>
        <v>0</v>
      </c>
      <c r="O200" s="65">
        <f>IF(VLOOKUP($D200,$C$5:$AU$501,3,)=0,0,(VLOOKUP($D200,$C$5:$AU$501,13,)/VLOOKUP($D200,$C$5:$AU$501,3,))*$E200)</f>
        <v>0</v>
      </c>
      <c r="P200" s="65">
        <f>IF(VLOOKUP($D200,$C$5:$AU$501,3,)=0,0,(VLOOKUP($D200,$C$5:$AU$501,14,)/VLOOKUP($D200,$C$5:$AU$501,3,))*$E200)</f>
        <v>0</v>
      </c>
      <c r="Q200" s="65">
        <f>IF(VLOOKUP($D200,$C$5:$AU$501,3,)=0,0,(VLOOKUP($D200,$C$5:$AU$501,15,)/VLOOKUP($D200,$C$5:$AU$501,3,))*$E200)</f>
        <v>0</v>
      </c>
      <c r="R200" s="65">
        <f>IF(VLOOKUP($D200,$C$5:$AU$501,3,)=0,0,(VLOOKUP($D200,$C$5:$AU$501,16,)/VLOOKUP($D200,$C$5:$AU$501,3,))*$E200)</f>
        <v>0</v>
      </c>
      <c r="S200" s="65">
        <f>IF(VLOOKUP($D200,$C$5:$AU$501,3,)=0,0,(VLOOKUP($D200,$C$5:$AU$501,17,)/VLOOKUP($D200,$C$5:$AU$501,3,))*$E200)</f>
        <v>0</v>
      </c>
      <c r="T200" s="65">
        <f>IF(VLOOKUP($D200,$C$5:$AU$501,3,)=0,0,(VLOOKUP($D200,$C$5:$AU$501,18,)/VLOOKUP($D200,$C$5:$AU$501,3,))*$E200)</f>
        <v>0</v>
      </c>
      <c r="U200" s="65">
        <f>IF(VLOOKUP($D200,$C$5:$AU$501,3,)=0,0,(VLOOKUP($D200,$C$5:$AU$501,19,)/VLOOKUP($D200,$C$5:$AU$501,3,))*$E200)</f>
        <v>0</v>
      </c>
      <c r="V200" s="65">
        <f>IF(VLOOKUP($D200,$C$5:$AU$501,3,)=0,0,(VLOOKUP($D200,$C$5:$AU$501,20,)/VLOOKUP($D200,$C$5:$AU$501,3,))*$E200)</f>
        <v>0</v>
      </c>
      <c r="W200" s="65">
        <f>IF(VLOOKUP($D200,$C$5:$AU$501,3,)=0,0,(VLOOKUP($D200,$C$5:$AU$501,21,)/VLOOKUP($D200,$C$5:$AU$501,3,))*$E200)</f>
        <v>0</v>
      </c>
      <c r="X200" s="65">
        <f>IF(VLOOKUP($D200,$C$5:$AU$501,3,)=0,0,(VLOOKUP($D200,$C$5:$AU$501,22,)/VLOOKUP($D200,$C$5:$AU$501,3,))*$E200)</f>
        <v>0</v>
      </c>
      <c r="Y200" s="65">
        <f>IF(VLOOKUP($D200,$C$5:$AU$501,3,)=0,0,(VLOOKUP($D200,$C$5:$AU$501,23,)/VLOOKUP($D200,$C$5:$AU$501,3,))*$E200)</f>
        <v>0</v>
      </c>
      <c r="Z200" s="65">
        <f>IF(VLOOKUP($D200,$C$5:$AU$501,3,)=0,0,(VLOOKUP($D200,$C$5:$AU$501,24,)/VLOOKUP($D200,$C$5:$AU$501,3,))*$E200)</f>
        <v>0</v>
      </c>
      <c r="AA200" s="65">
        <f>IF(VLOOKUP($D200,$C$5:$AU$501,3,)=0,0,(VLOOKUP($D200,$C$5:$AU$501,25,)/VLOOKUP($D200,$C$5:$AU$501,3,))*$E200)</f>
        <v>0</v>
      </c>
      <c r="AB200" s="65">
        <f>IF(VLOOKUP($D200,$C$5:$AU$501,3,)=0,0,(VLOOKUP($D200,$C$5:$AU$501,26,)/VLOOKUP($D200,$C$5:$AU$501,3,))*$E200)</f>
        <v>0</v>
      </c>
      <c r="AC200" s="65">
        <f>IF(VLOOKUP($D200,$C$5:$AU$501,3,)=0,0,(VLOOKUP($D200,$C$5:$AU$501,27,)/VLOOKUP($D200,$C$5:$AU$501,3,))*$E200)</f>
        <v>0</v>
      </c>
      <c r="AD200" s="65">
        <f>IF(VLOOKUP($D200,$C$5:$AU$501,3,)=0,0,(VLOOKUP($D200,$C$5:$AU$501,28,)/VLOOKUP($D200,$C$5:$AU$501,3,))*$E200)</f>
        <v>0</v>
      </c>
      <c r="AE200" s="65">
        <f>IF(VLOOKUP($D200,$C$5:$AU$501,3,)=0,0,(VLOOKUP($D200,$C$5:$AU$501,29,)/VLOOKUP($D200,$C$5:$AU$501,3,))*$E200)</f>
        <v>0</v>
      </c>
      <c r="AF200" s="65">
        <f>IF(VLOOKUP($D200,$C$5:$AU$501,3,)=0,0,(VLOOKUP($D200,$C$5:$AU$501,30,)/VLOOKUP($D200,$C$5:$AU$501,3,))*$E200)</f>
        <v>0</v>
      </c>
      <c r="AG200" s="90">
        <f>SUM(F200:AF200)</f>
        <v>0</v>
      </c>
      <c r="AH200" s="29" t="str">
        <f>IF(ABS(E200-AG200)&lt;0.01,"ok","err")</f>
        <v>ok</v>
      </c>
    </row>
    <row r="201" spans="1:34" x14ac:dyDescent="0.2">
      <c r="A201" s="14" t="s">
        <v>215</v>
      </c>
      <c r="C201" s="14" t="s">
        <v>288</v>
      </c>
      <c r="E201" s="255">
        <f t="shared" ref="E201:T201" si="41">E199+E200</f>
        <v>0</v>
      </c>
      <c r="F201" s="65">
        <f t="shared" si="41"/>
        <v>0</v>
      </c>
      <c r="G201" s="65">
        <f t="shared" si="41"/>
        <v>0</v>
      </c>
      <c r="H201" s="65">
        <f t="shared" si="41"/>
        <v>0</v>
      </c>
      <c r="I201" s="65">
        <f t="shared" si="41"/>
        <v>0</v>
      </c>
      <c r="J201" s="65">
        <f t="shared" si="41"/>
        <v>0</v>
      </c>
      <c r="K201" s="65">
        <f t="shared" si="41"/>
        <v>0</v>
      </c>
      <c r="L201" s="65">
        <f t="shared" si="41"/>
        <v>0</v>
      </c>
      <c r="M201" s="65">
        <f t="shared" si="41"/>
        <v>0</v>
      </c>
      <c r="N201" s="65">
        <f t="shared" si="41"/>
        <v>0</v>
      </c>
      <c r="O201" s="65">
        <f t="shared" si="41"/>
        <v>0</v>
      </c>
      <c r="P201" s="65">
        <f t="shared" si="41"/>
        <v>0</v>
      </c>
      <c r="Q201" s="65">
        <f t="shared" si="41"/>
        <v>0</v>
      </c>
      <c r="R201" s="65">
        <f t="shared" si="41"/>
        <v>0</v>
      </c>
      <c r="S201" s="65">
        <f t="shared" si="41"/>
        <v>0</v>
      </c>
      <c r="T201" s="65">
        <f t="shared" si="41"/>
        <v>0</v>
      </c>
      <c r="U201" s="65">
        <f t="shared" ref="U201:AF201" si="42">U199+U200</f>
        <v>0</v>
      </c>
      <c r="V201" s="65">
        <f t="shared" si="42"/>
        <v>0</v>
      </c>
      <c r="W201" s="65">
        <f t="shared" si="42"/>
        <v>0</v>
      </c>
      <c r="X201" s="65">
        <f t="shared" si="42"/>
        <v>0</v>
      </c>
      <c r="Y201" s="65">
        <f t="shared" si="42"/>
        <v>0</v>
      </c>
      <c r="Z201" s="65">
        <f t="shared" si="42"/>
        <v>0</v>
      </c>
      <c r="AA201" s="65">
        <f t="shared" si="42"/>
        <v>0</v>
      </c>
      <c r="AB201" s="65">
        <f t="shared" si="42"/>
        <v>0</v>
      </c>
      <c r="AC201" s="65">
        <f t="shared" si="42"/>
        <v>0</v>
      </c>
      <c r="AD201" s="65">
        <f t="shared" si="42"/>
        <v>0</v>
      </c>
      <c r="AE201" s="65">
        <f t="shared" si="42"/>
        <v>0</v>
      </c>
      <c r="AF201" s="65">
        <f t="shared" si="42"/>
        <v>0</v>
      </c>
      <c r="AG201" s="90">
        <f>SUM(F201:AF201)</f>
        <v>0</v>
      </c>
      <c r="AH201" s="29" t="str">
        <f>IF(ABS(E201-AG201)&lt;0.01,"ok","err")</f>
        <v>ok</v>
      </c>
    </row>
    <row r="202" spans="1:34" x14ac:dyDescent="0.2">
      <c r="E202" s="255"/>
      <c r="F202" s="49"/>
    </row>
    <row r="203" spans="1:34" x14ac:dyDescent="0.2">
      <c r="A203" s="13" t="s">
        <v>350</v>
      </c>
      <c r="E203" s="255"/>
      <c r="F203" s="49"/>
    </row>
    <row r="204" spans="1:34" x14ac:dyDescent="0.2">
      <c r="A204" s="93" t="s">
        <v>209</v>
      </c>
      <c r="C204" s="14" t="s">
        <v>890</v>
      </c>
      <c r="D204" s="14" t="s">
        <v>599</v>
      </c>
      <c r="E204" s="254">
        <f>'Func &amp; Classif'!K312</f>
        <v>0</v>
      </c>
      <c r="F204" s="65">
        <f>IF(VLOOKUP($D204,$C$5:$AU$501,3,)=0,0,(VLOOKUP($D204,$C$5:$AU$501,4,)/VLOOKUP($D204,$C$5:$AU$501,3,))*$E204)</f>
        <v>0</v>
      </c>
      <c r="G204" s="65">
        <f>IF(VLOOKUP($D204,$C$5:$AU$501,3,)=0,0,(VLOOKUP($D204,$C$5:$AU$501,5,)/VLOOKUP($D204,$C$5:$AU$501,3,))*$E204)</f>
        <v>0</v>
      </c>
      <c r="H204" s="65">
        <f>IF(VLOOKUP($D204,$C$5:$AU$501,3,)=0,0,(VLOOKUP($D204,$C$5:$AU$501,6,)/VLOOKUP($D204,$C$5:$AU$501,3,))*$E204)</f>
        <v>0</v>
      </c>
      <c r="I204" s="65">
        <f>IF(VLOOKUP($D204,$C$5:$AU$501,3,)=0,0,(VLOOKUP($D204,$C$5:$AU$501,7,)/VLOOKUP($D204,$C$5:$AU$501,3,))*$E204)</f>
        <v>0</v>
      </c>
      <c r="J204" s="65">
        <f>IF(VLOOKUP($D204,$C$5:$AU$501,3,)=0,0,(VLOOKUP($D204,$C$5:$AU$501,8,)/VLOOKUP($D204,$C$5:$AU$501,3,))*$E204)</f>
        <v>0</v>
      </c>
      <c r="K204" s="65">
        <f>IF(VLOOKUP($D204,$C$5:$AU$501,3,)=0,0,(VLOOKUP($D204,$C$5:$AU$501,9,)/VLOOKUP($D204,$C$5:$AU$501,3,))*$E204)</f>
        <v>0</v>
      </c>
      <c r="L204" s="65">
        <f>IF(VLOOKUP($D204,$C$5:$AU$501,3,)=0,0,(VLOOKUP($D204,$C$5:$AU$501,10,)/VLOOKUP($D204,$C$5:$AU$501,3,))*$E204)</f>
        <v>0</v>
      </c>
      <c r="M204" s="65">
        <f>IF(VLOOKUP($D204,$C$5:$AU$501,3,)=0,0,(VLOOKUP($D204,$C$5:$AU$501,11,)/VLOOKUP($D204,$C$5:$AU$501,3,))*$E204)</f>
        <v>0</v>
      </c>
      <c r="N204" s="65">
        <f>IF(VLOOKUP($D204,$C$5:$AU$501,3,)=0,0,(VLOOKUP($D204,$C$5:$AU$501,12,)/VLOOKUP($D204,$C$5:$AU$501,3,))*$E204)</f>
        <v>0</v>
      </c>
      <c r="O204" s="65">
        <f>IF(VLOOKUP($D204,$C$5:$AU$501,3,)=0,0,(VLOOKUP($D204,$C$5:$AU$501,13,)/VLOOKUP($D204,$C$5:$AU$501,3,))*$E204)</f>
        <v>0</v>
      </c>
      <c r="P204" s="65">
        <f>IF(VLOOKUP($D204,$C$5:$AU$501,3,)=0,0,(VLOOKUP($D204,$C$5:$AU$501,14,)/VLOOKUP($D204,$C$5:$AU$501,3,))*$E204)</f>
        <v>0</v>
      </c>
      <c r="Q204" s="65">
        <f>IF(VLOOKUP($D204,$C$5:$AU$501,3,)=0,0,(VLOOKUP($D204,$C$5:$AU$501,15,)/VLOOKUP($D204,$C$5:$AU$501,3,))*$E204)</f>
        <v>0</v>
      </c>
      <c r="R204" s="65">
        <f>IF(VLOOKUP($D204,$C$5:$AU$501,3,)=0,0,(VLOOKUP($D204,$C$5:$AU$501,16,)/VLOOKUP($D204,$C$5:$AU$501,3,))*$E204)</f>
        <v>0</v>
      </c>
      <c r="S204" s="65">
        <f>IF(VLOOKUP($D204,$C$5:$AU$501,3,)=0,0,(VLOOKUP($D204,$C$5:$AU$501,17,)/VLOOKUP($D204,$C$5:$AU$501,3,))*$E204)</f>
        <v>0</v>
      </c>
      <c r="T204" s="65">
        <f>IF(VLOOKUP($D204,$C$5:$AU$501,3,)=0,0,(VLOOKUP($D204,$C$5:$AU$501,18,)/VLOOKUP($D204,$C$5:$AU$501,3,))*$E204)</f>
        <v>0</v>
      </c>
      <c r="U204" s="65">
        <f>IF(VLOOKUP($D204,$C$5:$AU$501,3,)=0,0,(VLOOKUP($D204,$C$5:$AU$501,19,)/VLOOKUP($D204,$C$5:$AU$501,3,))*$E204)</f>
        <v>0</v>
      </c>
      <c r="V204" s="65">
        <f>IF(VLOOKUP($D204,$C$5:$AU$501,3,)=0,0,(VLOOKUP($D204,$C$5:$AU$501,20,)/VLOOKUP($D204,$C$5:$AU$501,3,))*$E204)</f>
        <v>0</v>
      </c>
      <c r="W204" s="65">
        <f>IF(VLOOKUP($D204,$C$5:$AU$501,3,)=0,0,(VLOOKUP($D204,$C$5:$AU$501,21,)/VLOOKUP($D204,$C$5:$AU$501,3,))*$E204)</f>
        <v>0</v>
      </c>
      <c r="X204" s="65">
        <f>IF(VLOOKUP($D204,$C$5:$AU$501,3,)=0,0,(VLOOKUP($D204,$C$5:$AU$501,22,)/VLOOKUP($D204,$C$5:$AU$501,3,))*$E204)</f>
        <v>0</v>
      </c>
      <c r="Y204" s="65">
        <f>IF(VLOOKUP($D204,$C$5:$AU$501,3,)=0,0,(VLOOKUP($D204,$C$5:$AU$501,23,)/VLOOKUP($D204,$C$5:$AU$501,3,))*$E204)</f>
        <v>0</v>
      </c>
      <c r="Z204" s="65">
        <f>IF(VLOOKUP($D204,$C$5:$AU$501,3,)=0,0,(VLOOKUP($D204,$C$5:$AU$501,24,)/VLOOKUP($D204,$C$5:$AU$501,3,))*$E204)</f>
        <v>0</v>
      </c>
      <c r="AA204" s="65">
        <f>IF(VLOOKUP($D204,$C$5:$AU$501,3,)=0,0,(VLOOKUP($D204,$C$5:$AU$501,25,)/VLOOKUP($D204,$C$5:$AU$501,3,))*$E204)</f>
        <v>0</v>
      </c>
      <c r="AB204" s="65">
        <f>IF(VLOOKUP($D204,$C$5:$AU$501,3,)=0,0,(VLOOKUP($D204,$C$5:$AU$501,26,)/VLOOKUP($D204,$C$5:$AU$501,3,))*$E204)</f>
        <v>0</v>
      </c>
      <c r="AC204" s="65">
        <f>IF(VLOOKUP($D204,$C$5:$AU$501,3,)=0,0,(VLOOKUP($D204,$C$5:$AU$501,27,)/VLOOKUP($D204,$C$5:$AU$501,3,))*$E204)</f>
        <v>0</v>
      </c>
      <c r="AD204" s="65">
        <f>IF(VLOOKUP($D204,$C$5:$AU$501,3,)=0,0,(VLOOKUP($D204,$C$5:$AU$501,28,)/VLOOKUP($D204,$C$5:$AU$501,3,))*$E204)</f>
        <v>0</v>
      </c>
      <c r="AE204" s="65">
        <f>IF(VLOOKUP($D204,$C$5:$AU$501,3,)=0,0,(VLOOKUP($D204,$C$5:$AU$501,29,)/VLOOKUP($D204,$C$5:$AU$501,3,))*$E204)</f>
        <v>0</v>
      </c>
      <c r="AF204" s="65">
        <f>IF(VLOOKUP($D204,$C$5:$AU$501,3,)=0,0,(VLOOKUP($D204,$C$5:$AU$501,30,)/VLOOKUP($D204,$C$5:$AU$501,3,))*$E204)</f>
        <v>0</v>
      </c>
      <c r="AG204" s="90">
        <f>SUM(F204:AF204)</f>
        <v>0</v>
      </c>
      <c r="AH204" s="29" t="str">
        <f>IF(ABS(E204-AG204)&lt;0.01,"ok","err")</f>
        <v>ok</v>
      </c>
    </row>
    <row r="205" spans="1:34" x14ac:dyDescent="0.2">
      <c r="E205" s="255"/>
    </row>
    <row r="206" spans="1:34" x14ac:dyDescent="0.2">
      <c r="A206" s="13" t="s">
        <v>1</v>
      </c>
      <c r="E206" s="255"/>
      <c r="F206" s="49"/>
    </row>
    <row r="207" spans="1:34" x14ac:dyDescent="0.2">
      <c r="A207" s="93" t="s">
        <v>209</v>
      </c>
      <c r="C207" s="14" t="s">
        <v>289</v>
      </c>
      <c r="D207" s="14" t="s">
        <v>615</v>
      </c>
      <c r="E207" s="254">
        <f>'Func &amp; Classif'!M312</f>
        <v>670283.70482454286</v>
      </c>
      <c r="F207" s="65">
        <f>IF(VLOOKUP($D207,$C$5:$AU$501,3,)=0,0,(VLOOKUP($D207,$C$5:$AU$501,4,)/VLOOKUP($D207,$C$5:$AU$501,3,))*$E207)</f>
        <v>507816.62923405558</v>
      </c>
      <c r="G207" s="65">
        <f>IF(VLOOKUP($D207,$C$5:$AU$501,3,)=0,0,(VLOOKUP($D207,$C$5:$AU$501,5,)/VLOOKUP($D207,$C$5:$AU$501,3,))*$E207)</f>
        <v>45132.08268976344</v>
      </c>
      <c r="H207" s="65">
        <f>IF(VLOOKUP($D207,$C$5:$AU$501,3,)=0,0,(VLOOKUP($D207,$C$5:$AU$501,6,)/VLOOKUP($D207,$C$5:$AU$501,3,))*$E207)</f>
        <v>92526.566461464812</v>
      </c>
      <c r="I207" s="65">
        <f>IF(VLOOKUP($D207,$C$5:$AU$501,3,)=0,0,(VLOOKUP($D207,$C$5:$AU$501,7,)/VLOOKUP($D207,$C$5:$AU$501,3,))*$E207)</f>
        <v>1306.863869802919</v>
      </c>
      <c r="J207" s="65">
        <f>IF(VLOOKUP($D207,$C$5:$AU$501,3,)=0,0,(VLOOKUP($D207,$C$5:$AU$501,8,)/VLOOKUP($D207,$C$5:$AU$501,3,))*$E207)</f>
        <v>13312.350080965814</v>
      </c>
      <c r="K207" s="65">
        <f>IF(VLOOKUP($D207,$C$5:$AU$501,3,)=0,0,(VLOOKUP($D207,$C$5:$AU$501,9,)/VLOOKUP($D207,$C$5:$AU$501,3,))*$E207)</f>
        <v>9234.662211273795</v>
      </c>
      <c r="L207" s="65">
        <f>IF(VLOOKUP($D207,$C$5:$AU$501,3,)=0,0,(VLOOKUP($D207,$C$5:$AU$501,10,)/VLOOKUP($D207,$C$5:$AU$501,3,))*$E207)</f>
        <v>954.55027721646422</v>
      </c>
      <c r="M207" s="65">
        <f>IF(VLOOKUP($D207,$C$5:$AU$501,3,)=0,0,(VLOOKUP($D207,$C$5:$AU$501,11,)/VLOOKUP($D207,$C$5:$AU$501,3,))*$E207)</f>
        <v>0</v>
      </c>
      <c r="N207" s="65">
        <f>IF(VLOOKUP($D207,$C$5:$AU$501,3,)=0,0,(VLOOKUP($D207,$C$5:$AU$501,12,)/VLOOKUP($D207,$C$5:$AU$501,3,))*$E207)</f>
        <v>0</v>
      </c>
      <c r="O207" s="65">
        <f>IF(VLOOKUP($D207,$C$5:$AU$501,3,)=0,0,(VLOOKUP($D207,$C$5:$AU$501,13,)/VLOOKUP($D207,$C$5:$AU$501,3,))*$E207)</f>
        <v>0</v>
      </c>
      <c r="P207" s="65">
        <f>IF(VLOOKUP($D207,$C$5:$AU$501,3,)=0,0,(VLOOKUP($D207,$C$5:$AU$501,14,)/VLOOKUP($D207,$C$5:$AU$501,3,))*$E207)</f>
        <v>0</v>
      </c>
      <c r="Q207" s="65">
        <f>IF(VLOOKUP($D207,$C$5:$AU$501,3,)=0,0,(VLOOKUP($D207,$C$5:$AU$501,15,)/VLOOKUP($D207,$C$5:$AU$501,3,))*$E207)</f>
        <v>0</v>
      </c>
      <c r="R207" s="65">
        <f>IF(VLOOKUP($D207,$C$5:$AU$501,3,)=0,0,(VLOOKUP($D207,$C$5:$AU$501,16,)/VLOOKUP($D207,$C$5:$AU$501,3,))*$E207)</f>
        <v>0</v>
      </c>
      <c r="S207" s="65">
        <f>IF(VLOOKUP($D207,$C$5:$AU$501,3,)=0,0,(VLOOKUP($D207,$C$5:$AU$501,17,)/VLOOKUP($D207,$C$5:$AU$501,3,))*$E207)</f>
        <v>0</v>
      </c>
      <c r="T207" s="65">
        <f>IF(VLOOKUP($D207,$C$5:$AU$501,3,)=0,0,(VLOOKUP($D207,$C$5:$AU$501,18,)/VLOOKUP($D207,$C$5:$AU$501,3,))*$E207)</f>
        <v>0</v>
      </c>
      <c r="U207" s="65">
        <f>IF(VLOOKUP($D207,$C$5:$AU$501,3,)=0,0,(VLOOKUP($D207,$C$5:$AU$501,19,)/VLOOKUP($D207,$C$5:$AU$501,3,))*$E207)</f>
        <v>0</v>
      </c>
      <c r="V207" s="65">
        <f>IF(VLOOKUP($D207,$C$5:$AU$501,3,)=0,0,(VLOOKUP($D207,$C$5:$AU$501,20,)/VLOOKUP($D207,$C$5:$AU$501,3,))*$E207)</f>
        <v>0</v>
      </c>
      <c r="W207" s="65">
        <f>IF(VLOOKUP($D207,$C$5:$AU$501,3,)=0,0,(VLOOKUP($D207,$C$5:$AU$501,21,)/VLOOKUP($D207,$C$5:$AU$501,3,))*$E207)</f>
        <v>0</v>
      </c>
      <c r="X207" s="65">
        <f>IF(VLOOKUP($D207,$C$5:$AU$501,3,)=0,0,(VLOOKUP($D207,$C$5:$AU$501,22,)/VLOOKUP($D207,$C$5:$AU$501,3,))*$E207)</f>
        <v>0</v>
      </c>
      <c r="Y207" s="65">
        <f>IF(VLOOKUP($D207,$C$5:$AU$501,3,)=0,0,(VLOOKUP($D207,$C$5:$AU$501,23,)/VLOOKUP($D207,$C$5:$AU$501,3,))*$E207)</f>
        <v>0</v>
      </c>
      <c r="Z207" s="65">
        <f>IF(VLOOKUP($D207,$C$5:$AU$501,3,)=0,0,(VLOOKUP($D207,$C$5:$AU$501,24,)/VLOOKUP($D207,$C$5:$AU$501,3,))*$E207)</f>
        <v>0</v>
      </c>
      <c r="AA207" s="65">
        <f>IF(VLOOKUP($D207,$C$5:$AU$501,3,)=0,0,(VLOOKUP($D207,$C$5:$AU$501,25,)/VLOOKUP($D207,$C$5:$AU$501,3,))*$E207)</f>
        <v>0</v>
      </c>
      <c r="AB207" s="65">
        <f>IF(VLOOKUP($D207,$C$5:$AU$501,3,)=0,0,(VLOOKUP($D207,$C$5:$AU$501,26,)/VLOOKUP($D207,$C$5:$AU$501,3,))*$E207)</f>
        <v>0</v>
      </c>
      <c r="AC207" s="65">
        <f>IF(VLOOKUP($D207,$C$5:$AU$501,3,)=0,0,(VLOOKUP($D207,$C$5:$AU$501,27,)/VLOOKUP($D207,$C$5:$AU$501,3,))*$E207)</f>
        <v>0</v>
      </c>
      <c r="AD207" s="65">
        <f>IF(VLOOKUP($D207,$C$5:$AU$501,3,)=0,0,(VLOOKUP($D207,$C$5:$AU$501,28,)/VLOOKUP($D207,$C$5:$AU$501,3,))*$E207)</f>
        <v>0</v>
      </c>
      <c r="AE207" s="65">
        <f>IF(VLOOKUP($D207,$C$5:$AU$501,3,)=0,0,(VLOOKUP($D207,$C$5:$AU$501,29,)/VLOOKUP($D207,$C$5:$AU$501,3,))*$E207)</f>
        <v>0</v>
      </c>
      <c r="AF207" s="65">
        <f>IF(VLOOKUP($D207,$C$5:$AU$501,3,)=0,0,(VLOOKUP($D207,$C$5:$AU$501,30,)/VLOOKUP($D207,$C$5:$AU$501,3,))*$E207)</f>
        <v>0</v>
      </c>
      <c r="AG207" s="90">
        <f>SUM(F207:AF207)</f>
        <v>670283.70482454286</v>
      </c>
      <c r="AH207" s="29" t="str">
        <f>IF(ABS(E207-AG207)&lt;0.01,"ok","err")</f>
        <v>ok</v>
      </c>
    </row>
    <row r="208" spans="1:34" x14ac:dyDescent="0.2">
      <c r="E208" s="255"/>
    </row>
    <row r="209" spans="1:34" x14ac:dyDescent="0.2">
      <c r="A209" s="13" t="s">
        <v>2</v>
      </c>
      <c r="E209" s="255"/>
    </row>
    <row r="210" spans="1:34" x14ac:dyDescent="0.2">
      <c r="A210" s="93" t="s">
        <v>209</v>
      </c>
      <c r="C210" s="14" t="s">
        <v>290</v>
      </c>
      <c r="D210" s="14" t="s">
        <v>607</v>
      </c>
      <c r="E210" s="254">
        <f>'Func &amp; Classif'!O312</f>
        <v>1457423.0004274542</v>
      </c>
      <c r="F210" s="65">
        <f>IF(VLOOKUP($D210,$C$5:$AU$501,3,)=0,0,(VLOOKUP($D210,$C$5:$AU$501,4,)/VLOOKUP($D210,$C$5:$AU$501,3,))*$E210)</f>
        <v>1227982.7990129837</v>
      </c>
      <c r="G210" s="65">
        <f>IF(VLOOKUP($D210,$C$5:$AU$501,3,)=0,0,(VLOOKUP($D210,$C$5:$AU$501,5,)/VLOOKUP($D210,$C$5:$AU$501,3,))*$E210)</f>
        <v>74801.692284179793</v>
      </c>
      <c r="H210" s="65">
        <f>IF(VLOOKUP($D210,$C$5:$AU$501,3,)=0,0,(VLOOKUP($D210,$C$5:$AU$501,6,)/VLOOKUP($D210,$C$5:$AU$501,3,))*$E210)</f>
        <v>118142.99932559987</v>
      </c>
      <c r="I210" s="65">
        <f>IF(VLOOKUP($D210,$C$5:$AU$501,3,)=0,0,(VLOOKUP($D210,$C$5:$AU$501,7,)/VLOOKUP($D210,$C$5:$AU$501,3,))*$E210)</f>
        <v>1610.3396136006897</v>
      </c>
      <c r="J210" s="65">
        <f>IF(VLOOKUP($D210,$C$5:$AU$501,3,)=0,0,(VLOOKUP($D210,$C$5:$AU$501,8,)/VLOOKUP($D210,$C$5:$AU$501,3,))*$E210)</f>
        <v>20072.668960676408</v>
      </c>
      <c r="K210" s="65">
        <f>IF(VLOOKUP($D210,$C$5:$AU$501,3,)=0,0,(VLOOKUP($D210,$C$5:$AU$501,9,)/VLOOKUP($D210,$C$5:$AU$501,3,))*$E210)</f>
        <v>13419.923399851354</v>
      </c>
      <c r="L210" s="65">
        <f>IF(VLOOKUP($D210,$C$5:$AU$501,3,)=0,0,(VLOOKUP($D210,$C$5:$AU$501,10,)/VLOOKUP($D210,$C$5:$AU$501,3,))*$E210)</f>
        <v>1392.5778305626945</v>
      </c>
      <c r="M210" s="65">
        <f>IF(VLOOKUP($D210,$C$5:$AU$501,3,)=0,0,(VLOOKUP($D210,$C$5:$AU$501,11,)/VLOOKUP($D210,$C$5:$AU$501,3,))*$E210)</f>
        <v>0</v>
      </c>
      <c r="N210" s="65">
        <f>IF(VLOOKUP($D210,$C$5:$AU$501,3,)=0,0,(VLOOKUP($D210,$C$5:$AU$501,12,)/VLOOKUP($D210,$C$5:$AU$501,3,))*$E210)</f>
        <v>0</v>
      </c>
      <c r="O210" s="65">
        <f>IF(VLOOKUP($D210,$C$5:$AU$501,3,)=0,0,(VLOOKUP($D210,$C$5:$AU$501,13,)/VLOOKUP($D210,$C$5:$AU$501,3,))*$E210)</f>
        <v>0</v>
      </c>
      <c r="P210" s="65">
        <f>IF(VLOOKUP($D210,$C$5:$AU$501,3,)=0,0,(VLOOKUP($D210,$C$5:$AU$501,14,)/VLOOKUP($D210,$C$5:$AU$501,3,))*$E210)</f>
        <v>0</v>
      </c>
      <c r="Q210" s="65">
        <f>IF(VLOOKUP($D210,$C$5:$AU$501,3,)=0,0,(VLOOKUP($D210,$C$5:$AU$501,15,)/VLOOKUP($D210,$C$5:$AU$501,3,))*$E210)</f>
        <v>0</v>
      </c>
      <c r="R210" s="65">
        <f>IF(VLOOKUP($D210,$C$5:$AU$501,3,)=0,0,(VLOOKUP($D210,$C$5:$AU$501,16,)/VLOOKUP($D210,$C$5:$AU$501,3,))*$E210)</f>
        <v>0</v>
      </c>
      <c r="S210" s="65">
        <f>IF(VLOOKUP($D210,$C$5:$AU$501,3,)=0,0,(VLOOKUP($D210,$C$5:$AU$501,17,)/VLOOKUP($D210,$C$5:$AU$501,3,))*$E210)</f>
        <v>0</v>
      </c>
      <c r="T210" s="65">
        <f>IF(VLOOKUP($D210,$C$5:$AU$501,3,)=0,0,(VLOOKUP($D210,$C$5:$AU$501,18,)/VLOOKUP($D210,$C$5:$AU$501,3,))*$E210)</f>
        <v>0</v>
      </c>
      <c r="U210" s="65">
        <f>IF(VLOOKUP($D210,$C$5:$AU$501,3,)=0,0,(VLOOKUP($D210,$C$5:$AU$501,19,)/VLOOKUP($D210,$C$5:$AU$501,3,))*$E210)</f>
        <v>0</v>
      </c>
      <c r="V210" s="65">
        <f>IF(VLOOKUP($D210,$C$5:$AU$501,3,)=0,0,(VLOOKUP($D210,$C$5:$AU$501,20,)/VLOOKUP($D210,$C$5:$AU$501,3,))*$E210)</f>
        <v>0</v>
      </c>
      <c r="W210" s="65">
        <f>IF(VLOOKUP($D210,$C$5:$AU$501,3,)=0,0,(VLOOKUP($D210,$C$5:$AU$501,21,)/VLOOKUP($D210,$C$5:$AU$501,3,))*$E210)</f>
        <v>0</v>
      </c>
      <c r="X210" s="65">
        <f>IF(VLOOKUP($D210,$C$5:$AU$501,3,)=0,0,(VLOOKUP($D210,$C$5:$AU$501,22,)/VLOOKUP($D210,$C$5:$AU$501,3,))*$E210)</f>
        <v>0</v>
      </c>
      <c r="Y210" s="65">
        <f>IF(VLOOKUP($D210,$C$5:$AU$501,3,)=0,0,(VLOOKUP($D210,$C$5:$AU$501,23,)/VLOOKUP($D210,$C$5:$AU$501,3,))*$E210)</f>
        <v>0</v>
      </c>
      <c r="Z210" s="65">
        <f>IF(VLOOKUP($D210,$C$5:$AU$501,3,)=0,0,(VLOOKUP($D210,$C$5:$AU$501,24,)/VLOOKUP($D210,$C$5:$AU$501,3,))*$E210)</f>
        <v>0</v>
      </c>
      <c r="AA210" s="65">
        <f>IF(VLOOKUP($D210,$C$5:$AU$501,3,)=0,0,(VLOOKUP($D210,$C$5:$AU$501,25,)/VLOOKUP($D210,$C$5:$AU$501,3,))*$E210)</f>
        <v>0</v>
      </c>
      <c r="AB210" s="65">
        <f>IF(VLOOKUP($D210,$C$5:$AU$501,3,)=0,0,(VLOOKUP($D210,$C$5:$AU$501,26,)/VLOOKUP($D210,$C$5:$AU$501,3,))*$E210)</f>
        <v>0</v>
      </c>
      <c r="AC210" s="65">
        <f>IF(VLOOKUP($D210,$C$5:$AU$501,3,)=0,0,(VLOOKUP($D210,$C$5:$AU$501,27,)/VLOOKUP($D210,$C$5:$AU$501,3,))*$E210)</f>
        <v>0</v>
      </c>
      <c r="AD210" s="65">
        <f>IF(VLOOKUP($D210,$C$5:$AU$501,3,)=0,0,(VLOOKUP($D210,$C$5:$AU$501,28,)/VLOOKUP($D210,$C$5:$AU$501,3,))*$E210)</f>
        <v>0</v>
      </c>
      <c r="AE210" s="65">
        <f>IF(VLOOKUP($D210,$C$5:$AU$501,3,)=0,0,(VLOOKUP($D210,$C$5:$AU$501,29,)/VLOOKUP($D210,$C$5:$AU$501,3,))*$E210)</f>
        <v>0</v>
      </c>
      <c r="AF210" s="65">
        <f>IF(VLOOKUP($D210,$C$5:$AU$501,3,)=0,0,(VLOOKUP($D210,$C$5:$AU$501,30,)/VLOOKUP($D210,$C$5:$AU$501,3,))*$E210)</f>
        <v>0</v>
      </c>
      <c r="AG210" s="90">
        <f>SUM(F210:AF210)</f>
        <v>1457423.0004274545</v>
      </c>
      <c r="AH210" s="29" t="str">
        <f>IF(ABS(E210-AG210)&lt;0.01,"ok","err")</f>
        <v>ok</v>
      </c>
    </row>
    <row r="211" spans="1:34" x14ac:dyDescent="0.2">
      <c r="A211" s="93" t="s">
        <v>221</v>
      </c>
      <c r="C211" s="14" t="s">
        <v>291</v>
      </c>
      <c r="D211" s="14" t="s">
        <v>223</v>
      </c>
      <c r="E211" s="255">
        <f>'Func &amp; Classif'!P312</f>
        <v>2483746.6124324938</v>
      </c>
      <c r="F211" s="65">
        <f>IF(VLOOKUP($D211,$C$5:$AU$501,3,)=0,0,(VLOOKUP($D211,$C$5:$AU$501,4,)/VLOOKUP($D211,$C$5:$AU$501,3,))*$E211)</f>
        <v>2307780.4567115027</v>
      </c>
      <c r="G211" s="65">
        <f>IF(VLOOKUP($D211,$C$5:$AU$501,3,)=0,0,(VLOOKUP($D211,$C$5:$AU$501,5,)/VLOOKUP($D211,$C$5:$AU$501,3,))*$E211)</f>
        <v>143526.14369386705</v>
      </c>
      <c r="H211" s="65">
        <f>IF(VLOOKUP($D211,$C$5:$AU$501,3,)=0,0,(VLOOKUP($D211,$C$5:$AU$501,6,)/VLOOKUP($D211,$C$5:$AU$501,3,))*$E211)</f>
        <v>31719.356660216905</v>
      </c>
      <c r="I211" s="65">
        <f>IF(VLOOKUP($D211,$C$5:$AU$501,3,)=0,0,(VLOOKUP($D211,$C$5:$AU$501,7,)/VLOOKUP($D211,$C$5:$AU$501,3,))*$E211)</f>
        <v>315.61548915638713</v>
      </c>
      <c r="J211" s="65">
        <f>IF(VLOOKUP($D211,$C$5:$AU$501,3,)=0,0,(VLOOKUP($D211,$C$5:$AU$501,8,)/VLOOKUP($D211,$C$5:$AU$501,3,))*$E211)</f>
        <v>394.51936144548392</v>
      </c>
      <c r="K211" s="65">
        <f>IF(VLOOKUP($D211,$C$5:$AU$501,3,)=0,0,(VLOOKUP($D211,$C$5:$AU$501,9,)/VLOOKUP($D211,$C$5:$AU$501,3,))*$E211)</f>
        <v>0</v>
      </c>
      <c r="L211" s="65">
        <f>IF(VLOOKUP($D211,$C$5:$AU$501,3,)=0,0,(VLOOKUP($D211,$C$5:$AU$501,10,)/VLOOKUP($D211,$C$5:$AU$501,3,))*$E211)</f>
        <v>10.520516305212904</v>
      </c>
      <c r="M211" s="65">
        <f>IF(VLOOKUP($D211,$C$5:$AU$501,3,)=0,0,(VLOOKUP($D211,$C$5:$AU$501,11,)/VLOOKUP($D211,$C$5:$AU$501,3,))*$E211)</f>
        <v>0</v>
      </c>
      <c r="N211" s="65">
        <f>IF(VLOOKUP($D211,$C$5:$AU$501,3,)=0,0,(VLOOKUP($D211,$C$5:$AU$501,12,)/VLOOKUP($D211,$C$5:$AU$501,3,))*$E211)</f>
        <v>0</v>
      </c>
      <c r="O211" s="65">
        <f>IF(VLOOKUP($D211,$C$5:$AU$501,3,)=0,0,(VLOOKUP($D211,$C$5:$AU$501,13,)/VLOOKUP($D211,$C$5:$AU$501,3,))*$E211)</f>
        <v>0</v>
      </c>
      <c r="P211" s="65">
        <f>IF(VLOOKUP($D211,$C$5:$AU$501,3,)=0,0,(VLOOKUP($D211,$C$5:$AU$501,14,)/VLOOKUP($D211,$C$5:$AU$501,3,))*$E211)</f>
        <v>0</v>
      </c>
      <c r="Q211" s="65">
        <f>IF(VLOOKUP($D211,$C$5:$AU$501,3,)=0,0,(VLOOKUP($D211,$C$5:$AU$501,15,)/VLOOKUP($D211,$C$5:$AU$501,3,))*$E211)</f>
        <v>0</v>
      </c>
      <c r="R211" s="65">
        <f>IF(VLOOKUP($D211,$C$5:$AU$501,3,)=0,0,(VLOOKUP($D211,$C$5:$AU$501,16,)/VLOOKUP($D211,$C$5:$AU$501,3,))*$E211)</f>
        <v>0</v>
      </c>
      <c r="S211" s="65">
        <f>IF(VLOOKUP($D211,$C$5:$AU$501,3,)=0,0,(VLOOKUP($D211,$C$5:$AU$501,17,)/VLOOKUP($D211,$C$5:$AU$501,3,))*$E211)</f>
        <v>0</v>
      </c>
      <c r="T211" s="65">
        <f>IF(VLOOKUP($D211,$C$5:$AU$501,3,)=0,0,(VLOOKUP($D211,$C$5:$AU$501,18,)/VLOOKUP($D211,$C$5:$AU$501,3,))*$E211)</f>
        <v>0</v>
      </c>
      <c r="U211" s="65">
        <f>IF(VLOOKUP($D211,$C$5:$AU$501,3,)=0,0,(VLOOKUP($D211,$C$5:$AU$501,19,)/VLOOKUP($D211,$C$5:$AU$501,3,))*$E211)</f>
        <v>0</v>
      </c>
      <c r="V211" s="65">
        <f>IF(VLOOKUP($D211,$C$5:$AU$501,3,)=0,0,(VLOOKUP($D211,$C$5:$AU$501,20,)/VLOOKUP($D211,$C$5:$AU$501,3,))*$E211)</f>
        <v>0</v>
      </c>
      <c r="W211" s="65">
        <f>IF(VLOOKUP($D211,$C$5:$AU$501,3,)=0,0,(VLOOKUP($D211,$C$5:$AU$501,21,)/VLOOKUP($D211,$C$5:$AU$501,3,))*$E211)</f>
        <v>0</v>
      </c>
      <c r="X211" s="65">
        <f>IF(VLOOKUP($D211,$C$5:$AU$501,3,)=0,0,(VLOOKUP($D211,$C$5:$AU$501,22,)/VLOOKUP($D211,$C$5:$AU$501,3,))*$E211)</f>
        <v>0</v>
      </c>
      <c r="Y211" s="65">
        <f>IF(VLOOKUP($D211,$C$5:$AU$501,3,)=0,0,(VLOOKUP($D211,$C$5:$AU$501,23,)/VLOOKUP($D211,$C$5:$AU$501,3,))*$E211)</f>
        <v>0</v>
      </c>
      <c r="Z211" s="65">
        <f>IF(VLOOKUP($D211,$C$5:$AU$501,3,)=0,0,(VLOOKUP($D211,$C$5:$AU$501,24,)/VLOOKUP($D211,$C$5:$AU$501,3,))*$E211)</f>
        <v>0</v>
      </c>
      <c r="AA211" s="65">
        <f>IF(VLOOKUP($D211,$C$5:$AU$501,3,)=0,0,(VLOOKUP($D211,$C$5:$AU$501,25,)/VLOOKUP($D211,$C$5:$AU$501,3,))*$E211)</f>
        <v>0</v>
      </c>
      <c r="AB211" s="65">
        <f>IF(VLOOKUP($D211,$C$5:$AU$501,3,)=0,0,(VLOOKUP($D211,$C$5:$AU$501,26,)/VLOOKUP($D211,$C$5:$AU$501,3,))*$E211)</f>
        <v>0</v>
      </c>
      <c r="AC211" s="65">
        <f>IF(VLOOKUP($D211,$C$5:$AU$501,3,)=0,0,(VLOOKUP($D211,$C$5:$AU$501,27,)/VLOOKUP($D211,$C$5:$AU$501,3,))*$E211)</f>
        <v>0</v>
      </c>
      <c r="AD211" s="65">
        <f>IF(VLOOKUP($D211,$C$5:$AU$501,3,)=0,0,(VLOOKUP($D211,$C$5:$AU$501,28,)/VLOOKUP($D211,$C$5:$AU$501,3,))*$E211)</f>
        <v>0</v>
      </c>
      <c r="AE211" s="65">
        <f>IF(VLOOKUP($D211,$C$5:$AU$501,3,)=0,0,(VLOOKUP($D211,$C$5:$AU$501,29,)/VLOOKUP($D211,$C$5:$AU$501,3,))*$E211)</f>
        <v>0</v>
      </c>
      <c r="AF211" s="65">
        <f>IF(VLOOKUP($D211,$C$5:$AU$501,3,)=0,0,(VLOOKUP($D211,$C$5:$AU$501,30,)/VLOOKUP($D211,$C$5:$AU$501,3,))*$E211)</f>
        <v>0</v>
      </c>
      <c r="AG211" s="90">
        <f>SUM(F211:AF211)</f>
        <v>2483746.6124324943</v>
      </c>
      <c r="AH211" s="29" t="str">
        <f>IF(ABS(E211-AG211)&lt;0.01,"ok","err")</f>
        <v>ok</v>
      </c>
    </row>
    <row r="212" spans="1:34" x14ac:dyDescent="0.2">
      <c r="A212" s="14" t="s">
        <v>224</v>
      </c>
      <c r="E212" s="254">
        <f t="shared" ref="E212:T212" si="43">E210+E211</f>
        <v>3941169.6128599481</v>
      </c>
      <c r="F212" s="65">
        <f t="shared" si="43"/>
        <v>3535763.2557244864</v>
      </c>
      <c r="G212" s="65">
        <f t="shared" si="43"/>
        <v>218327.83597804685</v>
      </c>
      <c r="H212" s="65">
        <f t="shared" si="43"/>
        <v>149862.35598581677</v>
      </c>
      <c r="I212" s="65">
        <f t="shared" si="43"/>
        <v>1925.9551027570769</v>
      </c>
      <c r="J212" s="65">
        <f t="shared" si="43"/>
        <v>20467.188322121892</v>
      </c>
      <c r="K212" s="65">
        <f t="shared" si="43"/>
        <v>13419.923399851354</v>
      </c>
      <c r="L212" s="65">
        <f t="shared" si="43"/>
        <v>1403.0983468679074</v>
      </c>
      <c r="M212" s="65">
        <f t="shared" si="43"/>
        <v>0</v>
      </c>
      <c r="N212" s="65">
        <f t="shared" si="43"/>
        <v>0</v>
      </c>
      <c r="O212" s="65">
        <f t="shared" si="43"/>
        <v>0</v>
      </c>
      <c r="P212" s="65">
        <f t="shared" si="43"/>
        <v>0</v>
      </c>
      <c r="Q212" s="65">
        <f t="shared" si="43"/>
        <v>0</v>
      </c>
      <c r="R212" s="65">
        <f t="shared" si="43"/>
        <v>0</v>
      </c>
      <c r="S212" s="65">
        <f t="shared" si="43"/>
        <v>0</v>
      </c>
      <c r="T212" s="65">
        <f t="shared" si="43"/>
        <v>0</v>
      </c>
      <c r="U212" s="65">
        <f t="shared" ref="U212:AF212" si="44">U210+U211</f>
        <v>0</v>
      </c>
      <c r="V212" s="65">
        <f t="shared" si="44"/>
        <v>0</v>
      </c>
      <c r="W212" s="65">
        <f t="shared" si="44"/>
        <v>0</v>
      </c>
      <c r="X212" s="65">
        <f t="shared" si="44"/>
        <v>0</v>
      </c>
      <c r="Y212" s="65">
        <f t="shared" si="44"/>
        <v>0</v>
      </c>
      <c r="Z212" s="65">
        <f t="shared" si="44"/>
        <v>0</v>
      </c>
      <c r="AA212" s="65">
        <f t="shared" si="44"/>
        <v>0</v>
      </c>
      <c r="AB212" s="65">
        <f t="shared" si="44"/>
        <v>0</v>
      </c>
      <c r="AC212" s="65">
        <f t="shared" si="44"/>
        <v>0</v>
      </c>
      <c r="AD212" s="65">
        <f t="shared" si="44"/>
        <v>0</v>
      </c>
      <c r="AE212" s="65">
        <f t="shared" si="44"/>
        <v>0</v>
      </c>
      <c r="AF212" s="65">
        <f t="shared" si="44"/>
        <v>0</v>
      </c>
      <c r="AG212" s="90">
        <f>SUM(F212:AF212)</f>
        <v>3941169.6128599481</v>
      </c>
      <c r="AH212" s="29" t="str">
        <f>IF(ABS(E212-AG212)&lt;0.01,"ok","err")</f>
        <v>ok</v>
      </c>
    </row>
    <row r="213" spans="1:34" x14ac:dyDescent="0.2">
      <c r="E213" s="255"/>
    </row>
    <row r="214" spans="1:34" x14ac:dyDescent="0.2">
      <c r="A214" s="13" t="s">
        <v>3</v>
      </c>
      <c r="E214" s="255"/>
    </row>
    <row r="215" spans="1:34" x14ac:dyDescent="0.2">
      <c r="A215" s="93" t="s">
        <v>209</v>
      </c>
      <c r="C215" s="14" t="s">
        <v>292</v>
      </c>
      <c r="D215" s="14" t="s">
        <v>701</v>
      </c>
      <c r="E215" s="254">
        <f>'Func &amp; Classif'!R312</f>
        <v>0</v>
      </c>
      <c r="F215" s="65">
        <f>IF(VLOOKUP($D215,$C$5:$AU$501,3,)=0,0,(VLOOKUP($D215,$C$5:$AU$501,4,)/VLOOKUP($D215,$C$5:$AU$501,3,))*$E215)</f>
        <v>0</v>
      </c>
      <c r="G215" s="65">
        <f>IF(VLOOKUP($D215,$C$5:$AU$501,3,)=0,0,(VLOOKUP($D215,$C$5:$AU$501,5,)/VLOOKUP($D215,$C$5:$AU$501,3,))*$E215)</f>
        <v>0</v>
      </c>
      <c r="H215" s="65">
        <f>IF(VLOOKUP($D215,$C$5:$AU$501,3,)=0,0,(VLOOKUP($D215,$C$5:$AU$501,6,)/VLOOKUP($D215,$C$5:$AU$501,3,))*$E215)</f>
        <v>0</v>
      </c>
      <c r="I215" s="65">
        <f>IF(VLOOKUP($D215,$C$5:$AU$501,3,)=0,0,(VLOOKUP($D215,$C$5:$AU$501,7,)/VLOOKUP($D215,$C$5:$AU$501,3,))*$E215)</f>
        <v>0</v>
      </c>
      <c r="J215" s="65">
        <f>IF(VLOOKUP($D215,$C$5:$AU$501,3,)=0,0,(VLOOKUP($D215,$C$5:$AU$501,8,)/VLOOKUP($D215,$C$5:$AU$501,3,))*$E215)</f>
        <v>0</v>
      </c>
      <c r="K215" s="65">
        <f>IF(VLOOKUP($D215,$C$5:$AU$501,3,)=0,0,(VLOOKUP($D215,$C$5:$AU$501,9,)/VLOOKUP($D215,$C$5:$AU$501,3,))*$E215)</f>
        <v>0</v>
      </c>
      <c r="L215" s="65">
        <f>IF(VLOOKUP($D215,$C$5:$AU$501,3,)=0,0,(VLOOKUP($D215,$C$5:$AU$501,10,)/VLOOKUP($D215,$C$5:$AU$501,3,))*$E215)</f>
        <v>0</v>
      </c>
      <c r="M215" s="65">
        <f>IF(VLOOKUP($D215,$C$5:$AU$501,3,)=0,0,(VLOOKUP($D215,$C$5:$AU$501,11,)/VLOOKUP($D215,$C$5:$AU$501,3,))*$E215)</f>
        <v>0</v>
      </c>
      <c r="N215" s="65">
        <f>IF(VLOOKUP($D215,$C$5:$AU$501,3,)=0,0,(VLOOKUP($D215,$C$5:$AU$501,12,)/VLOOKUP($D215,$C$5:$AU$501,3,))*$E215)</f>
        <v>0</v>
      </c>
      <c r="O215" s="65">
        <f>IF(VLOOKUP($D215,$C$5:$AU$501,3,)=0,0,(VLOOKUP($D215,$C$5:$AU$501,13,)/VLOOKUP($D215,$C$5:$AU$501,3,))*$E215)</f>
        <v>0</v>
      </c>
      <c r="P215" s="65">
        <f>IF(VLOOKUP($D215,$C$5:$AU$501,3,)=0,0,(VLOOKUP($D215,$C$5:$AU$501,14,)/VLOOKUP($D215,$C$5:$AU$501,3,))*$E215)</f>
        <v>0</v>
      </c>
      <c r="Q215" s="65">
        <f>IF(VLOOKUP($D215,$C$5:$AU$501,3,)=0,0,(VLOOKUP($D215,$C$5:$AU$501,15,)/VLOOKUP($D215,$C$5:$AU$501,3,))*$E215)</f>
        <v>0</v>
      </c>
      <c r="R215" s="65">
        <f>IF(VLOOKUP($D215,$C$5:$AU$501,3,)=0,0,(VLOOKUP($D215,$C$5:$AU$501,16,)/VLOOKUP($D215,$C$5:$AU$501,3,))*$E215)</f>
        <v>0</v>
      </c>
      <c r="S215" s="65">
        <f>IF(VLOOKUP($D215,$C$5:$AU$501,3,)=0,0,(VLOOKUP($D215,$C$5:$AU$501,17,)/VLOOKUP($D215,$C$5:$AU$501,3,))*$E215)</f>
        <v>0</v>
      </c>
      <c r="T215" s="65">
        <f>IF(VLOOKUP($D215,$C$5:$AU$501,3,)=0,0,(VLOOKUP($D215,$C$5:$AU$501,18,)/VLOOKUP($D215,$C$5:$AU$501,3,))*$E215)</f>
        <v>0</v>
      </c>
      <c r="U215" s="65">
        <f>IF(VLOOKUP($D215,$C$5:$AU$501,3,)=0,0,(VLOOKUP($D215,$C$5:$AU$501,19,)/VLOOKUP($D215,$C$5:$AU$501,3,))*$E215)</f>
        <v>0</v>
      </c>
      <c r="V215" s="65">
        <f>IF(VLOOKUP($D215,$C$5:$AU$501,3,)=0,0,(VLOOKUP($D215,$C$5:$AU$501,20,)/VLOOKUP($D215,$C$5:$AU$501,3,))*$E215)</f>
        <v>0</v>
      </c>
      <c r="W215" s="65">
        <f>IF(VLOOKUP($D215,$C$5:$AU$501,3,)=0,0,(VLOOKUP($D215,$C$5:$AU$501,21,)/VLOOKUP($D215,$C$5:$AU$501,3,))*$E215)</f>
        <v>0</v>
      </c>
      <c r="X215" s="65">
        <f>IF(VLOOKUP($D215,$C$5:$AU$501,3,)=0,0,(VLOOKUP($D215,$C$5:$AU$501,22,)/VLOOKUP($D215,$C$5:$AU$501,3,))*$E215)</f>
        <v>0</v>
      </c>
      <c r="Y215" s="65">
        <f>IF(VLOOKUP($D215,$C$5:$AU$501,3,)=0,0,(VLOOKUP($D215,$C$5:$AU$501,23,)/VLOOKUP($D215,$C$5:$AU$501,3,))*$E215)</f>
        <v>0</v>
      </c>
      <c r="Z215" s="65">
        <f>IF(VLOOKUP($D215,$C$5:$AU$501,3,)=0,0,(VLOOKUP($D215,$C$5:$AU$501,24,)/VLOOKUP($D215,$C$5:$AU$501,3,))*$E215)</f>
        <v>0</v>
      </c>
      <c r="AA215" s="65">
        <f>IF(VLOOKUP($D215,$C$5:$AU$501,3,)=0,0,(VLOOKUP($D215,$C$5:$AU$501,25,)/VLOOKUP($D215,$C$5:$AU$501,3,))*$E215)</f>
        <v>0</v>
      </c>
      <c r="AB215" s="65">
        <f>IF(VLOOKUP($D215,$C$5:$AU$501,3,)=0,0,(VLOOKUP($D215,$C$5:$AU$501,26,)/VLOOKUP($D215,$C$5:$AU$501,3,))*$E215)</f>
        <v>0</v>
      </c>
      <c r="AC215" s="65">
        <f>IF(VLOOKUP($D215,$C$5:$AU$501,3,)=0,0,(VLOOKUP($D215,$C$5:$AU$501,27,)/VLOOKUP($D215,$C$5:$AU$501,3,))*$E215)</f>
        <v>0</v>
      </c>
      <c r="AD215" s="65">
        <f>IF(VLOOKUP($D215,$C$5:$AU$501,3,)=0,0,(VLOOKUP($D215,$C$5:$AU$501,28,)/VLOOKUP($D215,$C$5:$AU$501,3,))*$E215)</f>
        <v>0</v>
      </c>
      <c r="AE215" s="65">
        <f>IF(VLOOKUP($D215,$C$5:$AU$501,3,)=0,0,(VLOOKUP($D215,$C$5:$AU$501,29,)/VLOOKUP($D215,$C$5:$AU$501,3,))*$E215)</f>
        <v>0</v>
      </c>
      <c r="AF215" s="65">
        <f>IF(VLOOKUP($D215,$C$5:$AU$501,3,)=0,0,(VLOOKUP($D215,$C$5:$AU$501,30,)/VLOOKUP($D215,$C$5:$AU$501,3,))*$E215)</f>
        <v>0</v>
      </c>
      <c r="AG215" s="90">
        <f>SUM(F215:AF215)</f>
        <v>0</v>
      </c>
      <c r="AH215" s="29" t="str">
        <f>IF(ABS(E215-AG215)&lt;0.01,"ok","err")</f>
        <v>ok</v>
      </c>
    </row>
    <row r="216" spans="1:34" x14ac:dyDescent="0.2">
      <c r="A216" s="93" t="s">
        <v>221</v>
      </c>
      <c r="C216" s="14" t="s">
        <v>293</v>
      </c>
      <c r="D216" s="14" t="s">
        <v>701</v>
      </c>
      <c r="E216" s="255">
        <f>'Func &amp; Classif'!S312</f>
        <v>200517.0897896059</v>
      </c>
      <c r="F216" s="65">
        <f>IF(VLOOKUP($D216,$C$5:$AU$501,3,)=0,0,(VLOOKUP($D216,$C$5:$AU$501,4,)/VLOOKUP($D216,$C$5:$AU$501,3,))*$E216)</f>
        <v>179620.18485308517</v>
      </c>
      <c r="G216" s="65">
        <f>IF(VLOOKUP($D216,$C$5:$AU$501,3,)=0,0,(VLOOKUP($D216,$C$5:$AU$501,5,)/VLOOKUP($D216,$C$5:$AU$501,3,))*$E216)</f>
        <v>12637.024343996993</v>
      </c>
      <c r="H216" s="65">
        <f>IF(VLOOKUP($D216,$C$5:$AU$501,3,)=0,0,(VLOOKUP($D216,$C$5:$AU$501,6,)/VLOOKUP($D216,$C$5:$AU$501,3,))*$E216)</f>
        <v>7917.022539700637</v>
      </c>
      <c r="I216" s="65">
        <f>IF(VLOOKUP($D216,$C$5:$AU$501,3,)=0,0,(VLOOKUP($D216,$C$5:$AU$501,7,)/VLOOKUP($D216,$C$5:$AU$501,3,))*$E216)</f>
        <v>78.776343678613301</v>
      </c>
      <c r="J216" s="65">
        <f>IF(VLOOKUP($D216,$C$5:$AU$501,3,)=0,0,(VLOOKUP($D216,$C$5:$AU$501,8,)/VLOOKUP($D216,$C$5:$AU$501,3,))*$E216)</f>
        <v>237.00161926506473</v>
      </c>
      <c r="K216" s="65">
        <f>IF(VLOOKUP($D216,$C$5:$AU$501,3,)=0,0,(VLOOKUP($D216,$C$5:$AU$501,9,)/VLOOKUP($D216,$C$5:$AU$501,3,))*$E216)</f>
        <v>0</v>
      </c>
      <c r="L216" s="65">
        <f>IF(VLOOKUP($D216,$C$5:$AU$501,3,)=0,0,(VLOOKUP($D216,$C$5:$AU$501,10,)/VLOOKUP($D216,$C$5:$AU$501,3,))*$E216)</f>
        <v>27.080089879436915</v>
      </c>
      <c r="M216" s="65">
        <f>IF(VLOOKUP($D216,$C$5:$AU$501,3,)=0,0,(VLOOKUP($D216,$C$5:$AU$501,11,)/VLOOKUP($D216,$C$5:$AU$501,3,))*$E216)</f>
        <v>0</v>
      </c>
      <c r="N216" s="65">
        <f>IF(VLOOKUP($D216,$C$5:$AU$501,3,)=0,0,(VLOOKUP($D216,$C$5:$AU$501,12,)/VLOOKUP($D216,$C$5:$AU$501,3,))*$E216)</f>
        <v>0</v>
      </c>
      <c r="O216" s="65">
        <f>IF(VLOOKUP($D216,$C$5:$AU$501,3,)=0,0,(VLOOKUP($D216,$C$5:$AU$501,13,)/VLOOKUP($D216,$C$5:$AU$501,3,))*$E216)</f>
        <v>0</v>
      </c>
      <c r="P216" s="65">
        <f>IF(VLOOKUP($D216,$C$5:$AU$501,3,)=0,0,(VLOOKUP($D216,$C$5:$AU$501,14,)/VLOOKUP($D216,$C$5:$AU$501,3,))*$E216)</f>
        <v>0</v>
      </c>
      <c r="Q216" s="65">
        <f>IF(VLOOKUP($D216,$C$5:$AU$501,3,)=0,0,(VLOOKUP($D216,$C$5:$AU$501,15,)/VLOOKUP($D216,$C$5:$AU$501,3,))*$E216)</f>
        <v>0</v>
      </c>
      <c r="R216" s="65">
        <f>IF(VLOOKUP($D216,$C$5:$AU$501,3,)=0,0,(VLOOKUP($D216,$C$5:$AU$501,16,)/VLOOKUP($D216,$C$5:$AU$501,3,))*$E216)</f>
        <v>0</v>
      </c>
      <c r="S216" s="65">
        <f>IF(VLOOKUP($D216,$C$5:$AU$501,3,)=0,0,(VLOOKUP($D216,$C$5:$AU$501,17,)/VLOOKUP($D216,$C$5:$AU$501,3,))*$E216)</f>
        <v>0</v>
      </c>
      <c r="T216" s="65">
        <f>IF(VLOOKUP($D216,$C$5:$AU$501,3,)=0,0,(VLOOKUP($D216,$C$5:$AU$501,18,)/VLOOKUP($D216,$C$5:$AU$501,3,))*$E216)</f>
        <v>0</v>
      </c>
      <c r="U216" s="65">
        <f>IF(VLOOKUP($D216,$C$5:$AU$501,3,)=0,0,(VLOOKUP($D216,$C$5:$AU$501,19,)/VLOOKUP($D216,$C$5:$AU$501,3,))*$E216)</f>
        <v>0</v>
      </c>
      <c r="V216" s="65">
        <f>IF(VLOOKUP($D216,$C$5:$AU$501,3,)=0,0,(VLOOKUP($D216,$C$5:$AU$501,20,)/VLOOKUP($D216,$C$5:$AU$501,3,))*$E216)</f>
        <v>0</v>
      </c>
      <c r="W216" s="65">
        <f>IF(VLOOKUP($D216,$C$5:$AU$501,3,)=0,0,(VLOOKUP($D216,$C$5:$AU$501,21,)/VLOOKUP($D216,$C$5:$AU$501,3,))*$E216)</f>
        <v>0</v>
      </c>
      <c r="X216" s="65">
        <f>IF(VLOOKUP($D216,$C$5:$AU$501,3,)=0,0,(VLOOKUP($D216,$C$5:$AU$501,22,)/VLOOKUP($D216,$C$5:$AU$501,3,))*$E216)</f>
        <v>0</v>
      </c>
      <c r="Y216" s="65">
        <f>IF(VLOOKUP($D216,$C$5:$AU$501,3,)=0,0,(VLOOKUP($D216,$C$5:$AU$501,23,)/VLOOKUP($D216,$C$5:$AU$501,3,))*$E216)</f>
        <v>0</v>
      </c>
      <c r="Z216" s="65">
        <f>IF(VLOOKUP($D216,$C$5:$AU$501,3,)=0,0,(VLOOKUP($D216,$C$5:$AU$501,24,)/VLOOKUP($D216,$C$5:$AU$501,3,))*$E216)</f>
        <v>0</v>
      </c>
      <c r="AA216" s="65">
        <f>IF(VLOOKUP($D216,$C$5:$AU$501,3,)=0,0,(VLOOKUP($D216,$C$5:$AU$501,25,)/VLOOKUP($D216,$C$5:$AU$501,3,))*$E216)</f>
        <v>0</v>
      </c>
      <c r="AB216" s="65">
        <f>IF(VLOOKUP($D216,$C$5:$AU$501,3,)=0,0,(VLOOKUP($D216,$C$5:$AU$501,26,)/VLOOKUP($D216,$C$5:$AU$501,3,))*$E216)</f>
        <v>0</v>
      </c>
      <c r="AC216" s="65">
        <f>IF(VLOOKUP($D216,$C$5:$AU$501,3,)=0,0,(VLOOKUP($D216,$C$5:$AU$501,27,)/VLOOKUP($D216,$C$5:$AU$501,3,))*$E216)</f>
        <v>0</v>
      </c>
      <c r="AD216" s="65">
        <f>IF(VLOOKUP($D216,$C$5:$AU$501,3,)=0,0,(VLOOKUP($D216,$C$5:$AU$501,28,)/VLOOKUP($D216,$C$5:$AU$501,3,))*$E216)</f>
        <v>0</v>
      </c>
      <c r="AE216" s="65">
        <f>IF(VLOOKUP($D216,$C$5:$AU$501,3,)=0,0,(VLOOKUP($D216,$C$5:$AU$501,29,)/VLOOKUP($D216,$C$5:$AU$501,3,))*$E216)</f>
        <v>0</v>
      </c>
      <c r="AF216" s="65">
        <f>IF(VLOOKUP($D216,$C$5:$AU$501,3,)=0,0,(VLOOKUP($D216,$C$5:$AU$501,30,)/VLOOKUP($D216,$C$5:$AU$501,3,))*$E216)</f>
        <v>0</v>
      </c>
      <c r="AG216" s="90">
        <f>SUM(F216:AF216)</f>
        <v>200517.0897896059</v>
      </c>
      <c r="AH216" s="29" t="str">
        <f>IF(ABS(E216-AG216)&lt;0.01,"ok","err")</f>
        <v>ok</v>
      </c>
    </row>
    <row r="217" spans="1:34" x14ac:dyDescent="0.2">
      <c r="A217" s="14" t="s">
        <v>228</v>
      </c>
      <c r="E217" s="254">
        <f t="shared" ref="E217:T217" si="45">E215+E216</f>
        <v>200517.0897896059</v>
      </c>
      <c r="F217" s="65">
        <f t="shared" si="45"/>
        <v>179620.18485308517</v>
      </c>
      <c r="G217" s="65">
        <f t="shared" si="45"/>
        <v>12637.024343996993</v>
      </c>
      <c r="H217" s="65">
        <f t="shared" si="45"/>
        <v>7917.022539700637</v>
      </c>
      <c r="I217" s="65">
        <f t="shared" si="45"/>
        <v>78.776343678613301</v>
      </c>
      <c r="J217" s="65">
        <f t="shared" si="45"/>
        <v>237.00161926506473</v>
      </c>
      <c r="K217" s="65">
        <f t="shared" si="45"/>
        <v>0</v>
      </c>
      <c r="L217" s="65">
        <f t="shared" si="45"/>
        <v>27.080089879436915</v>
      </c>
      <c r="M217" s="65">
        <f t="shared" si="45"/>
        <v>0</v>
      </c>
      <c r="N217" s="65">
        <f t="shared" si="45"/>
        <v>0</v>
      </c>
      <c r="O217" s="65">
        <f t="shared" si="45"/>
        <v>0</v>
      </c>
      <c r="P217" s="65">
        <f t="shared" si="45"/>
        <v>0</v>
      </c>
      <c r="Q217" s="65">
        <f t="shared" si="45"/>
        <v>0</v>
      </c>
      <c r="R217" s="65">
        <f t="shared" si="45"/>
        <v>0</v>
      </c>
      <c r="S217" s="65">
        <f t="shared" si="45"/>
        <v>0</v>
      </c>
      <c r="T217" s="65">
        <f t="shared" si="45"/>
        <v>0</v>
      </c>
      <c r="U217" s="65">
        <f t="shared" ref="U217:AF217" si="46">U215+U216</f>
        <v>0</v>
      </c>
      <c r="V217" s="65">
        <f t="shared" si="46"/>
        <v>0</v>
      </c>
      <c r="W217" s="65">
        <f t="shared" si="46"/>
        <v>0</v>
      </c>
      <c r="X217" s="65">
        <f t="shared" si="46"/>
        <v>0</v>
      </c>
      <c r="Y217" s="65">
        <f t="shared" si="46"/>
        <v>0</v>
      </c>
      <c r="Z217" s="65">
        <f t="shared" si="46"/>
        <v>0</v>
      </c>
      <c r="AA217" s="65">
        <f t="shared" si="46"/>
        <v>0</v>
      </c>
      <c r="AB217" s="65">
        <f t="shared" si="46"/>
        <v>0</v>
      </c>
      <c r="AC217" s="65">
        <f t="shared" si="46"/>
        <v>0</v>
      </c>
      <c r="AD217" s="65">
        <f t="shared" si="46"/>
        <v>0</v>
      </c>
      <c r="AE217" s="65">
        <f t="shared" si="46"/>
        <v>0</v>
      </c>
      <c r="AF217" s="65">
        <f t="shared" si="46"/>
        <v>0</v>
      </c>
      <c r="AG217" s="90">
        <f>SUM(F217:AF217)</f>
        <v>200517.0897896059</v>
      </c>
      <c r="AH217" s="29" t="str">
        <f>IF(ABS(E217-AG217)&lt;0.01,"ok","err")</f>
        <v>ok</v>
      </c>
    </row>
    <row r="218" spans="1:34" x14ac:dyDescent="0.2">
      <c r="E218" s="255"/>
    </row>
    <row r="219" spans="1:34" x14ac:dyDescent="0.2">
      <c r="A219" s="13" t="s">
        <v>4</v>
      </c>
      <c r="E219" s="255"/>
    </row>
    <row r="220" spans="1:34" x14ac:dyDescent="0.2">
      <c r="A220" s="93" t="s">
        <v>221</v>
      </c>
      <c r="C220" s="14" t="s">
        <v>294</v>
      </c>
      <c r="D220" s="14" t="s">
        <v>230</v>
      </c>
      <c r="E220" s="254">
        <f>'Func &amp; Classif'!U312</f>
        <v>198084.15108834257</v>
      </c>
      <c r="F220" s="65">
        <f>IF(VLOOKUP($D220,$C$5:$AU$501,3,)=0,0,(VLOOKUP($D220,$C$5:$AU$501,4,)/VLOOKUP($D220,$C$5:$AU$501,3,))*$E220)</f>
        <v>153282.95527249892</v>
      </c>
      <c r="G220" s="65">
        <f>IF(VLOOKUP($D220,$C$5:$AU$501,3,)=0,0,(VLOOKUP($D220,$C$5:$AU$501,5,)/VLOOKUP($D220,$C$5:$AU$501,3,))*$E220)</f>
        <v>14981.718473092507</v>
      </c>
      <c r="H220" s="65">
        <f>IF(VLOOKUP($D220,$C$5:$AU$501,3,)=0,0,(VLOOKUP($D220,$C$5:$AU$501,6,)/VLOOKUP($D220,$C$5:$AU$501,3,))*$E220)</f>
        <v>25445.254542336006</v>
      </c>
      <c r="I220" s="65">
        <f>IF(VLOOKUP($D220,$C$5:$AU$501,3,)=0,0,(VLOOKUP($D220,$C$5:$AU$501,7,)/VLOOKUP($D220,$C$5:$AU$501,3,))*$E220)</f>
        <v>1944.0990224067364</v>
      </c>
      <c r="J220" s="65">
        <f>IF(VLOOKUP($D220,$C$5:$AU$501,3,)=0,0,(VLOOKUP($D220,$C$5:$AU$501,8,)/VLOOKUP($D220,$C$5:$AU$501,3,))*$E220)</f>
        <v>2430.1237780084207</v>
      </c>
      <c r="K220" s="65">
        <f>IF(VLOOKUP($D220,$C$5:$AU$501,3,)=0,0,(VLOOKUP($D220,$C$5:$AU$501,9,)/VLOOKUP($D220,$C$5:$AU$501,3,))*$E220)</f>
        <v>0</v>
      </c>
      <c r="L220" s="65">
        <f>IF(VLOOKUP($D220,$C$5:$AU$501,3,)=0,0,(VLOOKUP($D220,$C$5:$AU$501,10,)/VLOOKUP($D220,$C$5:$AU$501,3,))*$E220)</f>
        <v>0</v>
      </c>
      <c r="M220" s="65">
        <f>IF(VLOOKUP($D220,$C$5:$AU$501,3,)=0,0,(VLOOKUP($D220,$C$5:$AU$501,11,)/VLOOKUP($D220,$C$5:$AU$501,3,))*$E220)</f>
        <v>0</v>
      </c>
      <c r="N220" s="65">
        <f>IF(VLOOKUP($D220,$C$5:$AU$501,3,)=0,0,(VLOOKUP($D220,$C$5:$AU$501,12,)/VLOOKUP($D220,$C$5:$AU$501,3,))*$E220)</f>
        <v>0</v>
      </c>
      <c r="O220" s="65">
        <f>IF(VLOOKUP($D220,$C$5:$AU$501,3,)=0,0,(VLOOKUP($D220,$C$5:$AU$501,13,)/VLOOKUP($D220,$C$5:$AU$501,3,))*$E220)</f>
        <v>0</v>
      </c>
      <c r="P220" s="65">
        <f>IF(VLOOKUP($D220,$C$5:$AU$501,3,)=0,0,(VLOOKUP($D220,$C$5:$AU$501,14,)/VLOOKUP($D220,$C$5:$AU$501,3,))*$E220)</f>
        <v>0</v>
      </c>
      <c r="Q220" s="65">
        <f>IF(VLOOKUP($D220,$C$5:$AU$501,3,)=0,0,(VLOOKUP($D220,$C$5:$AU$501,15,)/VLOOKUP($D220,$C$5:$AU$501,3,))*$E220)</f>
        <v>0</v>
      </c>
      <c r="R220" s="65">
        <f>IF(VLOOKUP($D220,$C$5:$AU$501,3,)=0,0,(VLOOKUP($D220,$C$5:$AU$501,16,)/VLOOKUP($D220,$C$5:$AU$501,3,))*$E220)</f>
        <v>0</v>
      </c>
      <c r="S220" s="65">
        <f>IF(VLOOKUP($D220,$C$5:$AU$501,3,)=0,0,(VLOOKUP($D220,$C$5:$AU$501,17,)/VLOOKUP($D220,$C$5:$AU$501,3,))*$E220)</f>
        <v>0</v>
      </c>
      <c r="T220" s="65">
        <f>IF(VLOOKUP($D220,$C$5:$AU$501,3,)=0,0,(VLOOKUP($D220,$C$5:$AU$501,18,)/VLOOKUP($D220,$C$5:$AU$501,3,))*$E220)</f>
        <v>0</v>
      </c>
      <c r="U220" s="65">
        <f>IF(VLOOKUP($D220,$C$5:$AU$501,3,)=0,0,(VLOOKUP($D220,$C$5:$AU$501,19,)/VLOOKUP($D220,$C$5:$AU$501,3,))*$E220)</f>
        <v>0</v>
      </c>
      <c r="V220" s="65">
        <f>IF(VLOOKUP($D220,$C$5:$AU$501,3,)=0,0,(VLOOKUP($D220,$C$5:$AU$501,20,)/VLOOKUP($D220,$C$5:$AU$501,3,))*$E220)</f>
        <v>0</v>
      </c>
      <c r="W220" s="65">
        <f>IF(VLOOKUP($D220,$C$5:$AU$501,3,)=0,0,(VLOOKUP($D220,$C$5:$AU$501,21,)/VLOOKUP($D220,$C$5:$AU$501,3,))*$E220)</f>
        <v>0</v>
      </c>
      <c r="X220" s="65">
        <f>IF(VLOOKUP($D220,$C$5:$AU$501,3,)=0,0,(VLOOKUP($D220,$C$5:$AU$501,22,)/VLOOKUP($D220,$C$5:$AU$501,3,))*$E220)</f>
        <v>0</v>
      </c>
      <c r="Y220" s="65">
        <f>IF(VLOOKUP($D220,$C$5:$AU$501,3,)=0,0,(VLOOKUP($D220,$C$5:$AU$501,23,)/VLOOKUP($D220,$C$5:$AU$501,3,))*$E220)</f>
        <v>0</v>
      </c>
      <c r="Z220" s="65">
        <f>IF(VLOOKUP($D220,$C$5:$AU$501,3,)=0,0,(VLOOKUP($D220,$C$5:$AU$501,24,)/VLOOKUP($D220,$C$5:$AU$501,3,))*$E220)</f>
        <v>0</v>
      </c>
      <c r="AA220" s="65">
        <f>IF(VLOOKUP($D220,$C$5:$AU$501,3,)=0,0,(VLOOKUP($D220,$C$5:$AU$501,25,)/VLOOKUP($D220,$C$5:$AU$501,3,))*$E220)</f>
        <v>0</v>
      </c>
      <c r="AB220" s="65">
        <f>IF(VLOOKUP($D220,$C$5:$AU$501,3,)=0,0,(VLOOKUP($D220,$C$5:$AU$501,26,)/VLOOKUP($D220,$C$5:$AU$501,3,))*$E220)</f>
        <v>0</v>
      </c>
      <c r="AC220" s="65">
        <f>IF(VLOOKUP($D220,$C$5:$AU$501,3,)=0,0,(VLOOKUP($D220,$C$5:$AU$501,27,)/VLOOKUP($D220,$C$5:$AU$501,3,))*$E220)</f>
        <v>0</v>
      </c>
      <c r="AD220" s="65">
        <f>IF(VLOOKUP($D220,$C$5:$AU$501,3,)=0,0,(VLOOKUP($D220,$C$5:$AU$501,28,)/VLOOKUP($D220,$C$5:$AU$501,3,))*$E220)</f>
        <v>0</v>
      </c>
      <c r="AE220" s="65">
        <f>IF(VLOOKUP($D220,$C$5:$AU$501,3,)=0,0,(VLOOKUP($D220,$C$5:$AU$501,29,)/VLOOKUP($D220,$C$5:$AU$501,3,))*$E220)</f>
        <v>0</v>
      </c>
      <c r="AF220" s="65">
        <f>IF(VLOOKUP($D220,$C$5:$AU$501,3,)=0,0,(VLOOKUP($D220,$C$5:$AU$501,30,)/VLOOKUP($D220,$C$5:$AU$501,3,))*$E220)</f>
        <v>0</v>
      </c>
      <c r="AG220" s="90">
        <f>SUM(F220:AF220)</f>
        <v>198084.15108834259</v>
      </c>
      <c r="AH220" s="29" t="str">
        <f>IF(ABS(E220-AG220)&lt;0.01,"ok","err")</f>
        <v>ok</v>
      </c>
    </row>
    <row r="221" spans="1:34" x14ac:dyDescent="0.2">
      <c r="E221" s="255"/>
    </row>
    <row r="222" spans="1:34" x14ac:dyDescent="0.2">
      <c r="A222" s="13" t="s">
        <v>5</v>
      </c>
      <c r="E222" s="255"/>
    </row>
    <row r="223" spans="1:34" x14ac:dyDescent="0.2">
      <c r="A223" s="93" t="s">
        <v>221</v>
      </c>
      <c r="C223" s="14" t="s">
        <v>295</v>
      </c>
      <c r="D223" s="14" t="s">
        <v>232</v>
      </c>
      <c r="E223" s="254">
        <f>'Func &amp; Classif'!W312</f>
        <v>194732.25143756162</v>
      </c>
      <c r="F223" s="65">
        <f>IF(VLOOKUP($D223,$C$5:$AU$501,3,)=0,0,(VLOOKUP($D223,$C$5:$AU$501,4,)/VLOOKUP($D223,$C$5:$AU$501,3,))*$E223)</f>
        <v>0</v>
      </c>
      <c r="G223" s="65">
        <f>IF(VLOOKUP($D223,$C$5:$AU$501,3,)=0,0,(VLOOKUP($D223,$C$5:$AU$501,5,)/VLOOKUP($D223,$C$5:$AU$501,3,))*$E223)</f>
        <v>0</v>
      </c>
      <c r="H223" s="65">
        <f>IF(VLOOKUP($D223,$C$5:$AU$501,3,)=0,0,(VLOOKUP($D223,$C$5:$AU$501,6,)/VLOOKUP($D223,$C$5:$AU$501,3,))*$E223)</f>
        <v>0</v>
      </c>
      <c r="I223" s="65">
        <f>IF(VLOOKUP($D223,$C$5:$AU$501,3,)=0,0,(VLOOKUP($D223,$C$5:$AU$501,7,)/VLOOKUP($D223,$C$5:$AU$501,3,))*$E223)</f>
        <v>0</v>
      </c>
      <c r="J223" s="65">
        <f>IF(VLOOKUP($D223,$C$5:$AU$501,3,)=0,0,(VLOOKUP($D223,$C$5:$AU$501,8,)/VLOOKUP($D223,$C$5:$AU$501,3,))*$E223)</f>
        <v>0</v>
      </c>
      <c r="K223" s="65">
        <f>IF(VLOOKUP($D223,$C$5:$AU$501,3,)=0,0,(VLOOKUP($D223,$C$5:$AU$501,9,)/VLOOKUP($D223,$C$5:$AU$501,3,))*$E223)</f>
        <v>176425.95478037765</v>
      </c>
      <c r="L223" s="65">
        <f>IF(VLOOKUP($D223,$C$5:$AU$501,3,)=0,0,(VLOOKUP($D223,$C$5:$AU$501,10,)/VLOOKUP($D223,$C$5:$AU$501,3,))*$E223)</f>
        <v>18306.296657183975</v>
      </c>
      <c r="M223" s="65">
        <f>IF(VLOOKUP($D223,$C$5:$AU$501,3,)=0,0,(VLOOKUP($D223,$C$5:$AU$501,11,)/VLOOKUP($D223,$C$5:$AU$501,3,))*$E223)</f>
        <v>0</v>
      </c>
      <c r="N223" s="65">
        <f>IF(VLOOKUP($D223,$C$5:$AU$501,3,)=0,0,(VLOOKUP($D223,$C$5:$AU$501,12,)/VLOOKUP($D223,$C$5:$AU$501,3,))*$E223)</f>
        <v>0</v>
      </c>
      <c r="O223" s="65">
        <f>IF(VLOOKUP($D223,$C$5:$AU$501,3,)=0,0,(VLOOKUP($D223,$C$5:$AU$501,13,)/VLOOKUP($D223,$C$5:$AU$501,3,))*$E223)</f>
        <v>0</v>
      </c>
      <c r="P223" s="65">
        <f>IF(VLOOKUP($D223,$C$5:$AU$501,3,)=0,0,(VLOOKUP($D223,$C$5:$AU$501,14,)/VLOOKUP($D223,$C$5:$AU$501,3,))*$E223)</f>
        <v>0</v>
      </c>
      <c r="Q223" s="65">
        <f>IF(VLOOKUP($D223,$C$5:$AU$501,3,)=0,0,(VLOOKUP($D223,$C$5:$AU$501,15,)/VLOOKUP($D223,$C$5:$AU$501,3,))*$E223)</f>
        <v>0</v>
      </c>
      <c r="R223" s="65">
        <f>IF(VLOOKUP($D223,$C$5:$AU$501,3,)=0,0,(VLOOKUP($D223,$C$5:$AU$501,16,)/VLOOKUP($D223,$C$5:$AU$501,3,))*$E223)</f>
        <v>0</v>
      </c>
      <c r="S223" s="65">
        <f>IF(VLOOKUP($D223,$C$5:$AU$501,3,)=0,0,(VLOOKUP($D223,$C$5:$AU$501,17,)/VLOOKUP($D223,$C$5:$AU$501,3,))*$E223)</f>
        <v>0</v>
      </c>
      <c r="T223" s="65">
        <f>IF(VLOOKUP($D223,$C$5:$AU$501,3,)=0,0,(VLOOKUP($D223,$C$5:$AU$501,18,)/VLOOKUP($D223,$C$5:$AU$501,3,))*$E223)</f>
        <v>0</v>
      </c>
      <c r="U223" s="65">
        <f>IF(VLOOKUP($D223,$C$5:$AU$501,3,)=0,0,(VLOOKUP($D223,$C$5:$AU$501,19,)/VLOOKUP($D223,$C$5:$AU$501,3,))*$E223)</f>
        <v>0</v>
      </c>
      <c r="V223" s="65">
        <f>IF(VLOOKUP($D223,$C$5:$AU$501,3,)=0,0,(VLOOKUP($D223,$C$5:$AU$501,20,)/VLOOKUP($D223,$C$5:$AU$501,3,))*$E223)</f>
        <v>0</v>
      </c>
      <c r="W223" s="65">
        <f>IF(VLOOKUP($D223,$C$5:$AU$501,3,)=0,0,(VLOOKUP($D223,$C$5:$AU$501,21,)/VLOOKUP($D223,$C$5:$AU$501,3,))*$E223)</f>
        <v>0</v>
      </c>
      <c r="X223" s="65">
        <f>IF(VLOOKUP($D223,$C$5:$AU$501,3,)=0,0,(VLOOKUP($D223,$C$5:$AU$501,22,)/VLOOKUP($D223,$C$5:$AU$501,3,))*$E223)</f>
        <v>0</v>
      </c>
      <c r="Y223" s="65">
        <f>IF(VLOOKUP($D223,$C$5:$AU$501,3,)=0,0,(VLOOKUP($D223,$C$5:$AU$501,23,)/VLOOKUP($D223,$C$5:$AU$501,3,))*$E223)</f>
        <v>0</v>
      </c>
      <c r="Z223" s="65">
        <f>IF(VLOOKUP($D223,$C$5:$AU$501,3,)=0,0,(VLOOKUP($D223,$C$5:$AU$501,24,)/VLOOKUP($D223,$C$5:$AU$501,3,))*$E223)</f>
        <v>0</v>
      </c>
      <c r="AA223" s="65">
        <f>IF(VLOOKUP($D223,$C$5:$AU$501,3,)=0,0,(VLOOKUP($D223,$C$5:$AU$501,25,)/VLOOKUP($D223,$C$5:$AU$501,3,))*$E223)</f>
        <v>0</v>
      </c>
      <c r="AB223" s="65">
        <f>IF(VLOOKUP($D223,$C$5:$AU$501,3,)=0,0,(VLOOKUP($D223,$C$5:$AU$501,26,)/VLOOKUP($D223,$C$5:$AU$501,3,))*$E223)</f>
        <v>0</v>
      </c>
      <c r="AC223" s="65">
        <f>IF(VLOOKUP($D223,$C$5:$AU$501,3,)=0,0,(VLOOKUP($D223,$C$5:$AU$501,27,)/VLOOKUP($D223,$C$5:$AU$501,3,))*$E223)</f>
        <v>0</v>
      </c>
      <c r="AD223" s="65">
        <f>IF(VLOOKUP($D223,$C$5:$AU$501,3,)=0,0,(VLOOKUP($D223,$C$5:$AU$501,28,)/VLOOKUP($D223,$C$5:$AU$501,3,))*$E223)</f>
        <v>0</v>
      </c>
      <c r="AE223" s="65">
        <f>IF(VLOOKUP($D223,$C$5:$AU$501,3,)=0,0,(VLOOKUP($D223,$C$5:$AU$501,29,)/VLOOKUP($D223,$C$5:$AU$501,3,))*$E223)</f>
        <v>0</v>
      </c>
      <c r="AF223" s="65">
        <f>IF(VLOOKUP($D223,$C$5:$AU$501,3,)=0,0,(VLOOKUP($D223,$C$5:$AU$501,30,)/VLOOKUP($D223,$C$5:$AU$501,3,))*$E223)</f>
        <v>0</v>
      </c>
      <c r="AG223" s="90">
        <f>SUM(F223:AF223)</f>
        <v>194732.25143756162</v>
      </c>
      <c r="AH223" s="29" t="str">
        <f>IF(ABS(E223-AG223)&lt;0.01,"ok","err")</f>
        <v>ok</v>
      </c>
    </row>
    <row r="224" spans="1:34" x14ac:dyDescent="0.2">
      <c r="E224" s="255"/>
    </row>
    <row r="225" spans="1:34" x14ac:dyDescent="0.2">
      <c r="A225" s="13" t="s">
        <v>545</v>
      </c>
      <c r="E225" s="255"/>
    </row>
    <row r="226" spans="1:34" x14ac:dyDescent="0.2">
      <c r="A226" s="93" t="s">
        <v>221</v>
      </c>
      <c r="C226" s="14" t="s">
        <v>296</v>
      </c>
      <c r="D226" s="14" t="s">
        <v>234</v>
      </c>
      <c r="E226" s="254">
        <f>'Func &amp; Classif'!Y312</f>
        <v>0</v>
      </c>
      <c r="F226" s="65">
        <f>IF(VLOOKUP($D226,$C$5:$AU$501,3,)=0,0,(VLOOKUP($D226,$C$5:$AU$501,4,)/VLOOKUP($D226,$C$5:$AU$501,3,))*$E226)</f>
        <v>0</v>
      </c>
      <c r="G226" s="65">
        <f>IF(VLOOKUP($D226,$C$5:$AU$501,3,)=0,0,(VLOOKUP($D226,$C$5:$AU$501,5,)/VLOOKUP($D226,$C$5:$AU$501,3,))*$E226)</f>
        <v>0</v>
      </c>
      <c r="H226" s="65">
        <f>IF(VLOOKUP($D226,$C$5:$AU$501,3,)=0,0,(VLOOKUP($D226,$C$5:$AU$501,6,)/VLOOKUP($D226,$C$5:$AU$501,3,))*$E226)</f>
        <v>0</v>
      </c>
      <c r="I226" s="65">
        <f>IF(VLOOKUP($D226,$C$5:$AU$501,3,)=0,0,(VLOOKUP($D226,$C$5:$AU$501,7,)/VLOOKUP($D226,$C$5:$AU$501,3,))*$E226)</f>
        <v>0</v>
      </c>
      <c r="J226" s="65">
        <f>IF(VLOOKUP($D226,$C$5:$AU$501,3,)=0,0,(VLOOKUP($D226,$C$5:$AU$501,8,)/VLOOKUP($D226,$C$5:$AU$501,3,))*$E226)</f>
        <v>0</v>
      </c>
      <c r="K226" s="65">
        <f>IF(VLOOKUP($D226,$C$5:$AU$501,3,)=0,0,(VLOOKUP($D226,$C$5:$AU$501,9,)/VLOOKUP($D226,$C$5:$AU$501,3,))*$E226)</f>
        <v>0</v>
      </c>
      <c r="L226" s="65">
        <f>IF(VLOOKUP($D226,$C$5:$AU$501,3,)=0,0,(VLOOKUP($D226,$C$5:$AU$501,10,)/VLOOKUP($D226,$C$5:$AU$501,3,))*$E226)</f>
        <v>0</v>
      </c>
      <c r="M226" s="65">
        <f>IF(VLOOKUP($D226,$C$5:$AU$501,3,)=0,0,(VLOOKUP($D226,$C$5:$AU$501,11,)/VLOOKUP($D226,$C$5:$AU$501,3,))*$E226)</f>
        <v>0</v>
      </c>
      <c r="N226" s="65">
        <f>IF(VLOOKUP($D226,$C$5:$AU$501,3,)=0,0,(VLOOKUP($D226,$C$5:$AU$501,12,)/VLOOKUP($D226,$C$5:$AU$501,3,))*$E226)</f>
        <v>0</v>
      </c>
      <c r="O226" s="65">
        <f>IF(VLOOKUP($D226,$C$5:$AU$501,3,)=0,0,(VLOOKUP($D226,$C$5:$AU$501,13,)/VLOOKUP($D226,$C$5:$AU$501,3,))*$E226)</f>
        <v>0</v>
      </c>
      <c r="P226" s="65">
        <f>IF(VLOOKUP($D226,$C$5:$AU$501,3,)=0,0,(VLOOKUP($D226,$C$5:$AU$501,14,)/VLOOKUP($D226,$C$5:$AU$501,3,))*$E226)</f>
        <v>0</v>
      </c>
      <c r="Q226" s="65">
        <f>IF(VLOOKUP($D226,$C$5:$AU$501,3,)=0,0,(VLOOKUP($D226,$C$5:$AU$501,15,)/VLOOKUP($D226,$C$5:$AU$501,3,))*$E226)</f>
        <v>0</v>
      </c>
      <c r="R226" s="65">
        <f>IF(VLOOKUP($D226,$C$5:$AU$501,3,)=0,0,(VLOOKUP($D226,$C$5:$AU$501,16,)/VLOOKUP($D226,$C$5:$AU$501,3,))*$E226)</f>
        <v>0</v>
      </c>
      <c r="S226" s="65">
        <f>IF(VLOOKUP($D226,$C$5:$AU$501,3,)=0,0,(VLOOKUP($D226,$C$5:$AU$501,17,)/VLOOKUP($D226,$C$5:$AU$501,3,))*$E226)</f>
        <v>0</v>
      </c>
      <c r="T226" s="65">
        <f>IF(VLOOKUP($D226,$C$5:$AU$501,3,)=0,0,(VLOOKUP($D226,$C$5:$AU$501,18,)/VLOOKUP($D226,$C$5:$AU$501,3,))*$E226)</f>
        <v>0</v>
      </c>
      <c r="U226" s="65">
        <f>IF(VLOOKUP($D226,$C$5:$AU$501,3,)=0,0,(VLOOKUP($D226,$C$5:$AU$501,19,)/VLOOKUP($D226,$C$5:$AU$501,3,))*$E226)</f>
        <v>0</v>
      </c>
      <c r="V226" s="65">
        <f>IF(VLOOKUP($D226,$C$5:$AU$501,3,)=0,0,(VLOOKUP($D226,$C$5:$AU$501,20,)/VLOOKUP($D226,$C$5:$AU$501,3,))*$E226)</f>
        <v>0</v>
      </c>
      <c r="W226" s="65">
        <f>IF(VLOOKUP($D226,$C$5:$AU$501,3,)=0,0,(VLOOKUP($D226,$C$5:$AU$501,21,)/VLOOKUP($D226,$C$5:$AU$501,3,))*$E226)</f>
        <v>0</v>
      </c>
      <c r="X226" s="65">
        <f>IF(VLOOKUP($D226,$C$5:$AU$501,3,)=0,0,(VLOOKUP($D226,$C$5:$AU$501,22,)/VLOOKUP($D226,$C$5:$AU$501,3,))*$E226)</f>
        <v>0</v>
      </c>
      <c r="Y226" s="65">
        <f>IF(VLOOKUP($D226,$C$5:$AU$501,3,)=0,0,(VLOOKUP($D226,$C$5:$AU$501,23,)/VLOOKUP($D226,$C$5:$AU$501,3,))*$E226)</f>
        <v>0</v>
      </c>
      <c r="Z226" s="65">
        <f>IF(VLOOKUP($D226,$C$5:$AU$501,3,)=0,0,(VLOOKUP($D226,$C$5:$AU$501,24,)/VLOOKUP($D226,$C$5:$AU$501,3,))*$E226)</f>
        <v>0</v>
      </c>
      <c r="AA226" s="65">
        <f>IF(VLOOKUP($D226,$C$5:$AU$501,3,)=0,0,(VLOOKUP($D226,$C$5:$AU$501,25,)/VLOOKUP($D226,$C$5:$AU$501,3,))*$E226)</f>
        <v>0</v>
      </c>
      <c r="AB226" s="65">
        <f>IF(VLOOKUP($D226,$C$5:$AU$501,3,)=0,0,(VLOOKUP($D226,$C$5:$AU$501,26,)/VLOOKUP($D226,$C$5:$AU$501,3,))*$E226)</f>
        <v>0</v>
      </c>
      <c r="AC226" s="65">
        <f>IF(VLOOKUP($D226,$C$5:$AU$501,3,)=0,0,(VLOOKUP($D226,$C$5:$AU$501,27,)/VLOOKUP($D226,$C$5:$AU$501,3,))*$E226)</f>
        <v>0</v>
      </c>
      <c r="AD226" s="65">
        <f>IF(VLOOKUP($D226,$C$5:$AU$501,3,)=0,0,(VLOOKUP($D226,$C$5:$AU$501,28,)/VLOOKUP($D226,$C$5:$AU$501,3,))*$E226)</f>
        <v>0</v>
      </c>
      <c r="AE226" s="65">
        <f>IF(VLOOKUP($D226,$C$5:$AU$501,3,)=0,0,(VLOOKUP($D226,$C$5:$AU$501,29,)/VLOOKUP($D226,$C$5:$AU$501,3,))*$E226)</f>
        <v>0</v>
      </c>
      <c r="AF226" s="65">
        <f>IF(VLOOKUP($D226,$C$5:$AU$501,3,)=0,0,(VLOOKUP($D226,$C$5:$AU$501,30,)/VLOOKUP($D226,$C$5:$AU$501,3,))*$E226)</f>
        <v>0</v>
      </c>
      <c r="AG226" s="90">
        <f>SUM(F226:AF226)</f>
        <v>0</v>
      </c>
      <c r="AH226" s="29" t="str">
        <f>IF(ABS(E226-AG226)&lt;0.01,"ok","err")</f>
        <v>ok</v>
      </c>
    </row>
    <row r="227" spans="1:34" x14ac:dyDescent="0.2">
      <c r="E227" s="255"/>
    </row>
    <row r="228" spans="1:34" x14ac:dyDescent="0.2">
      <c r="A228" s="13" t="s">
        <v>470</v>
      </c>
      <c r="E228" s="255"/>
    </row>
    <row r="229" spans="1:34" x14ac:dyDescent="0.2">
      <c r="A229" s="93" t="s">
        <v>221</v>
      </c>
      <c r="C229" s="14" t="s">
        <v>293</v>
      </c>
      <c r="D229" s="14" t="s">
        <v>235</v>
      </c>
      <c r="E229" s="254">
        <f>'Func &amp; Classif'!AA312</f>
        <v>0</v>
      </c>
      <c r="F229" s="65">
        <f>IF(VLOOKUP($D229,$C$5:$AU$501,3,)=0,0,(VLOOKUP($D229,$C$5:$AU$501,4,)/VLOOKUP($D229,$C$5:$AU$501,3,))*$E229)</f>
        <v>0</v>
      </c>
      <c r="G229" s="65">
        <f>IF(VLOOKUP($D229,$C$5:$AU$501,3,)=0,0,(VLOOKUP($D229,$C$5:$AU$501,5,)/VLOOKUP($D229,$C$5:$AU$501,3,))*$E229)</f>
        <v>0</v>
      </c>
      <c r="H229" s="65">
        <f>IF(VLOOKUP($D229,$C$5:$AU$501,3,)=0,0,(VLOOKUP($D229,$C$5:$AU$501,6,)/VLOOKUP($D229,$C$5:$AU$501,3,))*$E229)</f>
        <v>0</v>
      </c>
      <c r="I229" s="65">
        <f>IF(VLOOKUP($D229,$C$5:$AU$501,3,)=0,0,(VLOOKUP($D229,$C$5:$AU$501,7,)/VLOOKUP($D229,$C$5:$AU$501,3,))*$E229)</f>
        <v>0</v>
      </c>
      <c r="J229" s="65">
        <f>IF(VLOOKUP($D229,$C$5:$AU$501,3,)=0,0,(VLOOKUP($D229,$C$5:$AU$501,8,)/VLOOKUP($D229,$C$5:$AU$501,3,))*$E229)</f>
        <v>0</v>
      </c>
      <c r="K229" s="65">
        <f>IF(VLOOKUP($D229,$C$5:$AU$501,3,)=0,0,(VLOOKUP($D229,$C$5:$AU$501,9,)/VLOOKUP($D229,$C$5:$AU$501,3,))*$E229)</f>
        <v>0</v>
      </c>
      <c r="L229" s="65">
        <f>IF(VLOOKUP($D229,$C$5:$AU$501,3,)=0,0,(VLOOKUP($D229,$C$5:$AU$501,10,)/VLOOKUP($D229,$C$5:$AU$501,3,))*$E229)</f>
        <v>0</v>
      </c>
      <c r="M229" s="65">
        <f>IF(VLOOKUP($D229,$C$5:$AU$501,3,)=0,0,(VLOOKUP($D229,$C$5:$AU$501,11,)/VLOOKUP($D229,$C$5:$AU$501,3,))*$E229)</f>
        <v>0</v>
      </c>
      <c r="N229" s="65">
        <f>IF(VLOOKUP($D229,$C$5:$AU$501,3,)=0,0,(VLOOKUP($D229,$C$5:$AU$501,12,)/VLOOKUP($D229,$C$5:$AU$501,3,))*$E229)</f>
        <v>0</v>
      </c>
      <c r="O229" s="65">
        <f>IF(VLOOKUP($D229,$C$5:$AU$501,3,)=0,0,(VLOOKUP($D229,$C$5:$AU$501,13,)/VLOOKUP($D229,$C$5:$AU$501,3,))*$E229)</f>
        <v>0</v>
      </c>
      <c r="P229" s="65">
        <f>IF(VLOOKUP($D229,$C$5:$AU$501,3,)=0,0,(VLOOKUP($D229,$C$5:$AU$501,14,)/VLOOKUP($D229,$C$5:$AU$501,3,))*$E229)</f>
        <v>0</v>
      </c>
      <c r="Q229" s="65">
        <f>IF(VLOOKUP($D229,$C$5:$AU$501,3,)=0,0,(VLOOKUP($D229,$C$5:$AU$501,15,)/VLOOKUP($D229,$C$5:$AU$501,3,))*$E229)</f>
        <v>0</v>
      </c>
      <c r="R229" s="65">
        <f>IF(VLOOKUP($D229,$C$5:$AU$501,3,)=0,0,(VLOOKUP($D229,$C$5:$AU$501,16,)/VLOOKUP($D229,$C$5:$AU$501,3,))*$E229)</f>
        <v>0</v>
      </c>
      <c r="S229" s="65">
        <f>IF(VLOOKUP($D229,$C$5:$AU$501,3,)=0,0,(VLOOKUP($D229,$C$5:$AU$501,17,)/VLOOKUP($D229,$C$5:$AU$501,3,))*$E229)</f>
        <v>0</v>
      </c>
      <c r="T229" s="65">
        <f>IF(VLOOKUP($D229,$C$5:$AU$501,3,)=0,0,(VLOOKUP($D229,$C$5:$AU$501,18,)/VLOOKUP($D229,$C$5:$AU$501,3,))*$E229)</f>
        <v>0</v>
      </c>
      <c r="U229" s="65">
        <f>IF(VLOOKUP($D229,$C$5:$AU$501,3,)=0,0,(VLOOKUP($D229,$C$5:$AU$501,19,)/VLOOKUP($D229,$C$5:$AU$501,3,))*$E229)</f>
        <v>0</v>
      </c>
      <c r="V229" s="65">
        <f>IF(VLOOKUP($D229,$C$5:$AU$501,3,)=0,0,(VLOOKUP($D229,$C$5:$AU$501,20,)/VLOOKUP($D229,$C$5:$AU$501,3,))*$E229)</f>
        <v>0</v>
      </c>
      <c r="W229" s="65">
        <f>IF(VLOOKUP($D229,$C$5:$AU$501,3,)=0,0,(VLOOKUP($D229,$C$5:$AU$501,21,)/VLOOKUP($D229,$C$5:$AU$501,3,))*$E229)</f>
        <v>0</v>
      </c>
      <c r="X229" s="65">
        <f>IF(VLOOKUP($D229,$C$5:$AU$501,3,)=0,0,(VLOOKUP($D229,$C$5:$AU$501,22,)/VLOOKUP($D229,$C$5:$AU$501,3,))*$E229)</f>
        <v>0</v>
      </c>
      <c r="Y229" s="65">
        <f>IF(VLOOKUP($D229,$C$5:$AU$501,3,)=0,0,(VLOOKUP($D229,$C$5:$AU$501,23,)/VLOOKUP($D229,$C$5:$AU$501,3,))*$E229)</f>
        <v>0</v>
      </c>
      <c r="Z229" s="65">
        <f>IF(VLOOKUP($D229,$C$5:$AU$501,3,)=0,0,(VLOOKUP($D229,$C$5:$AU$501,24,)/VLOOKUP($D229,$C$5:$AU$501,3,))*$E229)</f>
        <v>0</v>
      </c>
      <c r="AA229" s="65">
        <f>IF(VLOOKUP($D229,$C$5:$AU$501,3,)=0,0,(VLOOKUP($D229,$C$5:$AU$501,25,)/VLOOKUP($D229,$C$5:$AU$501,3,))*$E229)</f>
        <v>0</v>
      </c>
      <c r="AB229" s="65">
        <f>IF(VLOOKUP($D229,$C$5:$AU$501,3,)=0,0,(VLOOKUP($D229,$C$5:$AU$501,26,)/VLOOKUP($D229,$C$5:$AU$501,3,))*$E229)</f>
        <v>0</v>
      </c>
      <c r="AC229" s="65">
        <f>IF(VLOOKUP($D229,$C$5:$AU$501,3,)=0,0,(VLOOKUP($D229,$C$5:$AU$501,27,)/VLOOKUP($D229,$C$5:$AU$501,3,))*$E229)</f>
        <v>0</v>
      </c>
      <c r="AD229" s="65">
        <f>IF(VLOOKUP($D229,$C$5:$AU$501,3,)=0,0,(VLOOKUP($D229,$C$5:$AU$501,28,)/VLOOKUP($D229,$C$5:$AU$501,3,))*$E229)</f>
        <v>0</v>
      </c>
      <c r="AE229" s="65">
        <f>IF(VLOOKUP($D229,$C$5:$AU$501,3,)=0,0,(VLOOKUP($D229,$C$5:$AU$501,29,)/VLOOKUP($D229,$C$5:$AU$501,3,))*$E229)</f>
        <v>0</v>
      </c>
      <c r="AF229" s="65">
        <f>IF(VLOOKUP($D229,$C$5:$AU$501,3,)=0,0,(VLOOKUP($D229,$C$5:$AU$501,30,)/VLOOKUP($D229,$C$5:$AU$501,3,))*$E229)</f>
        <v>0</v>
      </c>
      <c r="AG229" s="90">
        <f>SUM(F229:AF229)</f>
        <v>0</v>
      </c>
      <c r="AH229" s="29" t="str">
        <f>IF(ABS(E229-AG229)&lt;0.01,"ok","err")</f>
        <v>ok</v>
      </c>
    </row>
    <row r="230" spans="1:34" x14ac:dyDescent="0.2">
      <c r="E230" s="255"/>
    </row>
    <row r="231" spans="1:34" x14ac:dyDescent="0.2">
      <c r="A231" s="14" t="s">
        <v>0</v>
      </c>
      <c r="C231" s="14" t="s">
        <v>297</v>
      </c>
      <c r="E231" s="254">
        <f>E201+E204+E207+E212+E217+E220+E223+E226+E229</f>
        <v>5204786.8100000015</v>
      </c>
      <c r="F231" s="65">
        <f t="shared" ref="F231:R231" si="47">F201+F204+F207+F212+F217+F220+F223+F226+F229</f>
        <v>4376483.0250841258</v>
      </c>
      <c r="G231" s="65">
        <f t="shared" si="47"/>
        <v>291078.66148489981</v>
      </c>
      <c r="H231" s="65">
        <f t="shared" si="47"/>
        <v>275751.19952931826</v>
      </c>
      <c r="I231" s="65">
        <f t="shared" si="47"/>
        <v>5255.6943386453459</v>
      </c>
      <c r="J231" s="65">
        <f t="shared" si="47"/>
        <v>36446.663800361188</v>
      </c>
      <c r="K231" s="65">
        <f t="shared" si="47"/>
        <v>199080.54039150279</v>
      </c>
      <c r="L231" s="65">
        <f t="shared" si="47"/>
        <v>20691.025371147785</v>
      </c>
      <c r="M231" s="65">
        <f t="shared" si="47"/>
        <v>0</v>
      </c>
      <c r="N231" s="65">
        <f t="shared" si="47"/>
        <v>0</v>
      </c>
      <c r="O231" s="65">
        <f t="shared" si="47"/>
        <v>0</v>
      </c>
      <c r="P231" s="65">
        <f t="shared" si="47"/>
        <v>0</v>
      </c>
      <c r="Q231" s="65">
        <f t="shared" si="47"/>
        <v>0</v>
      </c>
      <c r="R231" s="65">
        <f t="shared" si="47"/>
        <v>0</v>
      </c>
      <c r="S231" s="65">
        <f t="shared" ref="S231:AF231" si="48">S201+S207+S212+S217+S220+S223+S226+S229</f>
        <v>0</v>
      </c>
      <c r="T231" s="65">
        <f t="shared" si="48"/>
        <v>0</v>
      </c>
      <c r="U231" s="65">
        <f t="shared" si="48"/>
        <v>0</v>
      </c>
      <c r="V231" s="65">
        <f t="shared" si="48"/>
        <v>0</v>
      </c>
      <c r="W231" s="65">
        <f t="shared" si="48"/>
        <v>0</v>
      </c>
      <c r="X231" s="65">
        <f t="shared" si="48"/>
        <v>0</v>
      </c>
      <c r="Y231" s="65">
        <f t="shared" si="48"/>
        <v>0</v>
      </c>
      <c r="Z231" s="65">
        <f t="shared" si="48"/>
        <v>0</v>
      </c>
      <c r="AA231" s="65">
        <f t="shared" si="48"/>
        <v>0</v>
      </c>
      <c r="AB231" s="65">
        <f t="shared" si="48"/>
        <v>0</v>
      </c>
      <c r="AC231" s="65">
        <f t="shared" si="48"/>
        <v>0</v>
      </c>
      <c r="AD231" s="65">
        <f t="shared" si="48"/>
        <v>0</v>
      </c>
      <c r="AE231" s="65">
        <f t="shared" si="48"/>
        <v>0</v>
      </c>
      <c r="AF231" s="65">
        <f t="shared" si="48"/>
        <v>0</v>
      </c>
      <c r="AG231" s="90">
        <f>SUM(F231:AF231)</f>
        <v>5204786.8100000024</v>
      </c>
      <c r="AH231" s="29" t="str">
        <f>IF(ABS(E231-AG231)&lt;0.01,"ok","err")</f>
        <v>ok</v>
      </c>
    </row>
    <row r="234" spans="1:34" x14ac:dyDescent="0.2">
      <c r="A234" s="27" t="s">
        <v>188</v>
      </c>
    </row>
    <row r="236" spans="1:34" x14ac:dyDescent="0.2">
      <c r="A236" s="13" t="s">
        <v>896</v>
      </c>
    </row>
    <row r="237" spans="1:34" x14ac:dyDescent="0.2">
      <c r="A237" s="93" t="s">
        <v>209</v>
      </c>
      <c r="C237" s="14" t="s">
        <v>298</v>
      </c>
      <c r="D237" s="14" t="s">
        <v>657</v>
      </c>
      <c r="E237" s="254">
        <f>'Func &amp; Classif'!H314</f>
        <v>0</v>
      </c>
      <c r="F237" s="65">
        <f>IF(VLOOKUP($D237,$C$5:$AU$501,3,)=0,0,(VLOOKUP($D237,$C$5:$AU$501,4,)/VLOOKUP($D237,$C$5:$AU$501,3,))*$E237)</f>
        <v>0</v>
      </c>
      <c r="G237" s="65">
        <f>IF(VLOOKUP($D237,$C$5:$AU$501,3,)=0,0,(VLOOKUP($D237,$C$5:$AU$501,5,)/VLOOKUP($D237,$C$5:$AU$501,3,))*$E237)</f>
        <v>0</v>
      </c>
      <c r="H237" s="65">
        <f>IF(VLOOKUP($D237,$C$5:$AU$501,3,)=0,0,(VLOOKUP($D237,$C$5:$AU$501,6,)/VLOOKUP($D237,$C$5:$AU$501,3,))*$E237)</f>
        <v>0</v>
      </c>
      <c r="I237" s="65">
        <f>IF(VLOOKUP($D237,$C$5:$AU$501,3,)=0,0,(VLOOKUP($D237,$C$5:$AU$501,7,)/VLOOKUP($D237,$C$5:$AU$501,3,))*$E237)</f>
        <v>0</v>
      </c>
      <c r="J237" s="65">
        <f>IF(VLOOKUP($D237,$C$5:$AU$501,3,)=0,0,(VLOOKUP($D237,$C$5:$AU$501,8,)/VLOOKUP($D237,$C$5:$AU$501,3,))*$E237)</f>
        <v>0</v>
      </c>
      <c r="K237" s="65">
        <f>IF(VLOOKUP($D237,$C$5:$AU$501,3,)=0,0,(VLOOKUP($D237,$C$5:$AU$501,9,)/VLOOKUP($D237,$C$5:$AU$501,3,))*$E237)</f>
        <v>0</v>
      </c>
      <c r="L237" s="65">
        <f>IF(VLOOKUP($D237,$C$5:$AU$501,3,)=0,0,(VLOOKUP($D237,$C$5:$AU$501,10,)/VLOOKUP($D237,$C$5:$AU$501,3,))*$E237)</f>
        <v>0</v>
      </c>
      <c r="M237" s="65">
        <f>IF(VLOOKUP($D237,$C$5:$AU$501,3,)=0,0,(VLOOKUP($D237,$C$5:$AU$501,11,)/VLOOKUP($D237,$C$5:$AU$501,3,))*$E237)</f>
        <v>0</v>
      </c>
      <c r="N237" s="65">
        <f>IF(VLOOKUP($D237,$C$5:$AU$501,3,)=0,0,(VLOOKUP($D237,$C$5:$AU$501,12,)/VLOOKUP($D237,$C$5:$AU$501,3,))*$E237)</f>
        <v>0</v>
      </c>
      <c r="O237" s="65">
        <f>IF(VLOOKUP($D237,$C$5:$AU$501,3,)=0,0,(VLOOKUP($D237,$C$5:$AU$501,13,)/VLOOKUP($D237,$C$5:$AU$501,3,))*$E237)</f>
        <v>0</v>
      </c>
      <c r="P237" s="65">
        <f>IF(VLOOKUP($D237,$C$5:$AU$501,3,)=0,0,(VLOOKUP($D237,$C$5:$AU$501,14,)/VLOOKUP($D237,$C$5:$AU$501,3,))*$E237)</f>
        <v>0</v>
      </c>
      <c r="Q237" s="65">
        <f>IF(VLOOKUP($D237,$C$5:$AU$501,3,)=0,0,(VLOOKUP($D237,$C$5:$AU$501,15,)/VLOOKUP($D237,$C$5:$AU$501,3,))*$E237)</f>
        <v>0</v>
      </c>
      <c r="R237" s="65">
        <f>IF(VLOOKUP($D237,$C$5:$AU$501,3,)=0,0,(VLOOKUP($D237,$C$5:$AU$501,16,)/VLOOKUP($D237,$C$5:$AU$501,3,))*$E237)</f>
        <v>0</v>
      </c>
      <c r="S237" s="65">
        <f>IF(VLOOKUP($D237,$C$5:$AU$501,3,)=0,0,(VLOOKUP($D237,$C$5:$AU$501,17,)/VLOOKUP($D237,$C$5:$AU$501,3,))*$E237)</f>
        <v>0</v>
      </c>
      <c r="T237" s="65">
        <f>IF(VLOOKUP($D237,$C$5:$AU$501,3,)=0,0,(VLOOKUP($D237,$C$5:$AU$501,18,)/VLOOKUP($D237,$C$5:$AU$501,3,))*$E237)</f>
        <v>0</v>
      </c>
      <c r="U237" s="65">
        <f>IF(VLOOKUP($D237,$C$5:$AU$501,3,)=0,0,(VLOOKUP($D237,$C$5:$AU$501,19,)/VLOOKUP($D237,$C$5:$AU$501,3,))*$E237)</f>
        <v>0</v>
      </c>
      <c r="V237" s="65">
        <f>IF(VLOOKUP($D237,$C$5:$AU$501,3,)=0,0,(VLOOKUP($D237,$C$5:$AU$501,20,)/VLOOKUP($D237,$C$5:$AU$501,3,))*$E237)</f>
        <v>0</v>
      </c>
      <c r="W237" s="65">
        <f>IF(VLOOKUP($D237,$C$5:$AU$501,3,)=0,0,(VLOOKUP($D237,$C$5:$AU$501,21,)/VLOOKUP($D237,$C$5:$AU$501,3,))*$E237)</f>
        <v>0</v>
      </c>
      <c r="X237" s="65">
        <f>IF(VLOOKUP($D237,$C$5:$AU$501,3,)=0,0,(VLOOKUP($D237,$C$5:$AU$501,22,)/VLOOKUP($D237,$C$5:$AU$501,3,))*$E237)</f>
        <v>0</v>
      </c>
      <c r="Y237" s="65">
        <f>IF(VLOOKUP($D237,$C$5:$AU$501,3,)=0,0,(VLOOKUP($D237,$C$5:$AU$501,23,)/VLOOKUP($D237,$C$5:$AU$501,3,))*$E237)</f>
        <v>0</v>
      </c>
      <c r="Z237" s="65">
        <f>IF(VLOOKUP($D237,$C$5:$AU$501,3,)=0,0,(VLOOKUP($D237,$C$5:$AU$501,24,)/VLOOKUP($D237,$C$5:$AU$501,3,))*$E237)</f>
        <v>0</v>
      </c>
      <c r="AA237" s="65">
        <f>IF(VLOOKUP($D237,$C$5:$AU$501,3,)=0,0,(VLOOKUP($D237,$C$5:$AU$501,25,)/VLOOKUP($D237,$C$5:$AU$501,3,))*$E237)</f>
        <v>0</v>
      </c>
      <c r="AB237" s="65">
        <f>IF(VLOOKUP($D237,$C$5:$AU$501,3,)=0,0,(VLOOKUP($D237,$C$5:$AU$501,26,)/VLOOKUP($D237,$C$5:$AU$501,3,))*$E237)</f>
        <v>0</v>
      </c>
      <c r="AC237" s="65">
        <f>IF(VLOOKUP($D237,$C$5:$AU$501,3,)=0,0,(VLOOKUP($D237,$C$5:$AU$501,27,)/VLOOKUP($D237,$C$5:$AU$501,3,))*$E237)</f>
        <v>0</v>
      </c>
      <c r="AD237" s="65">
        <f>IF(VLOOKUP($D237,$C$5:$AU$501,3,)=0,0,(VLOOKUP($D237,$C$5:$AU$501,28,)/VLOOKUP($D237,$C$5:$AU$501,3,))*$E237)</f>
        <v>0</v>
      </c>
      <c r="AE237" s="65">
        <f>IF(VLOOKUP($D237,$C$5:$AU$501,3,)=0,0,(VLOOKUP($D237,$C$5:$AU$501,29,)/VLOOKUP($D237,$C$5:$AU$501,3,))*$E237)</f>
        <v>0</v>
      </c>
      <c r="AF237" s="65">
        <f>IF(VLOOKUP($D237,$C$5:$AU$501,3,)=0,0,(VLOOKUP($D237,$C$5:$AU$501,30,)/VLOOKUP($D237,$C$5:$AU$501,3,))*$E237)</f>
        <v>0</v>
      </c>
      <c r="AG237" s="90">
        <f>SUM(F237:AF237)</f>
        <v>0</v>
      </c>
      <c r="AH237" s="29" t="str">
        <f>IF(ABS(E237-AG237)&lt;0.01,"ok","err")</f>
        <v>ok</v>
      </c>
    </row>
    <row r="238" spans="1:34" x14ac:dyDescent="0.2">
      <c r="A238" s="93" t="s">
        <v>212</v>
      </c>
      <c r="C238" s="14" t="s">
        <v>299</v>
      </c>
      <c r="D238" s="14" t="s">
        <v>666</v>
      </c>
      <c r="E238" s="255">
        <f>'Func &amp; Classif'!I314</f>
        <v>0</v>
      </c>
      <c r="F238" s="65">
        <f>IF(VLOOKUP($D238,$C$5:$AU$501,3,)=0,0,(VLOOKUP($D238,$C$5:$AU$501,4,)/VLOOKUP($D238,$C$5:$AU$501,3,))*$E238)</f>
        <v>0</v>
      </c>
      <c r="G238" s="65">
        <f>IF(VLOOKUP($D238,$C$5:$AU$501,3,)=0,0,(VLOOKUP($D238,$C$5:$AU$501,5,)/VLOOKUP($D238,$C$5:$AU$501,3,))*$E238)</f>
        <v>0</v>
      </c>
      <c r="H238" s="65">
        <f>IF(VLOOKUP($D238,$C$5:$AU$501,3,)=0,0,(VLOOKUP($D238,$C$5:$AU$501,6,)/VLOOKUP($D238,$C$5:$AU$501,3,))*$E238)</f>
        <v>0</v>
      </c>
      <c r="I238" s="65">
        <f>IF(VLOOKUP($D238,$C$5:$AU$501,3,)=0,0,(VLOOKUP($D238,$C$5:$AU$501,7,)/VLOOKUP($D238,$C$5:$AU$501,3,))*$E238)</f>
        <v>0</v>
      </c>
      <c r="J238" s="65">
        <f>IF(VLOOKUP($D238,$C$5:$AU$501,3,)=0,0,(VLOOKUP($D238,$C$5:$AU$501,8,)/VLOOKUP($D238,$C$5:$AU$501,3,))*$E238)</f>
        <v>0</v>
      </c>
      <c r="K238" s="65">
        <f>IF(VLOOKUP($D238,$C$5:$AU$501,3,)=0,0,(VLOOKUP($D238,$C$5:$AU$501,9,)/VLOOKUP($D238,$C$5:$AU$501,3,))*$E238)</f>
        <v>0</v>
      </c>
      <c r="L238" s="65">
        <f>IF(VLOOKUP($D238,$C$5:$AU$501,3,)=0,0,(VLOOKUP($D238,$C$5:$AU$501,10,)/VLOOKUP($D238,$C$5:$AU$501,3,))*$E238)</f>
        <v>0</v>
      </c>
      <c r="M238" s="65">
        <f>IF(VLOOKUP($D238,$C$5:$AU$501,3,)=0,0,(VLOOKUP($D238,$C$5:$AU$501,11,)/VLOOKUP($D238,$C$5:$AU$501,3,))*$E238)</f>
        <v>0</v>
      </c>
      <c r="N238" s="65">
        <f>IF(VLOOKUP($D238,$C$5:$AU$501,3,)=0,0,(VLOOKUP($D238,$C$5:$AU$501,12,)/VLOOKUP($D238,$C$5:$AU$501,3,))*$E238)</f>
        <v>0</v>
      </c>
      <c r="O238" s="65">
        <f>IF(VLOOKUP($D238,$C$5:$AU$501,3,)=0,0,(VLOOKUP($D238,$C$5:$AU$501,13,)/VLOOKUP($D238,$C$5:$AU$501,3,))*$E238)</f>
        <v>0</v>
      </c>
      <c r="P238" s="65">
        <f>IF(VLOOKUP($D238,$C$5:$AU$501,3,)=0,0,(VLOOKUP($D238,$C$5:$AU$501,14,)/VLOOKUP($D238,$C$5:$AU$501,3,))*$E238)</f>
        <v>0</v>
      </c>
      <c r="Q238" s="65">
        <f>IF(VLOOKUP($D238,$C$5:$AU$501,3,)=0,0,(VLOOKUP($D238,$C$5:$AU$501,15,)/VLOOKUP($D238,$C$5:$AU$501,3,))*$E238)</f>
        <v>0</v>
      </c>
      <c r="R238" s="65">
        <f>IF(VLOOKUP($D238,$C$5:$AU$501,3,)=0,0,(VLOOKUP($D238,$C$5:$AU$501,16,)/VLOOKUP($D238,$C$5:$AU$501,3,))*$E238)</f>
        <v>0</v>
      </c>
      <c r="S238" s="65">
        <f>IF(VLOOKUP($D238,$C$5:$AU$501,3,)=0,0,(VLOOKUP($D238,$C$5:$AU$501,17,)/VLOOKUP($D238,$C$5:$AU$501,3,))*$E238)</f>
        <v>0</v>
      </c>
      <c r="T238" s="65">
        <f>IF(VLOOKUP($D238,$C$5:$AU$501,3,)=0,0,(VLOOKUP($D238,$C$5:$AU$501,18,)/VLOOKUP($D238,$C$5:$AU$501,3,))*$E238)</f>
        <v>0</v>
      </c>
      <c r="U238" s="65">
        <f>IF(VLOOKUP($D238,$C$5:$AU$501,3,)=0,0,(VLOOKUP($D238,$C$5:$AU$501,19,)/VLOOKUP($D238,$C$5:$AU$501,3,))*$E238)</f>
        <v>0</v>
      </c>
      <c r="V238" s="65">
        <f>IF(VLOOKUP($D238,$C$5:$AU$501,3,)=0,0,(VLOOKUP($D238,$C$5:$AU$501,20,)/VLOOKUP($D238,$C$5:$AU$501,3,))*$E238)</f>
        <v>0</v>
      </c>
      <c r="W238" s="65">
        <f>IF(VLOOKUP($D238,$C$5:$AU$501,3,)=0,0,(VLOOKUP($D238,$C$5:$AU$501,21,)/VLOOKUP($D238,$C$5:$AU$501,3,))*$E238)</f>
        <v>0</v>
      </c>
      <c r="X238" s="65">
        <f>IF(VLOOKUP($D238,$C$5:$AU$501,3,)=0,0,(VLOOKUP($D238,$C$5:$AU$501,22,)/VLOOKUP($D238,$C$5:$AU$501,3,))*$E238)</f>
        <v>0</v>
      </c>
      <c r="Y238" s="65">
        <f>IF(VLOOKUP($D238,$C$5:$AU$501,3,)=0,0,(VLOOKUP($D238,$C$5:$AU$501,23,)/VLOOKUP($D238,$C$5:$AU$501,3,))*$E238)</f>
        <v>0</v>
      </c>
      <c r="Z238" s="65">
        <f>IF(VLOOKUP($D238,$C$5:$AU$501,3,)=0,0,(VLOOKUP($D238,$C$5:$AU$501,24,)/VLOOKUP($D238,$C$5:$AU$501,3,))*$E238)</f>
        <v>0</v>
      </c>
      <c r="AA238" s="65">
        <f>IF(VLOOKUP($D238,$C$5:$AU$501,3,)=0,0,(VLOOKUP($D238,$C$5:$AU$501,25,)/VLOOKUP($D238,$C$5:$AU$501,3,))*$E238)</f>
        <v>0</v>
      </c>
      <c r="AB238" s="65">
        <f>IF(VLOOKUP($D238,$C$5:$AU$501,3,)=0,0,(VLOOKUP($D238,$C$5:$AU$501,26,)/VLOOKUP($D238,$C$5:$AU$501,3,))*$E238)</f>
        <v>0</v>
      </c>
      <c r="AC238" s="65">
        <f>IF(VLOOKUP($D238,$C$5:$AU$501,3,)=0,0,(VLOOKUP($D238,$C$5:$AU$501,27,)/VLOOKUP($D238,$C$5:$AU$501,3,))*$E238)</f>
        <v>0</v>
      </c>
      <c r="AD238" s="65">
        <f>IF(VLOOKUP($D238,$C$5:$AU$501,3,)=0,0,(VLOOKUP($D238,$C$5:$AU$501,28,)/VLOOKUP($D238,$C$5:$AU$501,3,))*$E238)</f>
        <v>0</v>
      </c>
      <c r="AE238" s="65">
        <f>IF(VLOOKUP($D238,$C$5:$AU$501,3,)=0,0,(VLOOKUP($D238,$C$5:$AU$501,29,)/VLOOKUP($D238,$C$5:$AU$501,3,))*$E238)</f>
        <v>0</v>
      </c>
      <c r="AF238" s="65">
        <f>IF(VLOOKUP($D238,$C$5:$AU$501,3,)=0,0,(VLOOKUP($D238,$C$5:$AU$501,30,)/VLOOKUP($D238,$C$5:$AU$501,3,))*$E238)</f>
        <v>0</v>
      </c>
      <c r="AG238" s="90">
        <f>SUM(F238:AF238)</f>
        <v>0</v>
      </c>
      <c r="AH238" s="29" t="str">
        <f>IF(ABS(E238-AG238)&lt;0.01,"ok","err")</f>
        <v>ok</v>
      </c>
    </row>
    <row r="239" spans="1:34" x14ac:dyDescent="0.2">
      <c r="A239" s="14" t="s">
        <v>215</v>
      </c>
      <c r="C239" s="14" t="s">
        <v>300</v>
      </c>
      <c r="E239" s="255">
        <f t="shared" ref="E239:T239" si="49">E237+E238</f>
        <v>0</v>
      </c>
      <c r="F239" s="65">
        <f t="shared" si="49"/>
        <v>0</v>
      </c>
      <c r="G239" s="65">
        <f t="shared" si="49"/>
        <v>0</v>
      </c>
      <c r="H239" s="65">
        <f t="shared" si="49"/>
        <v>0</v>
      </c>
      <c r="I239" s="65">
        <f t="shared" si="49"/>
        <v>0</v>
      </c>
      <c r="J239" s="65">
        <f t="shared" si="49"/>
        <v>0</v>
      </c>
      <c r="K239" s="65">
        <f t="shared" si="49"/>
        <v>0</v>
      </c>
      <c r="L239" s="65">
        <f t="shared" si="49"/>
        <v>0</v>
      </c>
      <c r="M239" s="65">
        <f t="shared" si="49"/>
        <v>0</v>
      </c>
      <c r="N239" s="65">
        <f t="shared" si="49"/>
        <v>0</v>
      </c>
      <c r="O239" s="65">
        <f t="shared" si="49"/>
        <v>0</v>
      </c>
      <c r="P239" s="65">
        <f t="shared" si="49"/>
        <v>0</v>
      </c>
      <c r="Q239" s="65">
        <f t="shared" si="49"/>
        <v>0</v>
      </c>
      <c r="R239" s="65">
        <f t="shared" si="49"/>
        <v>0</v>
      </c>
      <c r="S239" s="65">
        <f t="shared" si="49"/>
        <v>0</v>
      </c>
      <c r="T239" s="65">
        <f t="shared" si="49"/>
        <v>0</v>
      </c>
      <c r="U239" s="65">
        <f t="shared" ref="U239:AF239" si="50">U237+U238</f>
        <v>0</v>
      </c>
      <c r="V239" s="65">
        <f t="shared" si="50"/>
        <v>0</v>
      </c>
      <c r="W239" s="65">
        <f t="shared" si="50"/>
        <v>0</v>
      </c>
      <c r="X239" s="65">
        <f t="shared" si="50"/>
        <v>0</v>
      </c>
      <c r="Y239" s="65">
        <f t="shared" si="50"/>
        <v>0</v>
      </c>
      <c r="Z239" s="65">
        <f t="shared" si="50"/>
        <v>0</v>
      </c>
      <c r="AA239" s="65">
        <f t="shared" si="50"/>
        <v>0</v>
      </c>
      <c r="AB239" s="65">
        <f t="shared" si="50"/>
        <v>0</v>
      </c>
      <c r="AC239" s="65">
        <f t="shared" si="50"/>
        <v>0</v>
      </c>
      <c r="AD239" s="65">
        <f t="shared" si="50"/>
        <v>0</v>
      </c>
      <c r="AE239" s="65">
        <f t="shared" si="50"/>
        <v>0</v>
      </c>
      <c r="AF239" s="65">
        <f t="shared" si="50"/>
        <v>0</v>
      </c>
      <c r="AG239" s="90">
        <f>SUM(F239:AF239)</f>
        <v>0</v>
      </c>
      <c r="AH239" s="29" t="str">
        <f>IF(ABS(E239-AG239)&lt;0.01,"ok","err")</f>
        <v>ok</v>
      </c>
    </row>
    <row r="240" spans="1:34" x14ac:dyDescent="0.2">
      <c r="E240" s="255"/>
      <c r="F240" s="49"/>
    </row>
    <row r="241" spans="1:34" x14ac:dyDescent="0.2">
      <c r="A241" s="13" t="s">
        <v>350</v>
      </c>
      <c r="E241" s="255"/>
      <c r="F241" s="49"/>
    </row>
    <row r="242" spans="1:34" x14ac:dyDescent="0.2">
      <c r="A242" s="93" t="s">
        <v>209</v>
      </c>
      <c r="C242" s="14" t="s">
        <v>891</v>
      </c>
      <c r="D242" s="14" t="s">
        <v>625</v>
      </c>
      <c r="E242" s="254">
        <f>'Func &amp; Classif'!K314</f>
        <v>0</v>
      </c>
      <c r="F242" s="65">
        <f>IF(VLOOKUP($D242,$C$5:$AU$501,3,)=0,0,(VLOOKUP($D242,$C$5:$AU$501,4,)/VLOOKUP($D242,$C$5:$AU$501,3,))*$E242)</f>
        <v>0</v>
      </c>
      <c r="G242" s="65">
        <f>IF(VLOOKUP($D242,$C$5:$AU$501,3,)=0,0,(VLOOKUP($D242,$C$5:$AU$501,5,)/VLOOKUP($D242,$C$5:$AU$501,3,))*$E242)</f>
        <v>0</v>
      </c>
      <c r="H242" s="65">
        <f>IF(VLOOKUP($D242,$C$5:$AU$501,3,)=0,0,(VLOOKUP($D242,$C$5:$AU$501,6,)/VLOOKUP($D242,$C$5:$AU$501,3,))*$E242)</f>
        <v>0</v>
      </c>
      <c r="I242" s="65">
        <f>IF(VLOOKUP($D242,$C$5:$AU$501,3,)=0,0,(VLOOKUP($D242,$C$5:$AU$501,7,)/VLOOKUP($D242,$C$5:$AU$501,3,))*$E242)</f>
        <v>0</v>
      </c>
      <c r="J242" s="65">
        <f>IF(VLOOKUP($D242,$C$5:$AU$501,3,)=0,0,(VLOOKUP($D242,$C$5:$AU$501,8,)/VLOOKUP($D242,$C$5:$AU$501,3,))*$E242)</f>
        <v>0</v>
      </c>
      <c r="K242" s="65">
        <f>IF(VLOOKUP($D242,$C$5:$AU$501,3,)=0,0,(VLOOKUP($D242,$C$5:$AU$501,9,)/VLOOKUP($D242,$C$5:$AU$501,3,))*$E242)</f>
        <v>0</v>
      </c>
      <c r="L242" s="65">
        <f>IF(VLOOKUP($D242,$C$5:$AU$501,3,)=0,0,(VLOOKUP($D242,$C$5:$AU$501,10,)/VLOOKUP($D242,$C$5:$AU$501,3,))*$E242)</f>
        <v>0</v>
      </c>
      <c r="M242" s="65">
        <f>IF(VLOOKUP($D242,$C$5:$AU$501,3,)=0,0,(VLOOKUP($D242,$C$5:$AU$501,11,)/VLOOKUP($D242,$C$5:$AU$501,3,))*$E242)</f>
        <v>0</v>
      </c>
      <c r="N242" s="65">
        <f>IF(VLOOKUP($D242,$C$5:$AU$501,3,)=0,0,(VLOOKUP($D242,$C$5:$AU$501,12,)/VLOOKUP($D242,$C$5:$AU$501,3,))*$E242)</f>
        <v>0</v>
      </c>
      <c r="O242" s="65">
        <f>IF(VLOOKUP($D242,$C$5:$AU$501,3,)=0,0,(VLOOKUP($D242,$C$5:$AU$501,13,)/VLOOKUP($D242,$C$5:$AU$501,3,))*$E242)</f>
        <v>0</v>
      </c>
      <c r="P242" s="65">
        <f>IF(VLOOKUP($D242,$C$5:$AU$501,3,)=0,0,(VLOOKUP($D242,$C$5:$AU$501,14,)/VLOOKUP($D242,$C$5:$AU$501,3,))*$E242)</f>
        <v>0</v>
      </c>
      <c r="Q242" s="65">
        <f>IF(VLOOKUP($D242,$C$5:$AU$501,3,)=0,0,(VLOOKUP($D242,$C$5:$AU$501,15,)/VLOOKUP($D242,$C$5:$AU$501,3,))*$E242)</f>
        <v>0</v>
      </c>
      <c r="R242" s="65">
        <f>IF(VLOOKUP($D242,$C$5:$AU$501,3,)=0,0,(VLOOKUP($D242,$C$5:$AU$501,16,)/VLOOKUP($D242,$C$5:$AU$501,3,))*$E242)</f>
        <v>0</v>
      </c>
      <c r="S242" s="65">
        <f>IF(VLOOKUP($D242,$C$5:$AU$501,3,)=0,0,(VLOOKUP($D242,$C$5:$AU$501,17,)/VLOOKUP($D242,$C$5:$AU$501,3,))*$E242)</f>
        <v>0</v>
      </c>
      <c r="T242" s="65">
        <f>IF(VLOOKUP($D242,$C$5:$AU$501,3,)=0,0,(VLOOKUP($D242,$C$5:$AU$501,18,)/VLOOKUP($D242,$C$5:$AU$501,3,))*$E242)</f>
        <v>0</v>
      </c>
      <c r="U242" s="65">
        <f>IF(VLOOKUP($D242,$C$5:$AU$501,3,)=0,0,(VLOOKUP($D242,$C$5:$AU$501,19,)/VLOOKUP($D242,$C$5:$AU$501,3,))*$E242)</f>
        <v>0</v>
      </c>
      <c r="V242" s="65">
        <f>IF(VLOOKUP($D242,$C$5:$AU$501,3,)=0,0,(VLOOKUP($D242,$C$5:$AU$501,20,)/VLOOKUP($D242,$C$5:$AU$501,3,))*$E242)</f>
        <v>0</v>
      </c>
      <c r="W242" s="65">
        <f>IF(VLOOKUP($D242,$C$5:$AU$501,3,)=0,0,(VLOOKUP($D242,$C$5:$AU$501,21,)/VLOOKUP($D242,$C$5:$AU$501,3,))*$E242)</f>
        <v>0</v>
      </c>
      <c r="X242" s="65">
        <f>IF(VLOOKUP($D242,$C$5:$AU$501,3,)=0,0,(VLOOKUP($D242,$C$5:$AU$501,22,)/VLOOKUP($D242,$C$5:$AU$501,3,))*$E242)</f>
        <v>0</v>
      </c>
      <c r="Y242" s="65">
        <f>IF(VLOOKUP($D242,$C$5:$AU$501,3,)=0,0,(VLOOKUP($D242,$C$5:$AU$501,23,)/VLOOKUP($D242,$C$5:$AU$501,3,))*$E242)</f>
        <v>0</v>
      </c>
      <c r="Z242" s="65">
        <f>IF(VLOOKUP($D242,$C$5:$AU$501,3,)=0,0,(VLOOKUP($D242,$C$5:$AU$501,24,)/VLOOKUP($D242,$C$5:$AU$501,3,))*$E242)</f>
        <v>0</v>
      </c>
      <c r="AA242" s="65">
        <f>IF(VLOOKUP($D242,$C$5:$AU$501,3,)=0,0,(VLOOKUP($D242,$C$5:$AU$501,25,)/VLOOKUP($D242,$C$5:$AU$501,3,))*$E242)</f>
        <v>0</v>
      </c>
      <c r="AB242" s="65">
        <f>IF(VLOOKUP($D242,$C$5:$AU$501,3,)=0,0,(VLOOKUP($D242,$C$5:$AU$501,26,)/VLOOKUP($D242,$C$5:$AU$501,3,))*$E242)</f>
        <v>0</v>
      </c>
      <c r="AC242" s="65">
        <f>IF(VLOOKUP($D242,$C$5:$AU$501,3,)=0,0,(VLOOKUP($D242,$C$5:$AU$501,27,)/VLOOKUP($D242,$C$5:$AU$501,3,))*$E242)</f>
        <v>0</v>
      </c>
      <c r="AD242" s="65">
        <f>IF(VLOOKUP($D242,$C$5:$AU$501,3,)=0,0,(VLOOKUP($D242,$C$5:$AU$501,28,)/VLOOKUP($D242,$C$5:$AU$501,3,))*$E242)</f>
        <v>0</v>
      </c>
      <c r="AE242" s="65">
        <f>IF(VLOOKUP($D242,$C$5:$AU$501,3,)=0,0,(VLOOKUP($D242,$C$5:$AU$501,29,)/VLOOKUP($D242,$C$5:$AU$501,3,))*$E242)</f>
        <v>0</v>
      </c>
      <c r="AF242" s="65">
        <f>IF(VLOOKUP($D242,$C$5:$AU$501,3,)=0,0,(VLOOKUP($D242,$C$5:$AU$501,30,)/VLOOKUP($D242,$C$5:$AU$501,3,))*$E242)</f>
        <v>0</v>
      </c>
      <c r="AG242" s="90">
        <f>SUM(F242:AF242)</f>
        <v>0</v>
      </c>
      <c r="AH242" s="29" t="str">
        <f>IF(ABS(E242-AG242)&lt;0.01,"ok","err")</f>
        <v>ok</v>
      </c>
    </row>
    <row r="243" spans="1:34" x14ac:dyDescent="0.2">
      <c r="E243" s="255"/>
    </row>
    <row r="244" spans="1:34" x14ac:dyDescent="0.2">
      <c r="A244" s="13" t="s">
        <v>1</v>
      </c>
      <c r="E244" s="255"/>
      <c r="F244" s="49"/>
    </row>
    <row r="245" spans="1:34" x14ac:dyDescent="0.2">
      <c r="A245" s="93" t="s">
        <v>209</v>
      </c>
      <c r="C245" s="14" t="s">
        <v>301</v>
      </c>
      <c r="D245" s="14" t="s">
        <v>632</v>
      </c>
      <c r="E245" s="254">
        <f>'Func &amp; Classif'!M314</f>
        <v>0</v>
      </c>
      <c r="F245" s="65">
        <f>IF(VLOOKUP($D245,$C$5:$AU$501,3,)=0,0,(VLOOKUP($D245,$C$5:$AU$501,4,)/VLOOKUP($D245,$C$5:$AU$501,3,))*$E245)</f>
        <v>0</v>
      </c>
      <c r="G245" s="65">
        <f>IF(VLOOKUP($D245,$C$5:$AU$501,3,)=0,0,(VLOOKUP($D245,$C$5:$AU$501,5,)/VLOOKUP($D245,$C$5:$AU$501,3,))*$E245)</f>
        <v>0</v>
      </c>
      <c r="H245" s="65">
        <f>IF(VLOOKUP($D245,$C$5:$AU$501,3,)=0,0,(VLOOKUP($D245,$C$5:$AU$501,6,)/VLOOKUP($D245,$C$5:$AU$501,3,))*$E245)</f>
        <v>0</v>
      </c>
      <c r="I245" s="65">
        <f>IF(VLOOKUP($D245,$C$5:$AU$501,3,)=0,0,(VLOOKUP($D245,$C$5:$AU$501,7,)/VLOOKUP($D245,$C$5:$AU$501,3,))*$E245)</f>
        <v>0</v>
      </c>
      <c r="J245" s="65">
        <f>IF(VLOOKUP($D245,$C$5:$AU$501,3,)=0,0,(VLOOKUP($D245,$C$5:$AU$501,8,)/VLOOKUP($D245,$C$5:$AU$501,3,))*$E245)</f>
        <v>0</v>
      </c>
      <c r="K245" s="65">
        <f>IF(VLOOKUP($D245,$C$5:$AU$501,3,)=0,0,(VLOOKUP($D245,$C$5:$AU$501,9,)/VLOOKUP($D245,$C$5:$AU$501,3,))*$E245)</f>
        <v>0</v>
      </c>
      <c r="L245" s="65">
        <f>IF(VLOOKUP($D245,$C$5:$AU$501,3,)=0,0,(VLOOKUP($D245,$C$5:$AU$501,10,)/VLOOKUP($D245,$C$5:$AU$501,3,))*$E245)</f>
        <v>0</v>
      </c>
      <c r="M245" s="65">
        <f>IF(VLOOKUP($D245,$C$5:$AU$501,3,)=0,0,(VLOOKUP($D245,$C$5:$AU$501,11,)/VLOOKUP($D245,$C$5:$AU$501,3,))*$E245)</f>
        <v>0</v>
      </c>
      <c r="N245" s="65">
        <f>IF(VLOOKUP($D245,$C$5:$AU$501,3,)=0,0,(VLOOKUP($D245,$C$5:$AU$501,12,)/VLOOKUP($D245,$C$5:$AU$501,3,))*$E245)</f>
        <v>0</v>
      </c>
      <c r="O245" s="65">
        <f>IF(VLOOKUP($D245,$C$5:$AU$501,3,)=0,0,(VLOOKUP($D245,$C$5:$AU$501,13,)/VLOOKUP($D245,$C$5:$AU$501,3,))*$E245)</f>
        <v>0</v>
      </c>
      <c r="P245" s="65">
        <f>IF(VLOOKUP($D245,$C$5:$AU$501,3,)=0,0,(VLOOKUP($D245,$C$5:$AU$501,14,)/VLOOKUP($D245,$C$5:$AU$501,3,))*$E245)</f>
        <v>0</v>
      </c>
      <c r="Q245" s="65">
        <f>IF(VLOOKUP($D245,$C$5:$AU$501,3,)=0,0,(VLOOKUP($D245,$C$5:$AU$501,15,)/VLOOKUP($D245,$C$5:$AU$501,3,))*$E245)</f>
        <v>0</v>
      </c>
      <c r="R245" s="65">
        <f>IF(VLOOKUP($D245,$C$5:$AU$501,3,)=0,0,(VLOOKUP($D245,$C$5:$AU$501,16,)/VLOOKUP($D245,$C$5:$AU$501,3,))*$E245)</f>
        <v>0</v>
      </c>
      <c r="S245" s="65">
        <f>IF(VLOOKUP($D245,$C$5:$AU$501,3,)=0,0,(VLOOKUP($D245,$C$5:$AU$501,17,)/VLOOKUP($D245,$C$5:$AU$501,3,))*$E245)</f>
        <v>0</v>
      </c>
      <c r="T245" s="65">
        <f>IF(VLOOKUP($D245,$C$5:$AU$501,3,)=0,0,(VLOOKUP($D245,$C$5:$AU$501,18,)/VLOOKUP($D245,$C$5:$AU$501,3,))*$E245)</f>
        <v>0</v>
      </c>
      <c r="U245" s="65">
        <f>IF(VLOOKUP($D245,$C$5:$AU$501,3,)=0,0,(VLOOKUP($D245,$C$5:$AU$501,19,)/VLOOKUP($D245,$C$5:$AU$501,3,))*$E245)</f>
        <v>0</v>
      </c>
      <c r="V245" s="65">
        <f>IF(VLOOKUP($D245,$C$5:$AU$501,3,)=0,0,(VLOOKUP($D245,$C$5:$AU$501,20,)/VLOOKUP($D245,$C$5:$AU$501,3,))*$E245)</f>
        <v>0</v>
      </c>
      <c r="W245" s="65">
        <f>IF(VLOOKUP($D245,$C$5:$AU$501,3,)=0,0,(VLOOKUP($D245,$C$5:$AU$501,21,)/VLOOKUP($D245,$C$5:$AU$501,3,))*$E245)</f>
        <v>0</v>
      </c>
      <c r="X245" s="65">
        <f>IF(VLOOKUP($D245,$C$5:$AU$501,3,)=0,0,(VLOOKUP($D245,$C$5:$AU$501,22,)/VLOOKUP($D245,$C$5:$AU$501,3,))*$E245)</f>
        <v>0</v>
      </c>
      <c r="Y245" s="65">
        <f>IF(VLOOKUP($D245,$C$5:$AU$501,3,)=0,0,(VLOOKUP($D245,$C$5:$AU$501,23,)/VLOOKUP($D245,$C$5:$AU$501,3,))*$E245)</f>
        <v>0</v>
      </c>
      <c r="Z245" s="65">
        <f>IF(VLOOKUP($D245,$C$5:$AU$501,3,)=0,0,(VLOOKUP($D245,$C$5:$AU$501,24,)/VLOOKUP($D245,$C$5:$AU$501,3,))*$E245)</f>
        <v>0</v>
      </c>
      <c r="AA245" s="65">
        <f>IF(VLOOKUP($D245,$C$5:$AU$501,3,)=0,0,(VLOOKUP($D245,$C$5:$AU$501,25,)/VLOOKUP($D245,$C$5:$AU$501,3,))*$E245)</f>
        <v>0</v>
      </c>
      <c r="AB245" s="65">
        <f>IF(VLOOKUP($D245,$C$5:$AU$501,3,)=0,0,(VLOOKUP($D245,$C$5:$AU$501,26,)/VLOOKUP($D245,$C$5:$AU$501,3,))*$E245)</f>
        <v>0</v>
      </c>
      <c r="AC245" s="65">
        <f>IF(VLOOKUP($D245,$C$5:$AU$501,3,)=0,0,(VLOOKUP($D245,$C$5:$AU$501,27,)/VLOOKUP($D245,$C$5:$AU$501,3,))*$E245)</f>
        <v>0</v>
      </c>
      <c r="AD245" s="65">
        <f>IF(VLOOKUP($D245,$C$5:$AU$501,3,)=0,0,(VLOOKUP($D245,$C$5:$AU$501,28,)/VLOOKUP($D245,$C$5:$AU$501,3,))*$E245)</f>
        <v>0</v>
      </c>
      <c r="AE245" s="65">
        <f>IF(VLOOKUP($D245,$C$5:$AU$501,3,)=0,0,(VLOOKUP($D245,$C$5:$AU$501,29,)/VLOOKUP($D245,$C$5:$AU$501,3,))*$E245)</f>
        <v>0</v>
      </c>
      <c r="AF245" s="65">
        <f>IF(VLOOKUP($D245,$C$5:$AU$501,3,)=0,0,(VLOOKUP($D245,$C$5:$AU$501,30,)/VLOOKUP($D245,$C$5:$AU$501,3,))*$E245)</f>
        <v>0</v>
      </c>
      <c r="AG245" s="90">
        <f>SUM(F245:AF245)</f>
        <v>0</v>
      </c>
      <c r="AH245" s="29" t="str">
        <f>IF(ABS(E245-AG245)&lt;0.01,"ok","err")</f>
        <v>ok</v>
      </c>
    </row>
    <row r="246" spans="1:34" x14ac:dyDescent="0.2">
      <c r="E246" s="255"/>
    </row>
    <row r="247" spans="1:34" x14ac:dyDescent="0.2">
      <c r="A247" s="13" t="s">
        <v>2</v>
      </c>
      <c r="E247" s="255"/>
    </row>
    <row r="248" spans="1:34" x14ac:dyDescent="0.2">
      <c r="A248" s="93" t="s">
        <v>209</v>
      </c>
      <c r="C248" s="14" t="s">
        <v>302</v>
      </c>
      <c r="D248" s="14" t="s">
        <v>629</v>
      </c>
      <c r="E248" s="254">
        <f>'Func &amp; Classif'!O314</f>
        <v>0</v>
      </c>
      <c r="F248" s="65">
        <f>IF(VLOOKUP($D248,$C$5:$AU$501,3,)=0,0,(VLOOKUP($D248,$C$5:$AU$501,4,)/VLOOKUP($D248,$C$5:$AU$501,3,))*$E248)</f>
        <v>0</v>
      </c>
      <c r="G248" s="65">
        <f>IF(VLOOKUP($D248,$C$5:$AU$501,3,)=0,0,(VLOOKUP($D248,$C$5:$AU$501,5,)/VLOOKUP($D248,$C$5:$AU$501,3,))*$E248)</f>
        <v>0</v>
      </c>
      <c r="H248" s="65">
        <f>IF(VLOOKUP($D248,$C$5:$AU$501,3,)=0,0,(VLOOKUP($D248,$C$5:$AU$501,6,)/VLOOKUP($D248,$C$5:$AU$501,3,))*$E248)</f>
        <v>0</v>
      </c>
      <c r="I248" s="65">
        <f>IF(VLOOKUP($D248,$C$5:$AU$501,3,)=0,0,(VLOOKUP($D248,$C$5:$AU$501,7,)/VLOOKUP($D248,$C$5:$AU$501,3,))*$E248)</f>
        <v>0</v>
      </c>
      <c r="J248" s="65">
        <f>IF(VLOOKUP($D248,$C$5:$AU$501,3,)=0,0,(VLOOKUP($D248,$C$5:$AU$501,8,)/VLOOKUP($D248,$C$5:$AU$501,3,))*$E248)</f>
        <v>0</v>
      </c>
      <c r="K248" s="65">
        <f>IF(VLOOKUP($D248,$C$5:$AU$501,3,)=0,0,(VLOOKUP($D248,$C$5:$AU$501,9,)/VLOOKUP($D248,$C$5:$AU$501,3,))*$E248)</f>
        <v>0</v>
      </c>
      <c r="L248" s="65">
        <f>IF(VLOOKUP($D248,$C$5:$AU$501,3,)=0,0,(VLOOKUP($D248,$C$5:$AU$501,10,)/VLOOKUP($D248,$C$5:$AU$501,3,))*$E248)</f>
        <v>0</v>
      </c>
      <c r="M248" s="65">
        <f>IF(VLOOKUP($D248,$C$5:$AU$501,3,)=0,0,(VLOOKUP($D248,$C$5:$AU$501,11,)/VLOOKUP($D248,$C$5:$AU$501,3,))*$E248)</f>
        <v>0</v>
      </c>
      <c r="N248" s="65">
        <f>IF(VLOOKUP($D248,$C$5:$AU$501,3,)=0,0,(VLOOKUP($D248,$C$5:$AU$501,12,)/VLOOKUP($D248,$C$5:$AU$501,3,))*$E248)</f>
        <v>0</v>
      </c>
      <c r="O248" s="65">
        <f>IF(VLOOKUP($D248,$C$5:$AU$501,3,)=0,0,(VLOOKUP($D248,$C$5:$AU$501,13,)/VLOOKUP($D248,$C$5:$AU$501,3,))*$E248)</f>
        <v>0</v>
      </c>
      <c r="P248" s="65">
        <f>IF(VLOOKUP($D248,$C$5:$AU$501,3,)=0,0,(VLOOKUP($D248,$C$5:$AU$501,14,)/VLOOKUP($D248,$C$5:$AU$501,3,))*$E248)</f>
        <v>0</v>
      </c>
      <c r="Q248" s="65">
        <f>IF(VLOOKUP($D248,$C$5:$AU$501,3,)=0,0,(VLOOKUP($D248,$C$5:$AU$501,15,)/VLOOKUP($D248,$C$5:$AU$501,3,))*$E248)</f>
        <v>0</v>
      </c>
      <c r="R248" s="65">
        <f>IF(VLOOKUP($D248,$C$5:$AU$501,3,)=0,0,(VLOOKUP($D248,$C$5:$AU$501,16,)/VLOOKUP($D248,$C$5:$AU$501,3,))*$E248)</f>
        <v>0</v>
      </c>
      <c r="S248" s="65">
        <f>IF(VLOOKUP($D248,$C$5:$AU$501,3,)=0,0,(VLOOKUP($D248,$C$5:$AU$501,17,)/VLOOKUP($D248,$C$5:$AU$501,3,))*$E248)</f>
        <v>0</v>
      </c>
      <c r="T248" s="65">
        <f>IF(VLOOKUP($D248,$C$5:$AU$501,3,)=0,0,(VLOOKUP($D248,$C$5:$AU$501,18,)/VLOOKUP($D248,$C$5:$AU$501,3,))*$E248)</f>
        <v>0</v>
      </c>
      <c r="U248" s="65">
        <f>IF(VLOOKUP($D248,$C$5:$AU$501,3,)=0,0,(VLOOKUP($D248,$C$5:$AU$501,19,)/VLOOKUP($D248,$C$5:$AU$501,3,))*$E248)</f>
        <v>0</v>
      </c>
      <c r="V248" s="65">
        <f>IF(VLOOKUP($D248,$C$5:$AU$501,3,)=0,0,(VLOOKUP($D248,$C$5:$AU$501,20,)/VLOOKUP($D248,$C$5:$AU$501,3,))*$E248)</f>
        <v>0</v>
      </c>
      <c r="W248" s="65">
        <f>IF(VLOOKUP($D248,$C$5:$AU$501,3,)=0,0,(VLOOKUP($D248,$C$5:$AU$501,21,)/VLOOKUP($D248,$C$5:$AU$501,3,))*$E248)</f>
        <v>0</v>
      </c>
      <c r="X248" s="65">
        <f>IF(VLOOKUP($D248,$C$5:$AU$501,3,)=0,0,(VLOOKUP($D248,$C$5:$AU$501,22,)/VLOOKUP($D248,$C$5:$AU$501,3,))*$E248)</f>
        <v>0</v>
      </c>
      <c r="Y248" s="65">
        <f>IF(VLOOKUP($D248,$C$5:$AU$501,3,)=0,0,(VLOOKUP($D248,$C$5:$AU$501,23,)/VLOOKUP($D248,$C$5:$AU$501,3,))*$E248)</f>
        <v>0</v>
      </c>
      <c r="Z248" s="65">
        <f>IF(VLOOKUP($D248,$C$5:$AU$501,3,)=0,0,(VLOOKUP($D248,$C$5:$AU$501,24,)/VLOOKUP($D248,$C$5:$AU$501,3,))*$E248)</f>
        <v>0</v>
      </c>
      <c r="AA248" s="65">
        <f>IF(VLOOKUP($D248,$C$5:$AU$501,3,)=0,0,(VLOOKUP($D248,$C$5:$AU$501,25,)/VLOOKUP($D248,$C$5:$AU$501,3,))*$E248)</f>
        <v>0</v>
      </c>
      <c r="AB248" s="65">
        <f>IF(VLOOKUP($D248,$C$5:$AU$501,3,)=0,0,(VLOOKUP($D248,$C$5:$AU$501,26,)/VLOOKUP($D248,$C$5:$AU$501,3,))*$E248)</f>
        <v>0</v>
      </c>
      <c r="AC248" s="65">
        <f>IF(VLOOKUP($D248,$C$5:$AU$501,3,)=0,0,(VLOOKUP($D248,$C$5:$AU$501,27,)/VLOOKUP($D248,$C$5:$AU$501,3,))*$E248)</f>
        <v>0</v>
      </c>
      <c r="AD248" s="65">
        <f>IF(VLOOKUP($D248,$C$5:$AU$501,3,)=0,0,(VLOOKUP($D248,$C$5:$AU$501,28,)/VLOOKUP($D248,$C$5:$AU$501,3,))*$E248)</f>
        <v>0</v>
      </c>
      <c r="AE248" s="65">
        <f>IF(VLOOKUP($D248,$C$5:$AU$501,3,)=0,0,(VLOOKUP($D248,$C$5:$AU$501,29,)/VLOOKUP($D248,$C$5:$AU$501,3,))*$E248)</f>
        <v>0</v>
      </c>
      <c r="AF248" s="65">
        <f>IF(VLOOKUP($D248,$C$5:$AU$501,3,)=0,0,(VLOOKUP($D248,$C$5:$AU$501,30,)/VLOOKUP($D248,$C$5:$AU$501,3,))*$E248)</f>
        <v>0</v>
      </c>
      <c r="AG248" s="90">
        <f>SUM(F248:AF248)</f>
        <v>0</v>
      </c>
      <c r="AH248" s="29" t="str">
        <f>IF(ABS(E248-AG248)&lt;0.01,"ok","err")</f>
        <v>ok</v>
      </c>
    </row>
    <row r="249" spans="1:34" x14ac:dyDescent="0.2">
      <c r="A249" s="93" t="s">
        <v>221</v>
      </c>
      <c r="C249" s="14" t="s">
        <v>303</v>
      </c>
      <c r="D249" s="14" t="s">
        <v>223</v>
      </c>
      <c r="E249" s="255">
        <f>'Func &amp; Classif'!P314</f>
        <v>0</v>
      </c>
      <c r="F249" s="65">
        <f>IF(VLOOKUP($D249,$C$5:$AU$501,3,)=0,0,(VLOOKUP($D249,$C$5:$AU$501,4,)/VLOOKUP($D249,$C$5:$AU$501,3,))*$E249)</f>
        <v>0</v>
      </c>
      <c r="G249" s="65">
        <f>IF(VLOOKUP($D249,$C$5:$AU$501,3,)=0,0,(VLOOKUP($D249,$C$5:$AU$501,5,)/VLOOKUP($D249,$C$5:$AU$501,3,))*$E249)</f>
        <v>0</v>
      </c>
      <c r="H249" s="65">
        <f>IF(VLOOKUP($D249,$C$5:$AU$501,3,)=0,0,(VLOOKUP($D249,$C$5:$AU$501,6,)/VLOOKUP($D249,$C$5:$AU$501,3,))*$E249)</f>
        <v>0</v>
      </c>
      <c r="I249" s="65">
        <f>IF(VLOOKUP($D249,$C$5:$AU$501,3,)=0,0,(VLOOKUP($D249,$C$5:$AU$501,7,)/VLOOKUP($D249,$C$5:$AU$501,3,))*$E249)</f>
        <v>0</v>
      </c>
      <c r="J249" s="65">
        <f>IF(VLOOKUP($D249,$C$5:$AU$501,3,)=0,0,(VLOOKUP($D249,$C$5:$AU$501,8,)/VLOOKUP($D249,$C$5:$AU$501,3,))*$E249)</f>
        <v>0</v>
      </c>
      <c r="K249" s="65">
        <f>IF(VLOOKUP($D249,$C$5:$AU$501,3,)=0,0,(VLOOKUP($D249,$C$5:$AU$501,9,)/VLOOKUP($D249,$C$5:$AU$501,3,))*$E249)</f>
        <v>0</v>
      </c>
      <c r="L249" s="65">
        <f>IF(VLOOKUP($D249,$C$5:$AU$501,3,)=0,0,(VLOOKUP($D249,$C$5:$AU$501,10,)/VLOOKUP($D249,$C$5:$AU$501,3,))*$E249)</f>
        <v>0</v>
      </c>
      <c r="M249" s="65">
        <f>IF(VLOOKUP($D249,$C$5:$AU$501,3,)=0,0,(VLOOKUP($D249,$C$5:$AU$501,11,)/VLOOKUP($D249,$C$5:$AU$501,3,))*$E249)</f>
        <v>0</v>
      </c>
      <c r="N249" s="65">
        <f>IF(VLOOKUP($D249,$C$5:$AU$501,3,)=0,0,(VLOOKUP($D249,$C$5:$AU$501,12,)/VLOOKUP($D249,$C$5:$AU$501,3,))*$E249)</f>
        <v>0</v>
      </c>
      <c r="O249" s="65">
        <f>IF(VLOOKUP($D249,$C$5:$AU$501,3,)=0,0,(VLOOKUP($D249,$C$5:$AU$501,13,)/VLOOKUP($D249,$C$5:$AU$501,3,))*$E249)</f>
        <v>0</v>
      </c>
      <c r="P249" s="65">
        <f>IF(VLOOKUP($D249,$C$5:$AU$501,3,)=0,0,(VLOOKUP($D249,$C$5:$AU$501,14,)/VLOOKUP($D249,$C$5:$AU$501,3,))*$E249)</f>
        <v>0</v>
      </c>
      <c r="Q249" s="65">
        <f>IF(VLOOKUP($D249,$C$5:$AU$501,3,)=0,0,(VLOOKUP($D249,$C$5:$AU$501,15,)/VLOOKUP($D249,$C$5:$AU$501,3,))*$E249)</f>
        <v>0</v>
      </c>
      <c r="R249" s="65">
        <f>IF(VLOOKUP($D249,$C$5:$AU$501,3,)=0,0,(VLOOKUP($D249,$C$5:$AU$501,16,)/VLOOKUP($D249,$C$5:$AU$501,3,))*$E249)</f>
        <v>0</v>
      </c>
      <c r="S249" s="65">
        <f>IF(VLOOKUP($D249,$C$5:$AU$501,3,)=0,0,(VLOOKUP($D249,$C$5:$AU$501,17,)/VLOOKUP($D249,$C$5:$AU$501,3,))*$E249)</f>
        <v>0</v>
      </c>
      <c r="T249" s="65">
        <f>IF(VLOOKUP($D249,$C$5:$AU$501,3,)=0,0,(VLOOKUP($D249,$C$5:$AU$501,18,)/VLOOKUP($D249,$C$5:$AU$501,3,))*$E249)</f>
        <v>0</v>
      </c>
      <c r="U249" s="65">
        <f>IF(VLOOKUP($D249,$C$5:$AU$501,3,)=0,0,(VLOOKUP($D249,$C$5:$AU$501,19,)/VLOOKUP($D249,$C$5:$AU$501,3,))*$E249)</f>
        <v>0</v>
      </c>
      <c r="V249" s="65">
        <f>IF(VLOOKUP($D249,$C$5:$AU$501,3,)=0,0,(VLOOKUP($D249,$C$5:$AU$501,20,)/VLOOKUP($D249,$C$5:$AU$501,3,))*$E249)</f>
        <v>0</v>
      </c>
      <c r="W249" s="65">
        <f>IF(VLOOKUP($D249,$C$5:$AU$501,3,)=0,0,(VLOOKUP($D249,$C$5:$AU$501,21,)/VLOOKUP($D249,$C$5:$AU$501,3,))*$E249)</f>
        <v>0</v>
      </c>
      <c r="X249" s="65">
        <f>IF(VLOOKUP($D249,$C$5:$AU$501,3,)=0,0,(VLOOKUP($D249,$C$5:$AU$501,22,)/VLOOKUP($D249,$C$5:$AU$501,3,))*$E249)</f>
        <v>0</v>
      </c>
      <c r="Y249" s="65">
        <f>IF(VLOOKUP($D249,$C$5:$AU$501,3,)=0,0,(VLOOKUP($D249,$C$5:$AU$501,23,)/VLOOKUP($D249,$C$5:$AU$501,3,))*$E249)</f>
        <v>0</v>
      </c>
      <c r="Z249" s="65">
        <f>IF(VLOOKUP($D249,$C$5:$AU$501,3,)=0,0,(VLOOKUP($D249,$C$5:$AU$501,24,)/VLOOKUP($D249,$C$5:$AU$501,3,))*$E249)</f>
        <v>0</v>
      </c>
      <c r="AA249" s="65">
        <f>IF(VLOOKUP($D249,$C$5:$AU$501,3,)=0,0,(VLOOKUP($D249,$C$5:$AU$501,25,)/VLOOKUP($D249,$C$5:$AU$501,3,))*$E249)</f>
        <v>0</v>
      </c>
      <c r="AB249" s="65">
        <f>IF(VLOOKUP($D249,$C$5:$AU$501,3,)=0,0,(VLOOKUP($D249,$C$5:$AU$501,26,)/VLOOKUP($D249,$C$5:$AU$501,3,))*$E249)</f>
        <v>0</v>
      </c>
      <c r="AC249" s="65">
        <f>IF(VLOOKUP($D249,$C$5:$AU$501,3,)=0,0,(VLOOKUP($D249,$C$5:$AU$501,27,)/VLOOKUP($D249,$C$5:$AU$501,3,))*$E249)</f>
        <v>0</v>
      </c>
      <c r="AD249" s="65">
        <f>IF(VLOOKUP($D249,$C$5:$AU$501,3,)=0,0,(VLOOKUP($D249,$C$5:$AU$501,28,)/VLOOKUP($D249,$C$5:$AU$501,3,))*$E249)</f>
        <v>0</v>
      </c>
      <c r="AE249" s="65">
        <f>IF(VLOOKUP($D249,$C$5:$AU$501,3,)=0,0,(VLOOKUP($D249,$C$5:$AU$501,29,)/VLOOKUP($D249,$C$5:$AU$501,3,))*$E249)</f>
        <v>0</v>
      </c>
      <c r="AF249" s="65">
        <f>IF(VLOOKUP($D249,$C$5:$AU$501,3,)=0,0,(VLOOKUP($D249,$C$5:$AU$501,30,)/VLOOKUP($D249,$C$5:$AU$501,3,))*$E249)</f>
        <v>0</v>
      </c>
      <c r="AG249" s="90">
        <f>SUM(F249:AF249)</f>
        <v>0</v>
      </c>
      <c r="AH249" s="29" t="str">
        <f>IF(ABS(E249-AG249)&lt;0.01,"ok","err")</f>
        <v>ok</v>
      </c>
    </row>
    <row r="250" spans="1:34" x14ac:dyDescent="0.2">
      <c r="A250" s="14" t="s">
        <v>224</v>
      </c>
      <c r="E250" s="254">
        <f t="shared" ref="E250:T250" si="51">E248+E249</f>
        <v>0</v>
      </c>
      <c r="F250" s="65">
        <f t="shared" si="51"/>
        <v>0</v>
      </c>
      <c r="G250" s="65">
        <f t="shared" si="51"/>
        <v>0</v>
      </c>
      <c r="H250" s="65">
        <f t="shared" si="51"/>
        <v>0</v>
      </c>
      <c r="I250" s="65">
        <f t="shared" si="51"/>
        <v>0</v>
      </c>
      <c r="J250" s="65">
        <f t="shared" si="51"/>
        <v>0</v>
      </c>
      <c r="K250" s="65">
        <f t="shared" si="51"/>
        <v>0</v>
      </c>
      <c r="L250" s="65">
        <f t="shared" si="51"/>
        <v>0</v>
      </c>
      <c r="M250" s="65">
        <f t="shared" si="51"/>
        <v>0</v>
      </c>
      <c r="N250" s="65">
        <f t="shared" si="51"/>
        <v>0</v>
      </c>
      <c r="O250" s="65">
        <f t="shared" si="51"/>
        <v>0</v>
      </c>
      <c r="P250" s="65">
        <f t="shared" si="51"/>
        <v>0</v>
      </c>
      <c r="Q250" s="65">
        <f t="shared" si="51"/>
        <v>0</v>
      </c>
      <c r="R250" s="65">
        <f t="shared" si="51"/>
        <v>0</v>
      </c>
      <c r="S250" s="65">
        <f t="shared" si="51"/>
        <v>0</v>
      </c>
      <c r="T250" s="65">
        <f t="shared" si="51"/>
        <v>0</v>
      </c>
      <c r="U250" s="65">
        <f t="shared" ref="U250:AF250" si="52">U248+U249</f>
        <v>0</v>
      </c>
      <c r="V250" s="65">
        <f t="shared" si="52"/>
        <v>0</v>
      </c>
      <c r="W250" s="65">
        <f t="shared" si="52"/>
        <v>0</v>
      </c>
      <c r="X250" s="65">
        <f t="shared" si="52"/>
        <v>0</v>
      </c>
      <c r="Y250" s="65">
        <f t="shared" si="52"/>
        <v>0</v>
      </c>
      <c r="Z250" s="65">
        <f t="shared" si="52"/>
        <v>0</v>
      </c>
      <c r="AA250" s="65">
        <f t="shared" si="52"/>
        <v>0</v>
      </c>
      <c r="AB250" s="65">
        <f t="shared" si="52"/>
        <v>0</v>
      </c>
      <c r="AC250" s="65">
        <f t="shared" si="52"/>
        <v>0</v>
      </c>
      <c r="AD250" s="65">
        <f t="shared" si="52"/>
        <v>0</v>
      </c>
      <c r="AE250" s="65">
        <f t="shared" si="52"/>
        <v>0</v>
      </c>
      <c r="AF250" s="65">
        <f t="shared" si="52"/>
        <v>0</v>
      </c>
      <c r="AG250" s="90">
        <f>SUM(F250:AF250)</f>
        <v>0</v>
      </c>
      <c r="AH250" s="29" t="str">
        <f>IF(ABS(E250-AG250)&lt;0.01,"ok","err")</f>
        <v>ok</v>
      </c>
    </row>
    <row r="251" spans="1:34" x14ac:dyDescent="0.2">
      <c r="E251" s="255"/>
    </row>
    <row r="252" spans="1:34" x14ac:dyDescent="0.2">
      <c r="A252" s="13" t="s">
        <v>3</v>
      </c>
      <c r="E252" s="255"/>
    </row>
    <row r="253" spans="1:34" x14ac:dyDescent="0.2">
      <c r="A253" s="93" t="s">
        <v>209</v>
      </c>
      <c r="C253" s="14" t="s">
        <v>304</v>
      </c>
      <c r="D253" s="14" t="s">
        <v>701</v>
      </c>
      <c r="E253" s="254">
        <f>'Func &amp; Classif'!R314</f>
        <v>0</v>
      </c>
      <c r="F253" s="65">
        <f>IF(VLOOKUP($D253,$C$5:$AU$501,3,)=0,0,(VLOOKUP($D253,$C$5:$AU$501,4,)/VLOOKUP($D253,$C$5:$AU$501,3,))*$E253)</f>
        <v>0</v>
      </c>
      <c r="G253" s="65">
        <f>IF(VLOOKUP($D253,$C$5:$AU$501,3,)=0,0,(VLOOKUP($D253,$C$5:$AU$501,5,)/VLOOKUP($D253,$C$5:$AU$501,3,))*$E253)</f>
        <v>0</v>
      </c>
      <c r="H253" s="65">
        <f>IF(VLOOKUP($D253,$C$5:$AU$501,3,)=0,0,(VLOOKUP($D253,$C$5:$AU$501,6,)/VLOOKUP($D253,$C$5:$AU$501,3,))*$E253)</f>
        <v>0</v>
      </c>
      <c r="I253" s="65">
        <f>IF(VLOOKUP($D253,$C$5:$AU$501,3,)=0,0,(VLOOKUP($D253,$C$5:$AU$501,7,)/VLOOKUP($D253,$C$5:$AU$501,3,))*$E253)</f>
        <v>0</v>
      </c>
      <c r="J253" s="65">
        <f>IF(VLOOKUP($D253,$C$5:$AU$501,3,)=0,0,(VLOOKUP($D253,$C$5:$AU$501,8,)/VLOOKUP($D253,$C$5:$AU$501,3,))*$E253)</f>
        <v>0</v>
      </c>
      <c r="K253" s="65">
        <f>IF(VLOOKUP($D253,$C$5:$AU$501,3,)=0,0,(VLOOKUP($D253,$C$5:$AU$501,9,)/VLOOKUP($D253,$C$5:$AU$501,3,))*$E253)</f>
        <v>0</v>
      </c>
      <c r="L253" s="65">
        <f>IF(VLOOKUP($D253,$C$5:$AU$501,3,)=0,0,(VLOOKUP($D253,$C$5:$AU$501,10,)/VLOOKUP($D253,$C$5:$AU$501,3,))*$E253)</f>
        <v>0</v>
      </c>
      <c r="M253" s="65">
        <f>IF(VLOOKUP($D253,$C$5:$AU$501,3,)=0,0,(VLOOKUP($D253,$C$5:$AU$501,11,)/VLOOKUP($D253,$C$5:$AU$501,3,))*$E253)</f>
        <v>0</v>
      </c>
      <c r="N253" s="65">
        <f>IF(VLOOKUP($D253,$C$5:$AU$501,3,)=0,0,(VLOOKUP($D253,$C$5:$AU$501,12,)/VLOOKUP($D253,$C$5:$AU$501,3,))*$E253)</f>
        <v>0</v>
      </c>
      <c r="O253" s="65">
        <f>IF(VLOOKUP($D253,$C$5:$AU$501,3,)=0,0,(VLOOKUP($D253,$C$5:$AU$501,13,)/VLOOKUP($D253,$C$5:$AU$501,3,))*$E253)</f>
        <v>0</v>
      </c>
      <c r="P253" s="65">
        <f>IF(VLOOKUP($D253,$C$5:$AU$501,3,)=0,0,(VLOOKUP($D253,$C$5:$AU$501,14,)/VLOOKUP($D253,$C$5:$AU$501,3,))*$E253)</f>
        <v>0</v>
      </c>
      <c r="Q253" s="65">
        <f>IF(VLOOKUP($D253,$C$5:$AU$501,3,)=0,0,(VLOOKUP($D253,$C$5:$AU$501,15,)/VLOOKUP($D253,$C$5:$AU$501,3,))*$E253)</f>
        <v>0</v>
      </c>
      <c r="R253" s="65">
        <f>IF(VLOOKUP($D253,$C$5:$AU$501,3,)=0,0,(VLOOKUP($D253,$C$5:$AU$501,16,)/VLOOKUP($D253,$C$5:$AU$501,3,))*$E253)</f>
        <v>0</v>
      </c>
      <c r="S253" s="65">
        <f>IF(VLOOKUP($D253,$C$5:$AU$501,3,)=0,0,(VLOOKUP($D253,$C$5:$AU$501,17,)/VLOOKUP($D253,$C$5:$AU$501,3,))*$E253)</f>
        <v>0</v>
      </c>
      <c r="T253" s="65">
        <f>IF(VLOOKUP($D253,$C$5:$AU$501,3,)=0,0,(VLOOKUP($D253,$C$5:$AU$501,18,)/VLOOKUP($D253,$C$5:$AU$501,3,))*$E253)</f>
        <v>0</v>
      </c>
      <c r="U253" s="65">
        <f>IF(VLOOKUP($D253,$C$5:$AU$501,3,)=0,0,(VLOOKUP($D253,$C$5:$AU$501,19,)/VLOOKUP($D253,$C$5:$AU$501,3,))*$E253)</f>
        <v>0</v>
      </c>
      <c r="V253" s="65">
        <f>IF(VLOOKUP($D253,$C$5:$AU$501,3,)=0,0,(VLOOKUP($D253,$C$5:$AU$501,20,)/VLOOKUP($D253,$C$5:$AU$501,3,))*$E253)</f>
        <v>0</v>
      </c>
      <c r="W253" s="65">
        <f>IF(VLOOKUP($D253,$C$5:$AU$501,3,)=0,0,(VLOOKUP($D253,$C$5:$AU$501,21,)/VLOOKUP($D253,$C$5:$AU$501,3,))*$E253)</f>
        <v>0</v>
      </c>
      <c r="X253" s="65">
        <f>IF(VLOOKUP($D253,$C$5:$AU$501,3,)=0,0,(VLOOKUP($D253,$C$5:$AU$501,22,)/VLOOKUP($D253,$C$5:$AU$501,3,))*$E253)</f>
        <v>0</v>
      </c>
      <c r="Y253" s="65">
        <f>IF(VLOOKUP($D253,$C$5:$AU$501,3,)=0,0,(VLOOKUP($D253,$C$5:$AU$501,23,)/VLOOKUP($D253,$C$5:$AU$501,3,))*$E253)</f>
        <v>0</v>
      </c>
      <c r="Z253" s="65">
        <f>IF(VLOOKUP($D253,$C$5:$AU$501,3,)=0,0,(VLOOKUP($D253,$C$5:$AU$501,24,)/VLOOKUP($D253,$C$5:$AU$501,3,))*$E253)</f>
        <v>0</v>
      </c>
      <c r="AA253" s="65">
        <f>IF(VLOOKUP($D253,$C$5:$AU$501,3,)=0,0,(VLOOKUP($D253,$C$5:$AU$501,25,)/VLOOKUP($D253,$C$5:$AU$501,3,))*$E253)</f>
        <v>0</v>
      </c>
      <c r="AB253" s="65">
        <f>IF(VLOOKUP($D253,$C$5:$AU$501,3,)=0,0,(VLOOKUP($D253,$C$5:$AU$501,26,)/VLOOKUP($D253,$C$5:$AU$501,3,))*$E253)</f>
        <v>0</v>
      </c>
      <c r="AC253" s="65">
        <f>IF(VLOOKUP($D253,$C$5:$AU$501,3,)=0,0,(VLOOKUP($D253,$C$5:$AU$501,27,)/VLOOKUP($D253,$C$5:$AU$501,3,))*$E253)</f>
        <v>0</v>
      </c>
      <c r="AD253" s="65">
        <f>IF(VLOOKUP($D253,$C$5:$AU$501,3,)=0,0,(VLOOKUP($D253,$C$5:$AU$501,28,)/VLOOKUP($D253,$C$5:$AU$501,3,))*$E253)</f>
        <v>0</v>
      </c>
      <c r="AE253" s="65">
        <f>IF(VLOOKUP($D253,$C$5:$AU$501,3,)=0,0,(VLOOKUP($D253,$C$5:$AU$501,29,)/VLOOKUP($D253,$C$5:$AU$501,3,))*$E253)</f>
        <v>0</v>
      </c>
      <c r="AF253" s="65">
        <f>IF(VLOOKUP($D253,$C$5:$AU$501,3,)=0,0,(VLOOKUP($D253,$C$5:$AU$501,30,)/VLOOKUP($D253,$C$5:$AU$501,3,))*$E253)</f>
        <v>0</v>
      </c>
      <c r="AG253" s="90">
        <f>SUM(F253:AF253)</f>
        <v>0</v>
      </c>
      <c r="AH253" s="29" t="str">
        <f>IF(ABS(E253-AG253)&lt;0.01,"ok","err")</f>
        <v>ok</v>
      </c>
    </row>
    <row r="254" spans="1:34" x14ac:dyDescent="0.2">
      <c r="A254" s="93" t="s">
        <v>221</v>
      </c>
      <c r="C254" s="14" t="s">
        <v>305</v>
      </c>
      <c r="D254" s="14" t="s">
        <v>701</v>
      </c>
      <c r="E254" s="255">
        <f>'Func &amp; Classif'!S314</f>
        <v>0</v>
      </c>
      <c r="F254" s="65">
        <f>IF(VLOOKUP($D254,$C$5:$AU$501,3,)=0,0,(VLOOKUP($D254,$C$5:$AU$501,4,)/VLOOKUP($D254,$C$5:$AU$501,3,))*$E254)</f>
        <v>0</v>
      </c>
      <c r="G254" s="65">
        <f>IF(VLOOKUP($D254,$C$5:$AU$501,3,)=0,0,(VLOOKUP($D254,$C$5:$AU$501,5,)/VLOOKUP($D254,$C$5:$AU$501,3,))*$E254)</f>
        <v>0</v>
      </c>
      <c r="H254" s="65">
        <f>IF(VLOOKUP($D254,$C$5:$AU$501,3,)=0,0,(VLOOKUP($D254,$C$5:$AU$501,6,)/VLOOKUP($D254,$C$5:$AU$501,3,))*$E254)</f>
        <v>0</v>
      </c>
      <c r="I254" s="65">
        <f>IF(VLOOKUP($D254,$C$5:$AU$501,3,)=0,0,(VLOOKUP($D254,$C$5:$AU$501,7,)/VLOOKUP($D254,$C$5:$AU$501,3,))*$E254)</f>
        <v>0</v>
      </c>
      <c r="J254" s="65">
        <f>IF(VLOOKUP($D254,$C$5:$AU$501,3,)=0,0,(VLOOKUP($D254,$C$5:$AU$501,8,)/VLOOKUP($D254,$C$5:$AU$501,3,))*$E254)</f>
        <v>0</v>
      </c>
      <c r="K254" s="65">
        <f>IF(VLOOKUP($D254,$C$5:$AU$501,3,)=0,0,(VLOOKUP($D254,$C$5:$AU$501,9,)/VLOOKUP($D254,$C$5:$AU$501,3,))*$E254)</f>
        <v>0</v>
      </c>
      <c r="L254" s="65">
        <f>IF(VLOOKUP($D254,$C$5:$AU$501,3,)=0,0,(VLOOKUP($D254,$C$5:$AU$501,10,)/VLOOKUP($D254,$C$5:$AU$501,3,))*$E254)</f>
        <v>0</v>
      </c>
      <c r="M254" s="65">
        <f>IF(VLOOKUP($D254,$C$5:$AU$501,3,)=0,0,(VLOOKUP($D254,$C$5:$AU$501,11,)/VLOOKUP($D254,$C$5:$AU$501,3,))*$E254)</f>
        <v>0</v>
      </c>
      <c r="N254" s="65">
        <f>IF(VLOOKUP($D254,$C$5:$AU$501,3,)=0,0,(VLOOKUP($D254,$C$5:$AU$501,12,)/VLOOKUP($D254,$C$5:$AU$501,3,))*$E254)</f>
        <v>0</v>
      </c>
      <c r="O254" s="65">
        <f>IF(VLOOKUP($D254,$C$5:$AU$501,3,)=0,0,(VLOOKUP($D254,$C$5:$AU$501,13,)/VLOOKUP($D254,$C$5:$AU$501,3,))*$E254)</f>
        <v>0</v>
      </c>
      <c r="P254" s="65">
        <f>IF(VLOOKUP($D254,$C$5:$AU$501,3,)=0,0,(VLOOKUP($D254,$C$5:$AU$501,14,)/VLOOKUP($D254,$C$5:$AU$501,3,))*$E254)</f>
        <v>0</v>
      </c>
      <c r="Q254" s="65">
        <f>IF(VLOOKUP($D254,$C$5:$AU$501,3,)=0,0,(VLOOKUP($D254,$C$5:$AU$501,15,)/VLOOKUP($D254,$C$5:$AU$501,3,))*$E254)</f>
        <v>0</v>
      </c>
      <c r="R254" s="65">
        <f>IF(VLOOKUP($D254,$C$5:$AU$501,3,)=0,0,(VLOOKUP($D254,$C$5:$AU$501,16,)/VLOOKUP($D254,$C$5:$AU$501,3,))*$E254)</f>
        <v>0</v>
      </c>
      <c r="S254" s="65">
        <f>IF(VLOOKUP($D254,$C$5:$AU$501,3,)=0,0,(VLOOKUP($D254,$C$5:$AU$501,17,)/VLOOKUP($D254,$C$5:$AU$501,3,))*$E254)</f>
        <v>0</v>
      </c>
      <c r="T254" s="65">
        <f>IF(VLOOKUP($D254,$C$5:$AU$501,3,)=0,0,(VLOOKUP($D254,$C$5:$AU$501,18,)/VLOOKUP($D254,$C$5:$AU$501,3,))*$E254)</f>
        <v>0</v>
      </c>
      <c r="U254" s="65">
        <f>IF(VLOOKUP($D254,$C$5:$AU$501,3,)=0,0,(VLOOKUP($D254,$C$5:$AU$501,19,)/VLOOKUP($D254,$C$5:$AU$501,3,))*$E254)</f>
        <v>0</v>
      </c>
      <c r="V254" s="65">
        <f>IF(VLOOKUP($D254,$C$5:$AU$501,3,)=0,0,(VLOOKUP($D254,$C$5:$AU$501,20,)/VLOOKUP($D254,$C$5:$AU$501,3,))*$E254)</f>
        <v>0</v>
      </c>
      <c r="W254" s="65">
        <f>IF(VLOOKUP($D254,$C$5:$AU$501,3,)=0,0,(VLOOKUP($D254,$C$5:$AU$501,21,)/VLOOKUP($D254,$C$5:$AU$501,3,))*$E254)</f>
        <v>0</v>
      </c>
      <c r="X254" s="65">
        <f>IF(VLOOKUP($D254,$C$5:$AU$501,3,)=0,0,(VLOOKUP($D254,$C$5:$AU$501,22,)/VLOOKUP($D254,$C$5:$AU$501,3,))*$E254)</f>
        <v>0</v>
      </c>
      <c r="Y254" s="65">
        <f>IF(VLOOKUP($D254,$C$5:$AU$501,3,)=0,0,(VLOOKUP($D254,$C$5:$AU$501,23,)/VLOOKUP($D254,$C$5:$AU$501,3,))*$E254)</f>
        <v>0</v>
      </c>
      <c r="Z254" s="65">
        <f>IF(VLOOKUP($D254,$C$5:$AU$501,3,)=0,0,(VLOOKUP($D254,$C$5:$AU$501,24,)/VLOOKUP($D254,$C$5:$AU$501,3,))*$E254)</f>
        <v>0</v>
      </c>
      <c r="AA254" s="65">
        <f>IF(VLOOKUP($D254,$C$5:$AU$501,3,)=0,0,(VLOOKUP($D254,$C$5:$AU$501,25,)/VLOOKUP($D254,$C$5:$AU$501,3,))*$E254)</f>
        <v>0</v>
      </c>
      <c r="AB254" s="65">
        <f>IF(VLOOKUP($D254,$C$5:$AU$501,3,)=0,0,(VLOOKUP($D254,$C$5:$AU$501,26,)/VLOOKUP($D254,$C$5:$AU$501,3,))*$E254)</f>
        <v>0</v>
      </c>
      <c r="AC254" s="65">
        <f>IF(VLOOKUP($D254,$C$5:$AU$501,3,)=0,0,(VLOOKUP($D254,$C$5:$AU$501,27,)/VLOOKUP($D254,$C$5:$AU$501,3,))*$E254)</f>
        <v>0</v>
      </c>
      <c r="AD254" s="65">
        <f>IF(VLOOKUP($D254,$C$5:$AU$501,3,)=0,0,(VLOOKUP($D254,$C$5:$AU$501,28,)/VLOOKUP($D254,$C$5:$AU$501,3,))*$E254)</f>
        <v>0</v>
      </c>
      <c r="AE254" s="65">
        <f>IF(VLOOKUP($D254,$C$5:$AU$501,3,)=0,0,(VLOOKUP($D254,$C$5:$AU$501,29,)/VLOOKUP($D254,$C$5:$AU$501,3,))*$E254)</f>
        <v>0</v>
      </c>
      <c r="AF254" s="65">
        <f>IF(VLOOKUP($D254,$C$5:$AU$501,3,)=0,0,(VLOOKUP($D254,$C$5:$AU$501,30,)/VLOOKUP($D254,$C$5:$AU$501,3,))*$E254)</f>
        <v>0</v>
      </c>
      <c r="AG254" s="90">
        <f>SUM(F254:AF254)</f>
        <v>0</v>
      </c>
      <c r="AH254" s="29" t="str">
        <f>IF(ABS(E254-AG254)&lt;0.01,"ok","err")</f>
        <v>ok</v>
      </c>
    </row>
    <row r="255" spans="1:34" x14ac:dyDescent="0.2">
      <c r="A255" s="14" t="s">
        <v>228</v>
      </c>
      <c r="E255" s="254">
        <f t="shared" ref="E255:T255" si="53">E253+E254</f>
        <v>0</v>
      </c>
      <c r="F255" s="65">
        <f t="shared" si="53"/>
        <v>0</v>
      </c>
      <c r="G255" s="65">
        <f t="shared" si="53"/>
        <v>0</v>
      </c>
      <c r="H255" s="65">
        <f t="shared" si="53"/>
        <v>0</v>
      </c>
      <c r="I255" s="65">
        <f t="shared" si="53"/>
        <v>0</v>
      </c>
      <c r="J255" s="65">
        <f t="shared" si="53"/>
        <v>0</v>
      </c>
      <c r="K255" s="65">
        <f t="shared" si="53"/>
        <v>0</v>
      </c>
      <c r="L255" s="65">
        <f t="shared" si="53"/>
        <v>0</v>
      </c>
      <c r="M255" s="65">
        <f t="shared" si="53"/>
        <v>0</v>
      </c>
      <c r="N255" s="65">
        <f t="shared" si="53"/>
        <v>0</v>
      </c>
      <c r="O255" s="65">
        <f t="shared" si="53"/>
        <v>0</v>
      </c>
      <c r="P255" s="65">
        <f t="shared" si="53"/>
        <v>0</v>
      </c>
      <c r="Q255" s="65">
        <f t="shared" si="53"/>
        <v>0</v>
      </c>
      <c r="R255" s="65">
        <f t="shared" si="53"/>
        <v>0</v>
      </c>
      <c r="S255" s="65">
        <f t="shared" si="53"/>
        <v>0</v>
      </c>
      <c r="T255" s="65">
        <f t="shared" si="53"/>
        <v>0</v>
      </c>
      <c r="U255" s="65">
        <f t="shared" ref="U255:AF255" si="54">U253+U254</f>
        <v>0</v>
      </c>
      <c r="V255" s="65">
        <f t="shared" si="54"/>
        <v>0</v>
      </c>
      <c r="W255" s="65">
        <f t="shared" si="54"/>
        <v>0</v>
      </c>
      <c r="X255" s="65">
        <f t="shared" si="54"/>
        <v>0</v>
      </c>
      <c r="Y255" s="65">
        <f t="shared" si="54"/>
        <v>0</v>
      </c>
      <c r="Z255" s="65">
        <f t="shared" si="54"/>
        <v>0</v>
      </c>
      <c r="AA255" s="65">
        <f t="shared" si="54"/>
        <v>0</v>
      </c>
      <c r="AB255" s="65">
        <f t="shared" si="54"/>
        <v>0</v>
      </c>
      <c r="AC255" s="65">
        <f t="shared" si="54"/>
        <v>0</v>
      </c>
      <c r="AD255" s="65">
        <f t="shared" si="54"/>
        <v>0</v>
      </c>
      <c r="AE255" s="65">
        <f t="shared" si="54"/>
        <v>0</v>
      </c>
      <c r="AF255" s="65">
        <f t="shared" si="54"/>
        <v>0</v>
      </c>
      <c r="AG255" s="90">
        <f>SUM(F255:AF255)</f>
        <v>0</v>
      </c>
      <c r="AH255" s="29" t="str">
        <f>IF(ABS(E255-AG255)&lt;0.01,"ok","err")</f>
        <v>ok</v>
      </c>
    </row>
    <row r="256" spans="1:34" x14ac:dyDescent="0.2">
      <c r="E256" s="255"/>
    </row>
    <row r="257" spans="1:34" x14ac:dyDescent="0.2">
      <c r="A257" s="13" t="s">
        <v>4</v>
      </c>
      <c r="E257" s="255"/>
    </row>
    <row r="258" spans="1:34" x14ac:dyDescent="0.2">
      <c r="A258" s="93" t="s">
        <v>221</v>
      </c>
      <c r="C258" s="14" t="s">
        <v>306</v>
      </c>
      <c r="D258" s="14" t="s">
        <v>230</v>
      </c>
      <c r="E258" s="254">
        <f>'Func &amp; Classif'!U314</f>
        <v>0</v>
      </c>
      <c r="F258" s="65">
        <f>IF(VLOOKUP($D258,$C$5:$AU$501,3,)=0,0,(VLOOKUP($D258,$C$5:$AU$501,4,)/VLOOKUP($D258,$C$5:$AU$501,3,))*$E258)</f>
        <v>0</v>
      </c>
      <c r="G258" s="65">
        <f>IF(VLOOKUP($D258,$C$5:$AU$501,3,)=0,0,(VLOOKUP($D258,$C$5:$AU$501,5,)/VLOOKUP($D258,$C$5:$AU$501,3,))*$E258)</f>
        <v>0</v>
      </c>
      <c r="H258" s="65">
        <f>IF(VLOOKUP($D258,$C$5:$AU$501,3,)=0,0,(VLOOKUP($D258,$C$5:$AU$501,6,)/VLOOKUP($D258,$C$5:$AU$501,3,))*$E258)</f>
        <v>0</v>
      </c>
      <c r="I258" s="65">
        <f>IF(VLOOKUP($D258,$C$5:$AU$501,3,)=0,0,(VLOOKUP($D258,$C$5:$AU$501,7,)/VLOOKUP($D258,$C$5:$AU$501,3,))*$E258)</f>
        <v>0</v>
      </c>
      <c r="J258" s="65">
        <f>IF(VLOOKUP($D258,$C$5:$AU$501,3,)=0,0,(VLOOKUP($D258,$C$5:$AU$501,8,)/VLOOKUP($D258,$C$5:$AU$501,3,))*$E258)</f>
        <v>0</v>
      </c>
      <c r="K258" s="65">
        <f>IF(VLOOKUP($D258,$C$5:$AU$501,3,)=0,0,(VLOOKUP($D258,$C$5:$AU$501,9,)/VLOOKUP($D258,$C$5:$AU$501,3,))*$E258)</f>
        <v>0</v>
      </c>
      <c r="L258" s="65">
        <f>IF(VLOOKUP($D258,$C$5:$AU$501,3,)=0,0,(VLOOKUP($D258,$C$5:$AU$501,10,)/VLOOKUP($D258,$C$5:$AU$501,3,))*$E258)</f>
        <v>0</v>
      </c>
      <c r="M258" s="65">
        <f>IF(VLOOKUP($D258,$C$5:$AU$501,3,)=0,0,(VLOOKUP($D258,$C$5:$AU$501,11,)/VLOOKUP($D258,$C$5:$AU$501,3,))*$E258)</f>
        <v>0</v>
      </c>
      <c r="N258" s="65">
        <f>IF(VLOOKUP($D258,$C$5:$AU$501,3,)=0,0,(VLOOKUP($D258,$C$5:$AU$501,12,)/VLOOKUP($D258,$C$5:$AU$501,3,))*$E258)</f>
        <v>0</v>
      </c>
      <c r="O258" s="65">
        <f>IF(VLOOKUP($D258,$C$5:$AU$501,3,)=0,0,(VLOOKUP($D258,$C$5:$AU$501,13,)/VLOOKUP($D258,$C$5:$AU$501,3,))*$E258)</f>
        <v>0</v>
      </c>
      <c r="P258" s="65">
        <f>IF(VLOOKUP($D258,$C$5:$AU$501,3,)=0,0,(VLOOKUP($D258,$C$5:$AU$501,14,)/VLOOKUP($D258,$C$5:$AU$501,3,))*$E258)</f>
        <v>0</v>
      </c>
      <c r="Q258" s="65">
        <f>IF(VLOOKUP($D258,$C$5:$AU$501,3,)=0,0,(VLOOKUP($D258,$C$5:$AU$501,15,)/VLOOKUP($D258,$C$5:$AU$501,3,))*$E258)</f>
        <v>0</v>
      </c>
      <c r="R258" s="65">
        <f>IF(VLOOKUP($D258,$C$5:$AU$501,3,)=0,0,(VLOOKUP($D258,$C$5:$AU$501,16,)/VLOOKUP($D258,$C$5:$AU$501,3,))*$E258)</f>
        <v>0</v>
      </c>
      <c r="S258" s="65">
        <f>IF(VLOOKUP($D258,$C$5:$AU$501,3,)=0,0,(VLOOKUP($D258,$C$5:$AU$501,17,)/VLOOKUP($D258,$C$5:$AU$501,3,))*$E258)</f>
        <v>0</v>
      </c>
      <c r="T258" s="65">
        <f>IF(VLOOKUP($D258,$C$5:$AU$501,3,)=0,0,(VLOOKUP($D258,$C$5:$AU$501,18,)/VLOOKUP($D258,$C$5:$AU$501,3,))*$E258)</f>
        <v>0</v>
      </c>
      <c r="U258" s="65">
        <f>IF(VLOOKUP($D258,$C$5:$AU$501,3,)=0,0,(VLOOKUP($D258,$C$5:$AU$501,19,)/VLOOKUP($D258,$C$5:$AU$501,3,))*$E258)</f>
        <v>0</v>
      </c>
      <c r="V258" s="65">
        <f>IF(VLOOKUP($D258,$C$5:$AU$501,3,)=0,0,(VLOOKUP($D258,$C$5:$AU$501,20,)/VLOOKUP($D258,$C$5:$AU$501,3,))*$E258)</f>
        <v>0</v>
      </c>
      <c r="W258" s="65">
        <f>IF(VLOOKUP($D258,$C$5:$AU$501,3,)=0,0,(VLOOKUP($D258,$C$5:$AU$501,21,)/VLOOKUP($D258,$C$5:$AU$501,3,))*$E258)</f>
        <v>0</v>
      </c>
      <c r="X258" s="65">
        <f>IF(VLOOKUP($D258,$C$5:$AU$501,3,)=0,0,(VLOOKUP($D258,$C$5:$AU$501,22,)/VLOOKUP($D258,$C$5:$AU$501,3,))*$E258)</f>
        <v>0</v>
      </c>
      <c r="Y258" s="65">
        <f>IF(VLOOKUP($D258,$C$5:$AU$501,3,)=0,0,(VLOOKUP($D258,$C$5:$AU$501,23,)/VLOOKUP($D258,$C$5:$AU$501,3,))*$E258)</f>
        <v>0</v>
      </c>
      <c r="Z258" s="65">
        <f>IF(VLOOKUP($D258,$C$5:$AU$501,3,)=0,0,(VLOOKUP($D258,$C$5:$AU$501,24,)/VLOOKUP($D258,$C$5:$AU$501,3,))*$E258)</f>
        <v>0</v>
      </c>
      <c r="AA258" s="65">
        <f>IF(VLOOKUP($D258,$C$5:$AU$501,3,)=0,0,(VLOOKUP($D258,$C$5:$AU$501,25,)/VLOOKUP($D258,$C$5:$AU$501,3,))*$E258)</f>
        <v>0</v>
      </c>
      <c r="AB258" s="65">
        <f>IF(VLOOKUP($D258,$C$5:$AU$501,3,)=0,0,(VLOOKUP($D258,$C$5:$AU$501,26,)/VLOOKUP($D258,$C$5:$AU$501,3,))*$E258)</f>
        <v>0</v>
      </c>
      <c r="AC258" s="65">
        <f>IF(VLOOKUP($D258,$C$5:$AU$501,3,)=0,0,(VLOOKUP($D258,$C$5:$AU$501,27,)/VLOOKUP($D258,$C$5:$AU$501,3,))*$E258)</f>
        <v>0</v>
      </c>
      <c r="AD258" s="65">
        <f>IF(VLOOKUP($D258,$C$5:$AU$501,3,)=0,0,(VLOOKUP($D258,$C$5:$AU$501,28,)/VLOOKUP($D258,$C$5:$AU$501,3,))*$E258)</f>
        <v>0</v>
      </c>
      <c r="AE258" s="65">
        <f>IF(VLOOKUP($D258,$C$5:$AU$501,3,)=0,0,(VLOOKUP($D258,$C$5:$AU$501,29,)/VLOOKUP($D258,$C$5:$AU$501,3,))*$E258)</f>
        <v>0</v>
      </c>
      <c r="AF258" s="65">
        <f>IF(VLOOKUP($D258,$C$5:$AU$501,3,)=0,0,(VLOOKUP($D258,$C$5:$AU$501,30,)/VLOOKUP($D258,$C$5:$AU$501,3,))*$E258)</f>
        <v>0</v>
      </c>
      <c r="AG258" s="90">
        <f>SUM(F258:AF258)</f>
        <v>0</v>
      </c>
      <c r="AH258" s="29" t="str">
        <f>IF(ABS(E258-AG258)&lt;0.01,"ok","err")</f>
        <v>ok</v>
      </c>
    </row>
    <row r="259" spans="1:34" x14ac:dyDescent="0.2">
      <c r="E259" s="255"/>
    </row>
    <row r="260" spans="1:34" x14ac:dyDescent="0.2">
      <c r="A260" s="13" t="s">
        <v>5</v>
      </c>
      <c r="E260" s="255"/>
    </row>
    <row r="261" spans="1:34" x14ac:dyDescent="0.2">
      <c r="A261" s="93" t="s">
        <v>221</v>
      </c>
      <c r="C261" s="14" t="s">
        <v>307</v>
      </c>
      <c r="D261" s="14" t="s">
        <v>232</v>
      </c>
      <c r="E261" s="254">
        <f>'Func &amp; Classif'!W314</f>
        <v>0</v>
      </c>
      <c r="F261" s="65">
        <f>IF(VLOOKUP($D261,$C$5:$AU$501,3,)=0,0,(VLOOKUP($D261,$C$5:$AU$501,4,)/VLOOKUP($D261,$C$5:$AU$501,3,))*$E261)</f>
        <v>0</v>
      </c>
      <c r="G261" s="65">
        <f>IF(VLOOKUP($D261,$C$5:$AU$501,3,)=0,0,(VLOOKUP($D261,$C$5:$AU$501,5,)/VLOOKUP($D261,$C$5:$AU$501,3,))*$E261)</f>
        <v>0</v>
      </c>
      <c r="H261" s="65">
        <f>IF(VLOOKUP($D261,$C$5:$AU$501,3,)=0,0,(VLOOKUP($D261,$C$5:$AU$501,6,)/VLOOKUP($D261,$C$5:$AU$501,3,))*$E261)</f>
        <v>0</v>
      </c>
      <c r="I261" s="65">
        <f>IF(VLOOKUP($D261,$C$5:$AU$501,3,)=0,0,(VLOOKUP($D261,$C$5:$AU$501,7,)/VLOOKUP($D261,$C$5:$AU$501,3,))*$E261)</f>
        <v>0</v>
      </c>
      <c r="J261" s="65">
        <f>IF(VLOOKUP($D261,$C$5:$AU$501,3,)=0,0,(VLOOKUP($D261,$C$5:$AU$501,8,)/VLOOKUP($D261,$C$5:$AU$501,3,))*$E261)</f>
        <v>0</v>
      </c>
      <c r="K261" s="65">
        <f>IF(VLOOKUP($D261,$C$5:$AU$501,3,)=0,0,(VLOOKUP($D261,$C$5:$AU$501,9,)/VLOOKUP($D261,$C$5:$AU$501,3,))*$E261)</f>
        <v>0</v>
      </c>
      <c r="L261" s="65">
        <f>IF(VLOOKUP($D261,$C$5:$AU$501,3,)=0,0,(VLOOKUP($D261,$C$5:$AU$501,10,)/VLOOKUP($D261,$C$5:$AU$501,3,))*$E261)</f>
        <v>0</v>
      </c>
      <c r="M261" s="65">
        <f>IF(VLOOKUP($D261,$C$5:$AU$501,3,)=0,0,(VLOOKUP($D261,$C$5:$AU$501,11,)/VLOOKUP($D261,$C$5:$AU$501,3,))*$E261)</f>
        <v>0</v>
      </c>
      <c r="N261" s="65">
        <f>IF(VLOOKUP($D261,$C$5:$AU$501,3,)=0,0,(VLOOKUP($D261,$C$5:$AU$501,12,)/VLOOKUP($D261,$C$5:$AU$501,3,))*$E261)</f>
        <v>0</v>
      </c>
      <c r="O261" s="65">
        <f>IF(VLOOKUP($D261,$C$5:$AU$501,3,)=0,0,(VLOOKUP($D261,$C$5:$AU$501,13,)/VLOOKUP($D261,$C$5:$AU$501,3,))*$E261)</f>
        <v>0</v>
      </c>
      <c r="P261" s="65">
        <f>IF(VLOOKUP($D261,$C$5:$AU$501,3,)=0,0,(VLOOKUP($D261,$C$5:$AU$501,14,)/VLOOKUP($D261,$C$5:$AU$501,3,))*$E261)</f>
        <v>0</v>
      </c>
      <c r="Q261" s="65">
        <f>IF(VLOOKUP($D261,$C$5:$AU$501,3,)=0,0,(VLOOKUP($D261,$C$5:$AU$501,15,)/VLOOKUP($D261,$C$5:$AU$501,3,))*$E261)</f>
        <v>0</v>
      </c>
      <c r="R261" s="65">
        <f>IF(VLOOKUP($D261,$C$5:$AU$501,3,)=0,0,(VLOOKUP($D261,$C$5:$AU$501,16,)/VLOOKUP($D261,$C$5:$AU$501,3,))*$E261)</f>
        <v>0</v>
      </c>
      <c r="S261" s="65">
        <f>IF(VLOOKUP($D261,$C$5:$AU$501,3,)=0,0,(VLOOKUP($D261,$C$5:$AU$501,17,)/VLOOKUP($D261,$C$5:$AU$501,3,))*$E261)</f>
        <v>0</v>
      </c>
      <c r="T261" s="65">
        <f>IF(VLOOKUP($D261,$C$5:$AU$501,3,)=0,0,(VLOOKUP($D261,$C$5:$AU$501,18,)/VLOOKUP($D261,$C$5:$AU$501,3,))*$E261)</f>
        <v>0</v>
      </c>
      <c r="U261" s="65">
        <f>IF(VLOOKUP($D261,$C$5:$AU$501,3,)=0,0,(VLOOKUP($D261,$C$5:$AU$501,19,)/VLOOKUP($D261,$C$5:$AU$501,3,))*$E261)</f>
        <v>0</v>
      </c>
      <c r="V261" s="65">
        <f>IF(VLOOKUP($D261,$C$5:$AU$501,3,)=0,0,(VLOOKUP($D261,$C$5:$AU$501,20,)/VLOOKUP($D261,$C$5:$AU$501,3,))*$E261)</f>
        <v>0</v>
      </c>
      <c r="W261" s="65">
        <f>IF(VLOOKUP($D261,$C$5:$AU$501,3,)=0,0,(VLOOKUP($D261,$C$5:$AU$501,21,)/VLOOKUP($D261,$C$5:$AU$501,3,))*$E261)</f>
        <v>0</v>
      </c>
      <c r="X261" s="65">
        <f>IF(VLOOKUP($D261,$C$5:$AU$501,3,)=0,0,(VLOOKUP($D261,$C$5:$AU$501,22,)/VLOOKUP($D261,$C$5:$AU$501,3,))*$E261)</f>
        <v>0</v>
      </c>
      <c r="Y261" s="65">
        <f>IF(VLOOKUP($D261,$C$5:$AU$501,3,)=0,0,(VLOOKUP($D261,$C$5:$AU$501,23,)/VLOOKUP($D261,$C$5:$AU$501,3,))*$E261)</f>
        <v>0</v>
      </c>
      <c r="Z261" s="65">
        <f>IF(VLOOKUP($D261,$C$5:$AU$501,3,)=0,0,(VLOOKUP($D261,$C$5:$AU$501,24,)/VLOOKUP($D261,$C$5:$AU$501,3,))*$E261)</f>
        <v>0</v>
      </c>
      <c r="AA261" s="65">
        <f>IF(VLOOKUP($D261,$C$5:$AU$501,3,)=0,0,(VLOOKUP($D261,$C$5:$AU$501,25,)/VLOOKUP($D261,$C$5:$AU$501,3,))*$E261)</f>
        <v>0</v>
      </c>
      <c r="AB261" s="65">
        <f>IF(VLOOKUP($D261,$C$5:$AU$501,3,)=0,0,(VLOOKUP($D261,$C$5:$AU$501,26,)/VLOOKUP($D261,$C$5:$AU$501,3,))*$E261)</f>
        <v>0</v>
      </c>
      <c r="AC261" s="65">
        <f>IF(VLOOKUP($D261,$C$5:$AU$501,3,)=0,0,(VLOOKUP($D261,$C$5:$AU$501,27,)/VLOOKUP($D261,$C$5:$AU$501,3,))*$E261)</f>
        <v>0</v>
      </c>
      <c r="AD261" s="65">
        <f>IF(VLOOKUP($D261,$C$5:$AU$501,3,)=0,0,(VLOOKUP($D261,$C$5:$AU$501,28,)/VLOOKUP($D261,$C$5:$AU$501,3,))*$E261)</f>
        <v>0</v>
      </c>
      <c r="AE261" s="65">
        <f>IF(VLOOKUP($D261,$C$5:$AU$501,3,)=0,0,(VLOOKUP($D261,$C$5:$AU$501,29,)/VLOOKUP($D261,$C$5:$AU$501,3,))*$E261)</f>
        <v>0</v>
      </c>
      <c r="AF261" s="65">
        <f>IF(VLOOKUP($D261,$C$5:$AU$501,3,)=0,0,(VLOOKUP($D261,$C$5:$AU$501,30,)/VLOOKUP($D261,$C$5:$AU$501,3,))*$E261)</f>
        <v>0</v>
      </c>
      <c r="AG261" s="90">
        <f>SUM(F261:AF261)</f>
        <v>0</v>
      </c>
      <c r="AH261" s="29" t="str">
        <f>IF(ABS(E261-AG261)&lt;0.01,"ok","err")</f>
        <v>ok</v>
      </c>
    </row>
    <row r="262" spans="1:34" x14ac:dyDescent="0.2">
      <c r="E262" s="255"/>
    </row>
    <row r="263" spans="1:34" x14ac:dyDescent="0.2">
      <c r="A263" s="13" t="s">
        <v>545</v>
      </c>
      <c r="E263" s="255"/>
    </row>
    <row r="264" spans="1:34" x14ac:dyDescent="0.2">
      <c r="A264" s="93" t="s">
        <v>221</v>
      </c>
      <c r="C264" s="14" t="s">
        <v>308</v>
      </c>
      <c r="D264" s="14" t="s">
        <v>234</v>
      </c>
      <c r="E264" s="254">
        <f>'Func &amp; Classif'!Y314</f>
        <v>0</v>
      </c>
      <c r="F264" s="65">
        <f>IF(VLOOKUP($D264,$C$5:$AU$501,3,)=0,0,(VLOOKUP($D264,$C$5:$AU$501,4,)/VLOOKUP($D264,$C$5:$AU$501,3,))*$E264)</f>
        <v>0</v>
      </c>
      <c r="G264" s="65">
        <f>IF(VLOOKUP($D264,$C$5:$AU$501,3,)=0,0,(VLOOKUP($D264,$C$5:$AU$501,5,)/VLOOKUP($D264,$C$5:$AU$501,3,))*$E264)</f>
        <v>0</v>
      </c>
      <c r="H264" s="65">
        <f>IF(VLOOKUP($D264,$C$5:$AU$501,3,)=0,0,(VLOOKUP($D264,$C$5:$AU$501,6,)/VLOOKUP($D264,$C$5:$AU$501,3,))*$E264)</f>
        <v>0</v>
      </c>
      <c r="I264" s="65">
        <f>IF(VLOOKUP($D264,$C$5:$AU$501,3,)=0,0,(VLOOKUP($D264,$C$5:$AU$501,7,)/VLOOKUP($D264,$C$5:$AU$501,3,))*$E264)</f>
        <v>0</v>
      </c>
      <c r="J264" s="65">
        <f>IF(VLOOKUP($D264,$C$5:$AU$501,3,)=0,0,(VLOOKUP($D264,$C$5:$AU$501,8,)/VLOOKUP($D264,$C$5:$AU$501,3,))*$E264)</f>
        <v>0</v>
      </c>
      <c r="K264" s="65">
        <f>IF(VLOOKUP($D264,$C$5:$AU$501,3,)=0,0,(VLOOKUP($D264,$C$5:$AU$501,9,)/VLOOKUP($D264,$C$5:$AU$501,3,))*$E264)</f>
        <v>0</v>
      </c>
      <c r="L264" s="65">
        <f>IF(VLOOKUP($D264,$C$5:$AU$501,3,)=0,0,(VLOOKUP($D264,$C$5:$AU$501,10,)/VLOOKUP($D264,$C$5:$AU$501,3,))*$E264)</f>
        <v>0</v>
      </c>
      <c r="M264" s="65">
        <f>IF(VLOOKUP($D264,$C$5:$AU$501,3,)=0,0,(VLOOKUP($D264,$C$5:$AU$501,11,)/VLOOKUP($D264,$C$5:$AU$501,3,))*$E264)</f>
        <v>0</v>
      </c>
      <c r="N264" s="65">
        <f>IF(VLOOKUP($D264,$C$5:$AU$501,3,)=0,0,(VLOOKUP($D264,$C$5:$AU$501,12,)/VLOOKUP($D264,$C$5:$AU$501,3,))*$E264)</f>
        <v>0</v>
      </c>
      <c r="O264" s="65">
        <f>IF(VLOOKUP($D264,$C$5:$AU$501,3,)=0,0,(VLOOKUP($D264,$C$5:$AU$501,13,)/VLOOKUP($D264,$C$5:$AU$501,3,))*$E264)</f>
        <v>0</v>
      </c>
      <c r="P264" s="65">
        <f>IF(VLOOKUP($D264,$C$5:$AU$501,3,)=0,0,(VLOOKUP($D264,$C$5:$AU$501,14,)/VLOOKUP($D264,$C$5:$AU$501,3,))*$E264)</f>
        <v>0</v>
      </c>
      <c r="Q264" s="65">
        <f>IF(VLOOKUP($D264,$C$5:$AU$501,3,)=0,0,(VLOOKUP($D264,$C$5:$AU$501,15,)/VLOOKUP($D264,$C$5:$AU$501,3,))*$E264)</f>
        <v>0</v>
      </c>
      <c r="R264" s="65">
        <f>IF(VLOOKUP($D264,$C$5:$AU$501,3,)=0,0,(VLOOKUP($D264,$C$5:$AU$501,16,)/VLOOKUP($D264,$C$5:$AU$501,3,))*$E264)</f>
        <v>0</v>
      </c>
      <c r="S264" s="65">
        <f>IF(VLOOKUP($D264,$C$5:$AU$501,3,)=0,0,(VLOOKUP($D264,$C$5:$AU$501,17,)/VLOOKUP($D264,$C$5:$AU$501,3,))*$E264)</f>
        <v>0</v>
      </c>
      <c r="T264" s="65">
        <f>IF(VLOOKUP($D264,$C$5:$AU$501,3,)=0,0,(VLOOKUP($D264,$C$5:$AU$501,18,)/VLOOKUP($D264,$C$5:$AU$501,3,))*$E264)</f>
        <v>0</v>
      </c>
      <c r="U264" s="65">
        <f>IF(VLOOKUP($D264,$C$5:$AU$501,3,)=0,0,(VLOOKUP($D264,$C$5:$AU$501,19,)/VLOOKUP($D264,$C$5:$AU$501,3,))*$E264)</f>
        <v>0</v>
      </c>
      <c r="V264" s="65">
        <f>IF(VLOOKUP($D264,$C$5:$AU$501,3,)=0,0,(VLOOKUP($D264,$C$5:$AU$501,20,)/VLOOKUP($D264,$C$5:$AU$501,3,))*$E264)</f>
        <v>0</v>
      </c>
      <c r="W264" s="65">
        <f>IF(VLOOKUP($D264,$C$5:$AU$501,3,)=0,0,(VLOOKUP($D264,$C$5:$AU$501,21,)/VLOOKUP($D264,$C$5:$AU$501,3,))*$E264)</f>
        <v>0</v>
      </c>
      <c r="X264" s="65">
        <f>IF(VLOOKUP($D264,$C$5:$AU$501,3,)=0,0,(VLOOKUP($D264,$C$5:$AU$501,22,)/VLOOKUP($D264,$C$5:$AU$501,3,))*$E264)</f>
        <v>0</v>
      </c>
      <c r="Y264" s="65">
        <f>IF(VLOOKUP($D264,$C$5:$AU$501,3,)=0,0,(VLOOKUP($D264,$C$5:$AU$501,23,)/VLOOKUP($D264,$C$5:$AU$501,3,))*$E264)</f>
        <v>0</v>
      </c>
      <c r="Z264" s="65">
        <f>IF(VLOOKUP($D264,$C$5:$AU$501,3,)=0,0,(VLOOKUP($D264,$C$5:$AU$501,24,)/VLOOKUP($D264,$C$5:$AU$501,3,))*$E264)</f>
        <v>0</v>
      </c>
      <c r="AA264" s="65">
        <f>IF(VLOOKUP($D264,$C$5:$AU$501,3,)=0,0,(VLOOKUP($D264,$C$5:$AU$501,25,)/VLOOKUP($D264,$C$5:$AU$501,3,))*$E264)</f>
        <v>0</v>
      </c>
      <c r="AB264" s="65">
        <f>IF(VLOOKUP($D264,$C$5:$AU$501,3,)=0,0,(VLOOKUP($D264,$C$5:$AU$501,26,)/VLOOKUP($D264,$C$5:$AU$501,3,))*$E264)</f>
        <v>0</v>
      </c>
      <c r="AC264" s="65">
        <f>IF(VLOOKUP($D264,$C$5:$AU$501,3,)=0,0,(VLOOKUP($D264,$C$5:$AU$501,27,)/VLOOKUP($D264,$C$5:$AU$501,3,))*$E264)</f>
        <v>0</v>
      </c>
      <c r="AD264" s="65">
        <f>IF(VLOOKUP($D264,$C$5:$AU$501,3,)=0,0,(VLOOKUP($D264,$C$5:$AU$501,28,)/VLOOKUP($D264,$C$5:$AU$501,3,))*$E264)</f>
        <v>0</v>
      </c>
      <c r="AE264" s="65">
        <f>IF(VLOOKUP($D264,$C$5:$AU$501,3,)=0,0,(VLOOKUP($D264,$C$5:$AU$501,29,)/VLOOKUP($D264,$C$5:$AU$501,3,))*$E264)</f>
        <v>0</v>
      </c>
      <c r="AF264" s="65">
        <f>IF(VLOOKUP($D264,$C$5:$AU$501,3,)=0,0,(VLOOKUP($D264,$C$5:$AU$501,30,)/VLOOKUP($D264,$C$5:$AU$501,3,))*$E264)</f>
        <v>0</v>
      </c>
      <c r="AG264" s="90">
        <f>SUM(F264:AF264)</f>
        <v>0</v>
      </c>
      <c r="AH264" s="29" t="str">
        <f>IF(ABS(E264-AG264)&lt;0.01,"ok","err")</f>
        <v>ok</v>
      </c>
    </row>
    <row r="265" spans="1:34" x14ac:dyDescent="0.2">
      <c r="E265" s="255"/>
    </row>
    <row r="266" spans="1:34" x14ac:dyDescent="0.2">
      <c r="A266" s="13" t="s">
        <v>470</v>
      </c>
      <c r="E266" s="255"/>
    </row>
    <row r="267" spans="1:34" x14ac:dyDescent="0.2">
      <c r="A267" s="93" t="s">
        <v>221</v>
      </c>
      <c r="C267" s="14" t="s">
        <v>305</v>
      </c>
      <c r="D267" s="14" t="s">
        <v>235</v>
      </c>
      <c r="E267" s="254">
        <f>'Func &amp; Classif'!AA314</f>
        <v>0</v>
      </c>
      <c r="F267" s="65">
        <f>IF(VLOOKUP($D267,$C$5:$AU$501,3,)=0,0,(VLOOKUP($D267,$C$5:$AU$501,4,)/VLOOKUP($D267,$C$5:$AU$501,3,))*$E267)</f>
        <v>0</v>
      </c>
      <c r="G267" s="65">
        <f>IF(VLOOKUP($D267,$C$5:$AU$501,3,)=0,0,(VLOOKUP($D267,$C$5:$AU$501,5,)/VLOOKUP($D267,$C$5:$AU$501,3,))*$E267)</f>
        <v>0</v>
      </c>
      <c r="H267" s="65">
        <f>IF(VLOOKUP($D267,$C$5:$AU$501,3,)=0,0,(VLOOKUP($D267,$C$5:$AU$501,6,)/VLOOKUP($D267,$C$5:$AU$501,3,))*$E267)</f>
        <v>0</v>
      </c>
      <c r="I267" s="65">
        <f>IF(VLOOKUP($D267,$C$5:$AU$501,3,)=0,0,(VLOOKUP($D267,$C$5:$AU$501,7,)/VLOOKUP($D267,$C$5:$AU$501,3,))*$E267)</f>
        <v>0</v>
      </c>
      <c r="J267" s="65">
        <f>IF(VLOOKUP($D267,$C$5:$AU$501,3,)=0,0,(VLOOKUP($D267,$C$5:$AU$501,8,)/VLOOKUP($D267,$C$5:$AU$501,3,))*$E267)</f>
        <v>0</v>
      </c>
      <c r="K267" s="65">
        <f>IF(VLOOKUP($D267,$C$5:$AU$501,3,)=0,0,(VLOOKUP($D267,$C$5:$AU$501,9,)/VLOOKUP($D267,$C$5:$AU$501,3,))*$E267)</f>
        <v>0</v>
      </c>
      <c r="L267" s="65">
        <f>IF(VLOOKUP($D267,$C$5:$AU$501,3,)=0,0,(VLOOKUP($D267,$C$5:$AU$501,10,)/VLOOKUP($D267,$C$5:$AU$501,3,))*$E267)</f>
        <v>0</v>
      </c>
      <c r="M267" s="65">
        <f>IF(VLOOKUP($D267,$C$5:$AU$501,3,)=0,0,(VLOOKUP($D267,$C$5:$AU$501,11,)/VLOOKUP($D267,$C$5:$AU$501,3,))*$E267)</f>
        <v>0</v>
      </c>
      <c r="N267" s="65">
        <f>IF(VLOOKUP($D267,$C$5:$AU$501,3,)=0,0,(VLOOKUP($D267,$C$5:$AU$501,12,)/VLOOKUP($D267,$C$5:$AU$501,3,))*$E267)</f>
        <v>0</v>
      </c>
      <c r="O267" s="65">
        <f>IF(VLOOKUP($D267,$C$5:$AU$501,3,)=0,0,(VLOOKUP($D267,$C$5:$AU$501,13,)/VLOOKUP($D267,$C$5:$AU$501,3,))*$E267)</f>
        <v>0</v>
      </c>
      <c r="P267" s="65">
        <f>IF(VLOOKUP($D267,$C$5:$AU$501,3,)=0,0,(VLOOKUP($D267,$C$5:$AU$501,14,)/VLOOKUP($D267,$C$5:$AU$501,3,))*$E267)</f>
        <v>0</v>
      </c>
      <c r="Q267" s="65">
        <f>IF(VLOOKUP($D267,$C$5:$AU$501,3,)=0,0,(VLOOKUP($D267,$C$5:$AU$501,15,)/VLOOKUP($D267,$C$5:$AU$501,3,))*$E267)</f>
        <v>0</v>
      </c>
      <c r="R267" s="65">
        <f>IF(VLOOKUP($D267,$C$5:$AU$501,3,)=0,0,(VLOOKUP($D267,$C$5:$AU$501,16,)/VLOOKUP($D267,$C$5:$AU$501,3,))*$E267)</f>
        <v>0</v>
      </c>
      <c r="S267" s="65">
        <f>IF(VLOOKUP($D267,$C$5:$AU$501,3,)=0,0,(VLOOKUP($D267,$C$5:$AU$501,17,)/VLOOKUP($D267,$C$5:$AU$501,3,))*$E267)</f>
        <v>0</v>
      </c>
      <c r="T267" s="65">
        <f>IF(VLOOKUP($D267,$C$5:$AU$501,3,)=0,0,(VLOOKUP($D267,$C$5:$AU$501,18,)/VLOOKUP($D267,$C$5:$AU$501,3,))*$E267)</f>
        <v>0</v>
      </c>
      <c r="U267" s="65">
        <f>IF(VLOOKUP($D267,$C$5:$AU$501,3,)=0,0,(VLOOKUP($D267,$C$5:$AU$501,19,)/VLOOKUP($D267,$C$5:$AU$501,3,))*$E267)</f>
        <v>0</v>
      </c>
      <c r="V267" s="65">
        <f>IF(VLOOKUP($D267,$C$5:$AU$501,3,)=0,0,(VLOOKUP($D267,$C$5:$AU$501,20,)/VLOOKUP($D267,$C$5:$AU$501,3,))*$E267)</f>
        <v>0</v>
      </c>
      <c r="W267" s="65">
        <f>IF(VLOOKUP($D267,$C$5:$AU$501,3,)=0,0,(VLOOKUP($D267,$C$5:$AU$501,21,)/VLOOKUP($D267,$C$5:$AU$501,3,))*$E267)</f>
        <v>0</v>
      </c>
      <c r="X267" s="65">
        <f>IF(VLOOKUP($D267,$C$5:$AU$501,3,)=0,0,(VLOOKUP($D267,$C$5:$AU$501,22,)/VLOOKUP($D267,$C$5:$AU$501,3,))*$E267)</f>
        <v>0</v>
      </c>
      <c r="Y267" s="65">
        <f>IF(VLOOKUP($D267,$C$5:$AU$501,3,)=0,0,(VLOOKUP($D267,$C$5:$AU$501,23,)/VLOOKUP($D267,$C$5:$AU$501,3,))*$E267)</f>
        <v>0</v>
      </c>
      <c r="Z267" s="65">
        <f>IF(VLOOKUP($D267,$C$5:$AU$501,3,)=0,0,(VLOOKUP($D267,$C$5:$AU$501,24,)/VLOOKUP($D267,$C$5:$AU$501,3,))*$E267)</f>
        <v>0</v>
      </c>
      <c r="AA267" s="65">
        <f>IF(VLOOKUP($D267,$C$5:$AU$501,3,)=0,0,(VLOOKUP($D267,$C$5:$AU$501,25,)/VLOOKUP($D267,$C$5:$AU$501,3,))*$E267)</f>
        <v>0</v>
      </c>
      <c r="AB267" s="65">
        <f>IF(VLOOKUP($D267,$C$5:$AU$501,3,)=0,0,(VLOOKUP($D267,$C$5:$AU$501,26,)/VLOOKUP($D267,$C$5:$AU$501,3,))*$E267)</f>
        <v>0</v>
      </c>
      <c r="AC267" s="65">
        <f>IF(VLOOKUP($D267,$C$5:$AU$501,3,)=0,0,(VLOOKUP($D267,$C$5:$AU$501,27,)/VLOOKUP($D267,$C$5:$AU$501,3,))*$E267)</f>
        <v>0</v>
      </c>
      <c r="AD267" s="65">
        <f>IF(VLOOKUP($D267,$C$5:$AU$501,3,)=0,0,(VLOOKUP($D267,$C$5:$AU$501,28,)/VLOOKUP($D267,$C$5:$AU$501,3,))*$E267)</f>
        <v>0</v>
      </c>
      <c r="AE267" s="65">
        <f>IF(VLOOKUP($D267,$C$5:$AU$501,3,)=0,0,(VLOOKUP($D267,$C$5:$AU$501,29,)/VLOOKUP($D267,$C$5:$AU$501,3,))*$E267)</f>
        <v>0</v>
      </c>
      <c r="AF267" s="65">
        <f>IF(VLOOKUP($D267,$C$5:$AU$501,3,)=0,0,(VLOOKUP($D267,$C$5:$AU$501,30,)/VLOOKUP($D267,$C$5:$AU$501,3,))*$E267)</f>
        <v>0</v>
      </c>
      <c r="AG267" s="90">
        <f>SUM(F267:AF267)</f>
        <v>0</v>
      </c>
      <c r="AH267" s="29" t="str">
        <f>IF(ABS(E267-AG267)&lt;0.01,"ok","err")</f>
        <v>ok</v>
      </c>
    </row>
    <row r="268" spans="1:34" x14ac:dyDescent="0.2">
      <c r="E268" s="255"/>
    </row>
    <row r="269" spans="1:34" x14ac:dyDescent="0.2">
      <c r="A269" s="14" t="s">
        <v>0</v>
      </c>
      <c r="C269" s="14" t="s">
        <v>309</v>
      </c>
      <c r="E269" s="254">
        <f>E239+E242+E245+E250+E255+E258+E261+E264+E267</f>
        <v>0</v>
      </c>
      <c r="F269" s="65">
        <f t="shared" ref="F269:R269" si="55">F239+F242+F245+F250+F255+F258+F261+F264+F267</f>
        <v>0</v>
      </c>
      <c r="G269" s="65">
        <f t="shared" si="55"/>
        <v>0</v>
      </c>
      <c r="H269" s="65">
        <f t="shared" si="55"/>
        <v>0</v>
      </c>
      <c r="I269" s="65">
        <f t="shared" si="55"/>
        <v>0</v>
      </c>
      <c r="J269" s="65">
        <f t="shared" si="55"/>
        <v>0</v>
      </c>
      <c r="K269" s="65">
        <f t="shared" si="55"/>
        <v>0</v>
      </c>
      <c r="L269" s="65">
        <f t="shared" si="55"/>
        <v>0</v>
      </c>
      <c r="M269" s="65">
        <f t="shared" si="55"/>
        <v>0</v>
      </c>
      <c r="N269" s="65">
        <f t="shared" si="55"/>
        <v>0</v>
      </c>
      <c r="O269" s="65">
        <f t="shared" si="55"/>
        <v>0</v>
      </c>
      <c r="P269" s="65">
        <f t="shared" si="55"/>
        <v>0</v>
      </c>
      <c r="Q269" s="65">
        <f t="shared" si="55"/>
        <v>0</v>
      </c>
      <c r="R269" s="65">
        <f t="shared" si="55"/>
        <v>0</v>
      </c>
      <c r="S269" s="65">
        <f t="shared" ref="S269:AF269" si="56">S239+S245+S250+S255+S258+S261+S264+S267</f>
        <v>0</v>
      </c>
      <c r="T269" s="65">
        <f t="shared" si="56"/>
        <v>0</v>
      </c>
      <c r="U269" s="65">
        <f t="shared" si="56"/>
        <v>0</v>
      </c>
      <c r="V269" s="65">
        <f t="shared" si="56"/>
        <v>0</v>
      </c>
      <c r="W269" s="65">
        <f t="shared" si="56"/>
        <v>0</v>
      </c>
      <c r="X269" s="65">
        <f t="shared" si="56"/>
        <v>0</v>
      </c>
      <c r="Y269" s="65">
        <f t="shared" si="56"/>
        <v>0</v>
      </c>
      <c r="Z269" s="65">
        <f t="shared" si="56"/>
        <v>0</v>
      </c>
      <c r="AA269" s="65">
        <f t="shared" si="56"/>
        <v>0</v>
      </c>
      <c r="AB269" s="65">
        <f t="shared" si="56"/>
        <v>0</v>
      </c>
      <c r="AC269" s="65">
        <f t="shared" si="56"/>
        <v>0</v>
      </c>
      <c r="AD269" s="65">
        <f t="shared" si="56"/>
        <v>0</v>
      </c>
      <c r="AE269" s="65">
        <f t="shared" si="56"/>
        <v>0</v>
      </c>
      <c r="AF269" s="65">
        <f t="shared" si="56"/>
        <v>0</v>
      </c>
      <c r="AG269" s="90">
        <f>SUM(F269:AF269)</f>
        <v>0</v>
      </c>
      <c r="AH269" s="29" t="str">
        <f>IF(ABS(E269-AG269)&lt;0.01,"ok","err")</f>
        <v>ok</v>
      </c>
    </row>
    <row r="272" spans="1:34" x14ac:dyDescent="0.2">
      <c r="A272" s="27" t="s">
        <v>310</v>
      </c>
    </row>
    <row r="274" spans="1:34" x14ac:dyDescent="0.2">
      <c r="A274" s="13" t="s">
        <v>896</v>
      </c>
    </row>
    <row r="275" spans="1:34" x14ac:dyDescent="0.2">
      <c r="A275" s="93" t="s">
        <v>209</v>
      </c>
      <c r="C275" s="14" t="s">
        <v>311</v>
      </c>
      <c r="D275" s="14" t="s">
        <v>657</v>
      </c>
      <c r="E275" s="254">
        <f>'Func &amp; Classif'!H316</f>
        <v>0</v>
      </c>
      <c r="F275" s="65">
        <f>IF(VLOOKUP($D275,$C$5:$AU$501,3,)=0,0,(VLOOKUP($D275,$C$5:$AU$501,4,)/VLOOKUP($D275,$C$5:$AU$501,3,))*$E275)</f>
        <v>0</v>
      </c>
      <c r="G275" s="65">
        <f>IF(VLOOKUP($D275,$C$5:$AU$501,3,)=0,0,(VLOOKUP($D275,$C$5:$AU$501,5,)/VLOOKUP($D275,$C$5:$AU$501,3,))*$E275)</f>
        <v>0</v>
      </c>
      <c r="H275" s="65">
        <f>IF(VLOOKUP($D275,$C$5:$AU$501,3,)=0,0,(VLOOKUP($D275,$C$5:$AU$501,6,)/VLOOKUP($D275,$C$5:$AU$501,3,))*$E275)</f>
        <v>0</v>
      </c>
      <c r="I275" s="65">
        <f>IF(VLOOKUP($D275,$C$5:$AU$501,3,)=0,0,(VLOOKUP($D275,$C$5:$AU$501,7,)/VLOOKUP($D275,$C$5:$AU$501,3,))*$E275)</f>
        <v>0</v>
      </c>
      <c r="J275" s="65">
        <f>IF(VLOOKUP($D275,$C$5:$AU$501,3,)=0,0,(VLOOKUP($D275,$C$5:$AU$501,8,)/VLOOKUP($D275,$C$5:$AU$501,3,))*$E275)</f>
        <v>0</v>
      </c>
      <c r="K275" s="65">
        <f>IF(VLOOKUP($D275,$C$5:$AU$501,3,)=0,0,(VLOOKUP($D275,$C$5:$AU$501,9,)/VLOOKUP($D275,$C$5:$AU$501,3,))*$E275)</f>
        <v>0</v>
      </c>
      <c r="L275" s="65">
        <f>IF(VLOOKUP($D275,$C$5:$AU$501,3,)=0,0,(VLOOKUP($D275,$C$5:$AU$501,10,)/VLOOKUP($D275,$C$5:$AU$501,3,))*$E275)</f>
        <v>0</v>
      </c>
      <c r="M275" s="65">
        <f>IF(VLOOKUP($D275,$C$5:$AU$501,3,)=0,0,(VLOOKUP($D275,$C$5:$AU$501,11,)/VLOOKUP($D275,$C$5:$AU$501,3,))*$E275)</f>
        <v>0</v>
      </c>
      <c r="N275" s="65">
        <f>IF(VLOOKUP($D275,$C$5:$AU$501,3,)=0,0,(VLOOKUP($D275,$C$5:$AU$501,12,)/VLOOKUP($D275,$C$5:$AU$501,3,))*$E275)</f>
        <v>0</v>
      </c>
      <c r="O275" s="65">
        <f>IF(VLOOKUP($D275,$C$5:$AU$501,3,)=0,0,(VLOOKUP($D275,$C$5:$AU$501,13,)/VLOOKUP($D275,$C$5:$AU$501,3,))*$E275)</f>
        <v>0</v>
      </c>
      <c r="P275" s="65">
        <f>IF(VLOOKUP($D275,$C$5:$AU$501,3,)=0,0,(VLOOKUP($D275,$C$5:$AU$501,14,)/VLOOKUP($D275,$C$5:$AU$501,3,))*$E275)</f>
        <v>0</v>
      </c>
      <c r="Q275" s="65">
        <f>IF(VLOOKUP($D275,$C$5:$AU$501,3,)=0,0,(VLOOKUP($D275,$C$5:$AU$501,15,)/VLOOKUP($D275,$C$5:$AU$501,3,))*$E275)</f>
        <v>0</v>
      </c>
      <c r="R275" s="65">
        <f>IF(VLOOKUP($D275,$C$5:$AU$501,3,)=0,0,(VLOOKUP($D275,$C$5:$AU$501,16,)/VLOOKUP($D275,$C$5:$AU$501,3,))*$E275)</f>
        <v>0</v>
      </c>
      <c r="S275" s="65">
        <f>IF(VLOOKUP($D275,$C$5:$AU$501,3,)=0,0,(VLOOKUP($D275,$C$5:$AU$501,17,)/VLOOKUP($D275,$C$5:$AU$501,3,))*$E275)</f>
        <v>0</v>
      </c>
      <c r="T275" s="65">
        <f>IF(VLOOKUP($D275,$C$5:$AU$501,3,)=0,0,(VLOOKUP($D275,$C$5:$AU$501,18,)/VLOOKUP($D275,$C$5:$AU$501,3,))*$E275)</f>
        <v>0</v>
      </c>
      <c r="U275" s="65">
        <f>IF(VLOOKUP($D275,$C$5:$AU$501,3,)=0,0,(VLOOKUP($D275,$C$5:$AU$501,19,)/VLOOKUP($D275,$C$5:$AU$501,3,))*$E275)</f>
        <v>0</v>
      </c>
      <c r="V275" s="65">
        <f>IF(VLOOKUP($D275,$C$5:$AU$501,3,)=0,0,(VLOOKUP($D275,$C$5:$AU$501,20,)/VLOOKUP($D275,$C$5:$AU$501,3,))*$E275)</f>
        <v>0</v>
      </c>
      <c r="W275" s="65">
        <f>IF(VLOOKUP($D275,$C$5:$AU$501,3,)=0,0,(VLOOKUP($D275,$C$5:$AU$501,21,)/VLOOKUP($D275,$C$5:$AU$501,3,))*$E275)</f>
        <v>0</v>
      </c>
      <c r="X275" s="65">
        <f>IF(VLOOKUP($D275,$C$5:$AU$501,3,)=0,0,(VLOOKUP($D275,$C$5:$AU$501,22,)/VLOOKUP($D275,$C$5:$AU$501,3,))*$E275)</f>
        <v>0</v>
      </c>
      <c r="Y275" s="65">
        <f>IF(VLOOKUP($D275,$C$5:$AU$501,3,)=0,0,(VLOOKUP($D275,$C$5:$AU$501,23,)/VLOOKUP($D275,$C$5:$AU$501,3,))*$E275)</f>
        <v>0</v>
      </c>
      <c r="Z275" s="65">
        <f>IF(VLOOKUP($D275,$C$5:$AU$501,3,)=0,0,(VLOOKUP($D275,$C$5:$AU$501,24,)/VLOOKUP($D275,$C$5:$AU$501,3,))*$E275)</f>
        <v>0</v>
      </c>
      <c r="AA275" s="65">
        <f>IF(VLOOKUP($D275,$C$5:$AU$501,3,)=0,0,(VLOOKUP($D275,$C$5:$AU$501,25,)/VLOOKUP($D275,$C$5:$AU$501,3,))*$E275)</f>
        <v>0</v>
      </c>
      <c r="AB275" s="65">
        <f>IF(VLOOKUP($D275,$C$5:$AU$501,3,)=0,0,(VLOOKUP($D275,$C$5:$AU$501,26,)/VLOOKUP($D275,$C$5:$AU$501,3,))*$E275)</f>
        <v>0</v>
      </c>
      <c r="AC275" s="65">
        <f>IF(VLOOKUP($D275,$C$5:$AU$501,3,)=0,0,(VLOOKUP($D275,$C$5:$AU$501,27,)/VLOOKUP($D275,$C$5:$AU$501,3,))*$E275)</f>
        <v>0</v>
      </c>
      <c r="AD275" s="65">
        <f>IF(VLOOKUP($D275,$C$5:$AU$501,3,)=0,0,(VLOOKUP($D275,$C$5:$AU$501,28,)/VLOOKUP($D275,$C$5:$AU$501,3,))*$E275)</f>
        <v>0</v>
      </c>
      <c r="AE275" s="65">
        <f>IF(VLOOKUP($D275,$C$5:$AU$501,3,)=0,0,(VLOOKUP($D275,$C$5:$AU$501,29,)/VLOOKUP($D275,$C$5:$AU$501,3,))*$E275)</f>
        <v>0</v>
      </c>
      <c r="AF275" s="65">
        <f>IF(VLOOKUP($D275,$C$5:$AU$501,3,)=0,0,(VLOOKUP($D275,$C$5:$AU$501,30,)/VLOOKUP($D275,$C$5:$AU$501,3,))*$E275)</f>
        <v>0</v>
      </c>
      <c r="AG275" s="90">
        <f>SUM(F275:AF275)</f>
        <v>0</v>
      </c>
      <c r="AH275" s="29" t="str">
        <f>IF(ABS(E275-AG275)&lt;0.01,"ok","err")</f>
        <v>ok</v>
      </c>
    </row>
    <row r="276" spans="1:34" x14ac:dyDescent="0.2">
      <c r="A276" s="93" t="s">
        <v>212</v>
      </c>
      <c r="C276" s="14" t="s">
        <v>312</v>
      </c>
      <c r="D276" s="14" t="s">
        <v>666</v>
      </c>
      <c r="E276" s="255">
        <f>'Func &amp; Classif'!I316</f>
        <v>0</v>
      </c>
      <c r="F276" s="65">
        <f>IF(VLOOKUP($D276,$C$5:$AU$501,3,)=0,0,(VLOOKUP($D276,$C$5:$AU$501,4,)/VLOOKUP($D276,$C$5:$AU$501,3,))*$E276)</f>
        <v>0</v>
      </c>
      <c r="G276" s="65">
        <f>IF(VLOOKUP($D276,$C$5:$AU$501,3,)=0,0,(VLOOKUP($D276,$C$5:$AU$501,5,)/VLOOKUP($D276,$C$5:$AU$501,3,))*$E276)</f>
        <v>0</v>
      </c>
      <c r="H276" s="65">
        <f>IF(VLOOKUP($D276,$C$5:$AU$501,3,)=0,0,(VLOOKUP($D276,$C$5:$AU$501,6,)/VLOOKUP($D276,$C$5:$AU$501,3,))*$E276)</f>
        <v>0</v>
      </c>
      <c r="I276" s="65">
        <f>IF(VLOOKUP($D276,$C$5:$AU$501,3,)=0,0,(VLOOKUP($D276,$C$5:$AU$501,7,)/VLOOKUP($D276,$C$5:$AU$501,3,))*$E276)</f>
        <v>0</v>
      </c>
      <c r="J276" s="65">
        <f>IF(VLOOKUP($D276,$C$5:$AU$501,3,)=0,0,(VLOOKUP($D276,$C$5:$AU$501,8,)/VLOOKUP($D276,$C$5:$AU$501,3,))*$E276)</f>
        <v>0</v>
      </c>
      <c r="K276" s="65">
        <f>IF(VLOOKUP($D276,$C$5:$AU$501,3,)=0,0,(VLOOKUP($D276,$C$5:$AU$501,9,)/VLOOKUP($D276,$C$5:$AU$501,3,))*$E276)</f>
        <v>0</v>
      </c>
      <c r="L276" s="65">
        <f>IF(VLOOKUP($D276,$C$5:$AU$501,3,)=0,0,(VLOOKUP($D276,$C$5:$AU$501,10,)/VLOOKUP($D276,$C$5:$AU$501,3,))*$E276)</f>
        <v>0</v>
      </c>
      <c r="M276" s="65">
        <f>IF(VLOOKUP($D276,$C$5:$AU$501,3,)=0,0,(VLOOKUP($D276,$C$5:$AU$501,11,)/VLOOKUP($D276,$C$5:$AU$501,3,))*$E276)</f>
        <v>0</v>
      </c>
      <c r="N276" s="65">
        <f>IF(VLOOKUP($D276,$C$5:$AU$501,3,)=0,0,(VLOOKUP($D276,$C$5:$AU$501,12,)/VLOOKUP($D276,$C$5:$AU$501,3,))*$E276)</f>
        <v>0</v>
      </c>
      <c r="O276" s="65">
        <f>IF(VLOOKUP($D276,$C$5:$AU$501,3,)=0,0,(VLOOKUP($D276,$C$5:$AU$501,13,)/VLOOKUP($D276,$C$5:$AU$501,3,))*$E276)</f>
        <v>0</v>
      </c>
      <c r="P276" s="65">
        <f>IF(VLOOKUP($D276,$C$5:$AU$501,3,)=0,0,(VLOOKUP($D276,$C$5:$AU$501,14,)/VLOOKUP($D276,$C$5:$AU$501,3,))*$E276)</f>
        <v>0</v>
      </c>
      <c r="Q276" s="65">
        <f>IF(VLOOKUP($D276,$C$5:$AU$501,3,)=0,0,(VLOOKUP($D276,$C$5:$AU$501,15,)/VLOOKUP($D276,$C$5:$AU$501,3,))*$E276)</f>
        <v>0</v>
      </c>
      <c r="R276" s="65">
        <f>IF(VLOOKUP($D276,$C$5:$AU$501,3,)=0,0,(VLOOKUP($D276,$C$5:$AU$501,16,)/VLOOKUP($D276,$C$5:$AU$501,3,))*$E276)</f>
        <v>0</v>
      </c>
      <c r="S276" s="65">
        <f>IF(VLOOKUP($D276,$C$5:$AU$501,3,)=0,0,(VLOOKUP($D276,$C$5:$AU$501,17,)/VLOOKUP($D276,$C$5:$AU$501,3,))*$E276)</f>
        <v>0</v>
      </c>
      <c r="T276" s="65">
        <f>IF(VLOOKUP($D276,$C$5:$AU$501,3,)=0,0,(VLOOKUP($D276,$C$5:$AU$501,18,)/VLOOKUP($D276,$C$5:$AU$501,3,))*$E276)</f>
        <v>0</v>
      </c>
      <c r="U276" s="65">
        <f>IF(VLOOKUP($D276,$C$5:$AU$501,3,)=0,0,(VLOOKUP($D276,$C$5:$AU$501,19,)/VLOOKUP($D276,$C$5:$AU$501,3,))*$E276)</f>
        <v>0</v>
      </c>
      <c r="V276" s="65">
        <f>IF(VLOOKUP($D276,$C$5:$AU$501,3,)=0,0,(VLOOKUP($D276,$C$5:$AU$501,20,)/VLOOKUP($D276,$C$5:$AU$501,3,))*$E276)</f>
        <v>0</v>
      </c>
      <c r="W276" s="65">
        <f>IF(VLOOKUP($D276,$C$5:$AU$501,3,)=0,0,(VLOOKUP($D276,$C$5:$AU$501,21,)/VLOOKUP($D276,$C$5:$AU$501,3,))*$E276)</f>
        <v>0</v>
      </c>
      <c r="X276" s="65">
        <f>IF(VLOOKUP($D276,$C$5:$AU$501,3,)=0,0,(VLOOKUP($D276,$C$5:$AU$501,22,)/VLOOKUP($D276,$C$5:$AU$501,3,))*$E276)</f>
        <v>0</v>
      </c>
      <c r="Y276" s="65">
        <f>IF(VLOOKUP($D276,$C$5:$AU$501,3,)=0,0,(VLOOKUP($D276,$C$5:$AU$501,23,)/VLOOKUP($D276,$C$5:$AU$501,3,))*$E276)</f>
        <v>0</v>
      </c>
      <c r="Z276" s="65">
        <f>IF(VLOOKUP($D276,$C$5:$AU$501,3,)=0,0,(VLOOKUP($D276,$C$5:$AU$501,24,)/VLOOKUP($D276,$C$5:$AU$501,3,))*$E276)</f>
        <v>0</v>
      </c>
      <c r="AA276" s="65">
        <f>IF(VLOOKUP($D276,$C$5:$AU$501,3,)=0,0,(VLOOKUP($D276,$C$5:$AU$501,25,)/VLOOKUP($D276,$C$5:$AU$501,3,))*$E276)</f>
        <v>0</v>
      </c>
      <c r="AB276" s="65">
        <f>IF(VLOOKUP($D276,$C$5:$AU$501,3,)=0,0,(VLOOKUP($D276,$C$5:$AU$501,26,)/VLOOKUP($D276,$C$5:$AU$501,3,))*$E276)</f>
        <v>0</v>
      </c>
      <c r="AC276" s="65">
        <f>IF(VLOOKUP($D276,$C$5:$AU$501,3,)=0,0,(VLOOKUP($D276,$C$5:$AU$501,27,)/VLOOKUP($D276,$C$5:$AU$501,3,))*$E276)</f>
        <v>0</v>
      </c>
      <c r="AD276" s="65">
        <f>IF(VLOOKUP($D276,$C$5:$AU$501,3,)=0,0,(VLOOKUP($D276,$C$5:$AU$501,28,)/VLOOKUP($D276,$C$5:$AU$501,3,))*$E276)</f>
        <v>0</v>
      </c>
      <c r="AE276" s="65">
        <f>IF(VLOOKUP($D276,$C$5:$AU$501,3,)=0,0,(VLOOKUP($D276,$C$5:$AU$501,29,)/VLOOKUP($D276,$C$5:$AU$501,3,))*$E276)</f>
        <v>0</v>
      </c>
      <c r="AF276" s="65">
        <f>IF(VLOOKUP($D276,$C$5:$AU$501,3,)=0,0,(VLOOKUP($D276,$C$5:$AU$501,30,)/VLOOKUP($D276,$C$5:$AU$501,3,))*$E276)</f>
        <v>0</v>
      </c>
      <c r="AG276" s="90">
        <f>SUM(F276:AF276)</f>
        <v>0</v>
      </c>
      <c r="AH276" s="29" t="str">
        <f>IF(ABS(E276-AG276)&lt;0.01,"ok","err")</f>
        <v>ok</v>
      </c>
    </row>
    <row r="277" spans="1:34" x14ac:dyDescent="0.2">
      <c r="A277" s="14" t="s">
        <v>215</v>
      </c>
      <c r="C277" s="14" t="s">
        <v>313</v>
      </c>
      <c r="E277" s="255">
        <f t="shared" ref="E277:T277" si="57">E275+E276</f>
        <v>0</v>
      </c>
      <c r="F277" s="65">
        <f t="shared" si="57"/>
        <v>0</v>
      </c>
      <c r="G277" s="65">
        <f t="shared" si="57"/>
        <v>0</v>
      </c>
      <c r="H277" s="65">
        <f t="shared" si="57"/>
        <v>0</v>
      </c>
      <c r="I277" s="65">
        <f t="shared" si="57"/>
        <v>0</v>
      </c>
      <c r="J277" s="65">
        <f t="shared" si="57"/>
        <v>0</v>
      </c>
      <c r="K277" s="65">
        <f t="shared" si="57"/>
        <v>0</v>
      </c>
      <c r="L277" s="65">
        <f t="shared" si="57"/>
        <v>0</v>
      </c>
      <c r="M277" s="65">
        <f t="shared" si="57"/>
        <v>0</v>
      </c>
      <c r="N277" s="65">
        <f t="shared" si="57"/>
        <v>0</v>
      </c>
      <c r="O277" s="65">
        <f t="shared" si="57"/>
        <v>0</v>
      </c>
      <c r="P277" s="65">
        <f t="shared" si="57"/>
        <v>0</v>
      </c>
      <c r="Q277" s="65">
        <f t="shared" si="57"/>
        <v>0</v>
      </c>
      <c r="R277" s="65">
        <f t="shared" si="57"/>
        <v>0</v>
      </c>
      <c r="S277" s="65">
        <f t="shared" si="57"/>
        <v>0</v>
      </c>
      <c r="T277" s="65">
        <f t="shared" si="57"/>
        <v>0</v>
      </c>
      <c r="U277" s="65">
        <f t="shared" ref="U277:AF277" si="58">U275+U276</f>
        <v>0</v>
      </c>
      <c r="V277" s="65">
        <f t="shared" si="58"/>
        <v>0</v>
      </c>
      <c r="W277" s="65">
        <f t="shared" si="58"/>
        <v>0</v>
      </c>
      <c r="X277" s="65">
        <f t="shared" si="58"/>
        <v>0</v>
      </c>
      <c r="Y277" s="65">
        <f t="shared" si="58"/>
        <v>0</v>
      </c>
      <c r="Z277" s="65">
        <f t="shared" si="58"/>
        <v>0</v>
      </c>
      <c r="AA277" s="65">
        <f t="shared" si="58"/>
        <v>0</v>
      </c>
      <c r="AB277" s="65">
        <f t="shared" si="58"/>
        <v>0</v>
      </c>
      <c r="AC277" s="65">
        <f t="shared" si="58"/>
        <v>0</v>
      </c>
      <c r="AD277" s="65">
        <f t="shared" si="58"/>
        <v>0</v>
      </c>
      <c r="AE277" s="65">
        <f t="shared" si="58"/>
        <v>0</v>
      </c>
      <c r="AF277" s="65">
        <f t="shared" si="58"/>
        <v>0</v>
      </c>
      <c r="AG277" s="90">
        <f>SUM(F277:AF277)</f>
        <v>0</v>
      </c>
      <c r="AH277" s="29" t="str">
        <f>IF(ABS(E277-AG277)&lt;0.01,"ok","err")</f>
        <v>ok</v>
      </c>
    </row>
    <row r="278" spans="1:34" x14ac:dyDescent="0.2">
      <c r="E278" s="255"/>
      <c r="F278" s="49"/>
    </row>
    <row r="279" spans="1:34" x14ac:dyDescent="0.2">
      <c r="A279" s="13" t="s">
        <v>350</v>
      </c>
      <c r="E279" s="255"/>
      <c r="F279" s="49"/>
    </row>
    <row r="280" spans="1:34" x14ac:dyDescent="0.2">
      <c r="A280" s="93" t="s">
        <v>209</v>
      </c>
      <c r="C280" s="14" t="s">
        <v>892</v>
      </c>
      <c r="D280" s="14" t="s">
        <v>625</v>
      </c>
      <c r="E280" s="254">
        <f>'Func &amp; Classif'!K316</f>
        <v>0</v>
      </c>
      <c r="F280" s="65">
        <f>IF(VLOOKUP($D280,$C$5:$AU$501,3,)=0,0,(VLOOKUP($D280,$C$5:$AU$501,4,)/VLOOKUP($D280,$C$5:$AU$501,3,))*$E280)</f>
        <v>0</v>
      </c>
      <c r="G280" s="65">
        <f>IF(VLOOKUP($D280,$C$5:$AU$501,3,)=0,0,(VLOOKUP($D280,$C$5:$AU$501,5,)/VLOOKUP($D280,$C$5:$AU$501,3,))*$E280)</f>
        <v>0</v>
      </c>
      <c r="H280" s="65">
        <f>IF(VLOOKUP($D280,$C$5:$AU$501,3,)=0,0,(VLOOKUP($D280,$C$5:$AU$501,6,)/VLOOKUP($D280,$C$5:$AU$501,3,))*$E280)</f>
        <v>0</v>
      </c>
      <c r="I280" s="65">
        <f>IF(VLOOKUP($D280,$C$5:$AU$501,3,)=0,0,(VLOOKUP($D280,$C$5:$AU$501,7,)/VLOOKUP($D280,$C$5:$AU$501,3,))*$E280)</f>
        <v>0</v>
      </c>
      <c r="J280" s="65">
        <f>IF(VLOOKUP($D280,$C$5:$AU$501,3,)=0,0,(VLOOKUP($D280,$C$5:$AU$501,8,)/VLOOKUP($D280,$C$5:$AU$501,3,))*$E280)</f>
        <v>0</v>
      </c>
      <c r="K280" s="65">
        <f>IF(VLOOKUP($D280,$C$5:$AU$501,3,)=0,0,(VLOOKUP($D280,$C$5:$AU$501,9,)/VLOOKUP($D280,$C$5:$AU$501,3,))*$E280)</f>
        <v>0</v>
      </c>
      <c r="L280" s="65">
        <f>IF(VLOOKUP($D280,$C$5:$AU$501,3,)=0,0,(VLOOKUP($D280,$C$5:$AU$501,10,)/VLOOKUP($D280,$C$5:$AU$501,3,))*$E280)</f>
        <v>0</v>
      </c>
      <c r="M280" s="65">
        <f>IF(VLOOKUP($D280,$C$5:$AU$501,3,)=0,0,(VLOOKUP($D280,$C$5:$AU$501,11,)/VLOOKUP($D280,$C$5:$AU$501,3,))*$E280)</f>
        <v>0</v>
      </c>
      <c r="N280" s="65">
        <f>IF(VLOOKUP($D280,$C$5:$AU$501,3,)=0,0,(VLOOKUP($D280,$C$5:$AU$501,12,)/VLOOKUP($D280,$C$5:$AU$501,3,))*$E280)</f>
        <v>0</v>
      </c>
      <c r="O280" s="65">
        <f>IF(VLOOKUP($D280,$C$5:$AU$501,3,)=0,0,(VLOOKUP($D280,$C$5:$AU$501,13,)/VLOOKUP($D280,$C$5:$AU$501,3,))*$E280)</f>
        <v>0</v>
      </c>
      <c r="P280" s="65">
        <f>IF(VLOOKUP($D280,$C$5:$AU$501,3,)=0,0,(VLOOKUP($D280,$C$5:$AU$501,14,)/VLOOKUP($D280,$C$5:$AU$501,3,))*$E280)</f>
        <v>0</v>
      </c>
      <c r="Q280" s="65">
        <f>IF(VLOOKUP($D280,$C$5:$AU$501,3,)=0,0,(VLOOKUP($D280,$C$5:$AU$501,15,)/VLOOKUP($D280,$C$5:$AU$501,3,))*$E280)</f>
        <v>0</v>
      </c>
      <c r="R280" s="65">
        <f>IF(VLOOKUP($D280,$C$5:$AU$501,3,)=0,0,(VLOOKUP($D280,$C$5:$AU$501,16,)/VLOOKUP($D280,$C$5:$AU$501,3,))*$E280)</f>
        <v>0</v>
      </c>
      <c r="S280" s="65">
        <f>IF(VLOOKUP($D280,$C$5:$AU$501,3,)=0,0,(VLOOKUP($D280,$C$5:$AU$501,17,)/VLOOKUP($D280,$C$5:$AU$501,3,))*$E280)</f>
        <v>0</v>
      </c>
      <c r="T280" s="65">
        <f>IF(VLOOKUP($D280,$C$5:$AU$501,3,)=0,0,(VLOOKUP($D280,$C$5:$AU$501,18,)/VLOOKUP($D280,$C$5:$AU$501,3,))*$E280)</f>
        <v>0</v>
      </c>
      <c r="U280" s="65">
        <f>IF(VLOOKUP($D280,$C$5:$AU$501,3,)=0,0,(VLOOKUP($D280,$C$5:$AU$501,19,)/VLOOKUP($D280,$C$5:$AU$501,3,))*$E280)</f>
        <v>0</v>
      </c>
      <c r="V280" s="65">
        <f>IF(VLOOKUP($D280,$C$5:$AU$501,3,)=0,0,(VLOOKUP($D280,$C$5:$AU$501,20,)/VLOOKUP($D280,$C$5:$AU$501,3,))*$E280)</f>
        <v>0</v>
      </c>
      <c r="W280" s="65">
        <f>IF(VLOOKUP($D280,$C$5:$AU$501,3,)=0,0,(VLOOKUP($D280,$C$5:$AU$501,21,)/VLOOKUP($D280,$C$5:$AU$501,3,))*$E280)</f>
        <v>0</v>
      </c>
      <c r="X280" s="65">
        <f>IF(VLOOKUP($D280,$C$5:$AU$501,3,)=0,0,(VLOOKUP($D280,$C$5:$AU$501,22,)/VLOOKUP($D280,$C$5:$AU$501,3,))*$E280)</f>
        <v>0</v>
      </c>
      <c r="Y280" s="65">
        <f>IF(VLOOKUP($D280,$C$5:$AU$501,3,)=0,0,(VLOOKUP($D280,$C$5:$AU$501,23,)/VLOOKUP($D280,$C$5:$AU$501,3,))*$E280)</f>
        <v>0</v>
      </c>
      <c r="Z280" s="65">
        <f>IF(VLOOKUP($D280,$C$5:$AU$501,3,)=0,0,(VLOOKUP($D280,$C$5:$AU$501,24,)/VLOOKUP($D280,$C$5:$AU$501,3,))*$E280)</f>
        <v>0</v>
      </c>
      <c r="AA280" s="65">
        <f>IF(VLOOKUP($D280,$C$5:$AU$501,3,)=0,0,(VLOOKUP($D280,$C$5:$AU$501,25,)/VLOOKUP($D280,$C$5:$AU$501,3,))*$E280)</f>
        <v>0</v>
      </c>
      <c r="AB280" s="65">
        <f>IF(VLOOKUP($D280,$C$5:$AU$501,3,)=0,0,(VLOOKUP($D280,$C$5:$AU$501,26,)/VLOOKUP($D280,$C$5:$AU$501,3,))*$E280)</f>
        <v>0</v>
      </c>
      <c r="AC280" s="65">
        <f>IF(VLOOKUP($D280,$C$5:$AU$501,3,)=0,0,(VLOOKUP($D280,$C$5:$AU$501,27,)/VLOOKUP($D280,$C$5:$AU$501,3,))*$E280)</f>
        <v>0</v>
      </c>
      <c r="AD280" s="65">
        <f>IF(VLOOKUP($D280,$C$5:$AU$501,3,)=0,0,(VLOOKUP($D280,$C$5:$AU$501,28,)/VLOOKUP($D280,$C$5:$AU$501,3,))*$E280)</f>
        <v>0</v>
      </c>
      <c r="AE280" s="65">
        <f>IF(VLOOKUP($D280,$C$5:$AU$501,3,)=0,0,(VLOOKUP($D280,$C$5:$AU$501,29,)/VLOOKUP($D280,$C$5:$AU$501,3,))*$E280)</f>
        <v>0</v>
      </c>
      <c r="AF280" s="65">
        <f>IF(VLOOKUP($D280,$C$5:$AU$501,3,)=0,0,(VLOOKUP($D280,$C$5:$AU$501,30,)/VLOOKUP($D280,$C$5:$AU$501,3,))*$E280)</f>
        <v>0</v>
      </c>
      <c r="AG280" s="90">
        <f>SUM(F280:AF280)</f>
        <v>0</v>
      </c>
      <c r="AH280" s="29" t="str">
        <f>IF(ABS(E280-AG280)&lt;0.01,"ok","err")</f>
        <v>ok</v>
      </c>
    </row>
    <row r="281" spans="1:34" x14ac:dyDescent="0.2">
      <c r="E281" s="255"/>
    </row>
    <row r="282" spans="1:34" x14ac:dyDescent="0.2">
      <c r="A282" s="13" t="s">
        <v>1</v>
      </c>
      <c r="E282" s="255"/>
      <c r="F282" s="49"/>
    </row>
    <row r="283" spans="1:34" x14ac:dyDescent="0.2">
      <c r="A283" s="93" t="s">
        <v>209</v>
      </c>
      <c r="C283" s="14" t="s">
        <v>314</v>
      </c>
      <c r="D283" s="14" t="s">
        <v>632</v>
      </c>
      <c r="E283" s="254">
        <f>'Func &amp; Classif'!M316</f>
        <v>8201.1932941314499</v>
      </c>
      <c r="F283" s="65">
        <f>IF(VLOOKUP($D283,$C$5:$AU$501,3,)=0,0,(VLOOKUP($D283,$C$5:$AU$501,4,)/VLOOKUP($D283,$C$5:$AU$501,3,))*$E283)</f>
        <v>6213.3426552760202</v>
      </c>
      <c r="G283" s="65">
        <f>IF(VLOOKUP($D283,$C$5:$AU$501,3,)=0,0,(VLOOKUP($D283,$C$5:$AU$501,5,)/VLOOKUP($D283,$C$5:$AU$501,3,))*$E283)</f>
        <v>552.20935738302501</v>
      </c>
      <c r="H283" s="65">
        <f>IF(VLOOKUP($D283,$C$5:$AU$501,3,)=0,0,(VLOOKUP($D283,$C$5:$AU$501,6,)/VLOOKUP($D283,$C$5:$AU$501,3,))*$E283)</f>
        <v>1132.1001106410727</v>
      </c>
      <c r="I283" s="65">
        <f>IF(VLOOKUP($D283,$C$5:$AU$501,3,)=0,0,(VLOOKUP($D283,$C$5:$AU$501,7,)/VLOOKUP($D283,$C$5:$AU$501,3,))*$E283)</f>
        <v>15.990010093078329</v>
      </c>
      <c r="J283" s="65">
        <f>IF(VLOOKUP($D283,$C$5:$AU$501,3,)=0,0,(VLOOKUP($D283,$C$5:$AU$501,8,)/VLOOKUP($D283,$C$5:$AU$501,3,))*$E283)</f>
        <v>162.88200865889453</v>
      </c>
      <c r="K283" s="65">
        <f>IF(VLOOKUP($D283,$C$5:$AU$501,3,)=0,0,(VLOOKUP($D283,$C$5:$AU$501,9,)/VLOOKUP($D283,$C$5:$AU$501,3,))*$E283)</f>
        <v>112.98984184688278</v>
      </c>
      <c r="L283" s="65">
        <f>IF(VLOOKUP($D283,$C$5:$AU$501,3,)=0,0,(VLOOKUP($D283,$C$5:$AU$501,10,)/VLOOKUP($D283,$C$5:$AU$501,3,))*$E283)</f>
        <v>11.679310232475668</v>
      </c>
      <c r="M283" s="65">
        <f>IF(VLOOKUP($D283,$C$5:$AU$501,3,)=0,0,(VLOOKUP($D283,$C$5:$AU$501,11,)/VLOOKUP($D283,$C$5:$AU$501,3,))*$E283)</f>
        <v>0</v>
      </c>
      <c r="N283" s="65">
        <f>IF(VLOOKUP($D283,$C$5:$AU$501,3,)=0,0,(VLOOKUP($D283,$C$5:$AU$501,12,)/VLOOKUP($D283,$C$5:$AU$501,3,))*$E283)</f>
        <v>0</v>
      </c>
      <c r="O283" s="65">
        <f>IF(VLOOKUP($D283,$C$5:$AU$501,3,)=0,0,(VLOOKUP($D283,$C$5:$AU$501,13,)/VLOOKUP($D283,$C$5:$AU$501,3,))*$E283)</f>
        <v>0</v>
      </c>
      <c r="P283" s="65">
        <f>IF(VLOOKUP($D283,$C$5:$AU$501,3,)=0,0,(VLOOKUP($D283,$C$5:$AU$501,14,)/VLOOKUP($D283,$C$5:$AU$501,3,))*$E283)</f>
        <v>0</v>
      </c>
      <c r="Q283" s="65">
        <f>IF(VLOOKUP($D283,$C$5:$AU$501,3,)=0,0,(VLOOKUP($D283,$C$5:$AU$501,15,)/VLOOKUP($D283,$C$5:$AU$501,3,))*$E283)</f>
        <v>0</v>
      </c>
      <c r="R283" s="65">
        <f>IF(VLOOKUP($D283,$C$5:$AU$501,3,)=0,0,(VLOOKUP($D283,$C$5:$AU$501,16,)/VLOOKUP($D283,$C$5:$AU$501,3,))*$E283)</f>
        <v>0</v>
      </c>
      <c r="S283" s="65">
        <f>IF(VLOOKUP($D283,$C$5:$AU$501,3,)=0,0,(VLOOKUP($D283,$C$5:$AU$501,17,)/VLOOKUP($D283,$C$5:$AU$501,3,))*$E283)</f>
        <v>0</v>
      </c>
      <c r="T283" s="65">
        <f>IF(VLOOKUP($D283,$C$5:$AU$501,3,)=0,0,(VLOOKUP($D283,$C$5:$AU$501,18,)/VLOOKUP($D283,$C$5:$AU$501,3,))*$E283)</f>
        <v>0</v>
      </c>
      <c r="U283" s="65">
        <f>IF(VLOOKUP($D283,$C$5:$AU$501,3,)=0,0,(VLOOKUP($D283,$C$5:$AU$501,19,)/VLOOKUP($D283,$C$5:$AU$501,3,))*$E283)</f>
        <v>0</v>
      </c>
      <c r="V283" s="65">
        <f>IF(VLOOKUP($D283,$C$5:$AU$501,3,)=0,0,(VLOOKUP($D283,$C$5:$AU$501,20,)/VLOOKUP($D283,$C$5:$AU$501,3,))*$E283)</f>
        <v>0</v>
      </c>
      <c r="W283" s="65">
        <f>IF(VLOOKUP($D283,$C$5:$AU$501,3,)=0,0,(VLOOKUP($D283,$C$5:$AU$501,21,)/VLOOKUP($D283,$C$5:$AU$501,3,))*$E283)</f>
        <v>0</v>
      </c>
      <c r="X283" s="65">
        <f>IF(VLOOKUP($D283,$C$5:$AU$501,3,)=0,0,(VLOOKUP($D283,$C$5:$AU$501,22,)/VLOOKUP($D283,$C$5:$AU$501,3,))*$E283)</f>
        <v>0</v>
      </c>
      <c r="Y283" s="65">
        <f>IF(VLOOKUP($D283,$C$5:$AU$501,3,)=0,0,(VLOOKUP($D283,$C$5:$AU$501,23,)/VLOOKUP($D283,$C$5:$AU$501,3,))*$E283)</f>
        <v>0</v>
      </c>
      <c r="Z283" s="65">
        <f>IF(VLOOKUP($D283,$C$5:$AU$501,3,)=0,0,(VLOOKUP($D283,$C$5:$AU$501,24,)/VLOOKUP($D283,$C$5:$AU$501,3,))*$E283)</f>
        <v>0</v>
      </c>
      <c r="AA283" s="65">
        <f>IF(VLOOKUP($D283,$C$5:$AU$501,3,)=0,0,(VLOOKUP($D283,$C$5:$AU$501,25,)/VLOOKUP($D283,$C$5:$AU$501,3,))*$E283)</f>
        <v>0</v>
      </c>
      <c r="AB283" s="65">
        <f>IF(VLOOKUP($D283,$C$5:$AU$501,3,)=0,0,(VLOOKUP($D283,$C$5:$AU$501,26,)/VLOOKUP($D283,$C$5:$AU$501,3,))*$E283)</f>
        <v>0</v>
      </c>
      <c r="AC283" s="65">
        <f>IF(VLOOKUP($D283,$C$5:$AU$501,3,)=0,0,(VLOOKUP($D283,$C$5:$AU$501,27,)/VLOOKUP($D283,$C$5:$AU$501,3,))*$E283)</f>
        <v>0</v>
      </c>
      <c r="AD283" s="65">
        <f>IF(VLOOKUP($D283,$C$5:$AU$501,3,)=0,0,(VLOOKUP($D283,$C$5:$AU$501,28,)/VLOOKUP($D283,$C$5:$AU$501,3,))*$E283)</f>
        <v>0</v>
      </c>
      <c r="AE283" s="65">
        <f>IF(VLOOKUP($D283,$C$5:$AU$501,3,)=0,0,(VLOOKUP($D283,$C$5:$AU$501,29,)/VLOOKUP($D283,$C$5:$AU$501,3,))*$E283)</f>
        <v>0</v>
      </c>
      <c r="AF283" s="65">
        <f>IF(VLOOKUP($D283,$C$5:$AU$501,3,)=0,0,(VLOOKUP($D283,$C$5:$AU$501,30,)/VLOOKUP($D283,$C$5:$AU$501,3,))*$E283)</f>
        <v>0</v>
      </c>
      <c r="AG283" s="90">
        <f>SUM(F283:AF283)</f>
        <v>8201.1932941314499</v>
      </c>
      <c r="AH283" s="29" t="str">
        <f>IF(ABS(E283-AG283)&lt;0.01,"ok","err")</f>
        <v>ok</v>
      </c>
    </row>
    <row r="284" spans="1:34" x14ac:dyDescent="0.2">
      <c r="E284" s="255"/>
    </row>
    <row r="285" spans="1:34" x14ac:dyDescent="0.2">
      <c r="A285" s="13" t="s">
        <v>2</v>
      </c>
      <c r="E285" s="255"/>
    </row>
    <row r="286" spans="1:34" x14ac:dyDescent="0.2">
      <c r="A286" s="93" t="s">
        <v>209</v>
      </c>
      <c r="C286" s="14" t="s">
        <v>315</v>
      </c>
      <c r="D286" s="14" t="s">
        <v>629</v>
      </c>
      <c r="E286" s="254">
        <f>'Func &amp; Classif'!O316</f>
        <v>17832.162190109269</v>
      </c>
      <c r="F286" s="65">
        <f>IF(VLOOKUP($D286,$C$5:$AU$501,3,)=0,0,(VLOOKUP($D286,$C$5:$AU$501,4,)/VLOOKUP($D286,$C$5:$AU$501,3,))*$E286)</f>
        <v>15024.868162668925</v>
      </c>
      <c r="G286" s="65">
        <f>IF(VLOOKUP($D286,$C$5:$AU$501,3,)=0,0,(VLOOKUP($D286,$C$5:$AU$501,5,)/VLOOKUP($D286,$C$5:$AU$501,3,))*$E286)</f>
        <v>915.22907797867913</v>
      </c>
      <c r="H286" s="65">
        <f>IF(VLOOKUP($D286,$C$5:$AU$501,3,)=0,0,(VLOOKUP($D286,$C$5:$AU$501,6,)/VLOOKUP($D286,$C$5:$AU$501,3,))*$E286)</f>
        <v>1445.5275681680405</v>
      </c>
      <c r="I286" s="65">
        <f>IF(VLOOKUP($D286,$C$5:$AU$501,3,)=0,0,(VLOOKUP($D286,$C$5:$AU$501,7,)/VLOOKUP($D286,$C$5:$AU$501,3,))*$E286)</f>
        <v>19.703159043368462</v>
      </c>
      <c r="J286" s="65">
        <f>IF(VLOOKUP($D286,$C$5:$AU$501,3,)=0,0,(VLOOKUP($D286,$C$5:$AU$501,8,)/VLOOKUP($D286,$C$5:$AU$501,3,))*$E286)</f>
        <v>245.59725514841756</v>
      </c>
      <c r="K286" s="65">
        <f>IF(VLOOKUP($D286,$C$5:$AU$501,3,)=0,0,(VLOOKUP($D286,$C$5:$AU$501,9,)/VLOOKUP($D286,$C$5:$AU$501,3,))*$E286)</f>
        <v>164.1982118951085</v>
      </c>
      <c r="L286" s="65">
        <f>IF(VLOOKUP($D286,$C$5:$AU$501,3,)=0,0,(VLOOKUP($D286,$C$5:$AU$501,10,)/VLOOKUP($D286,$C$5:$AU$501,3,))*$E286)</f>
        <v>17.038755206732144</v>
      </c>
      <c r="M286" s="65">
        <f>IF(VLOOKUP($D286,$C$5:$AU$501,3,)=0,0,(VLOOKUP($D286,$C$5:$AU$501,11,)/VLOOKUP($D286,$C$5:$AU$501,3,))*$E286)</f>
        <v>0</v>
      </c>
      <c r="N286" s="65">
        <f>IF(VLOOKUP($D286,$C$5:$AU$501,3,)=0,0,(VLOOKUP($D286,$C$5:$AU$501,12,)/VLOOKUP($D286,$C$5:$AU$501,3,))*$E286)</f>
        <v>0</v>
      </c>
      <c r="O286" s="65">
        <f>IF(VLOOKUP($D286,$C$5:$AU$501,3,)=0,0,(VLOOKUP($D286,$C$5:$AU$501,13,)/VLOOKUP($D286,$C$5:$AU$501,3,))*$E286)</f>
        <v>0</v>
      </c>
      <c r="P286" s="65">
        <f>IF(VLOOKUP($D286,$C$5:$AU$501,3,)=0,0,(VLOOKUP($D286,$C$5:$AU$501,14,)/VLOOKUP($D286,$C$5:$AU$501,3,))*$E286)</f>
        <v>0</v>
      </c>
      <c r="Q286" s="65">
        <f>IF(VLOOKUP($D286,$C$5:$AU$501,3,)=0,0,(VLOOKUP($D286,$C$5:$AU$501,15,)/VLOOKUP($D286,$C$5:$AU$501,3,))*$E286)</f>
        <v>0</v>
      </c>
      <c r="R286" s="65">
        <f>IF(VLOOKUP($D286,$C$5:$AU$501,3,)=0,0,(VLOOKUP($D286,$C$5:$AU$501,16,)/VLOOKUP($D286,$C$5:$AU$501,3,))*$E286)</f>
        <v>0</v>
      </c>
      <c r="S286" s="65">
        <f>IF(VLOOKUP($D286,$C$5:$AU$501,3,)=0,0,(VLOOKUP($D286,$C$5:$AU$501,17,)/VLOOKUP($D286,$C$5:$AU$501,3,))*$E286)</f>
        <v>0</v>
      </c>
      <c r="T286" s="65">
        <f>IF(VLOOKUP($D286,$C$5:$AU$501,3,)=0,0,(VLOOKUP($D286,$C$5:$AU$501,18,)/VLOOKUP($D286,$C$5:$AU$501,3,))*$E286)</f>
        <v>0</v>
      </c>
      <c r="U286" s="65">
        <f>IF(VLOOKUP($D286,$C$5:$AU$501,3,)=0,0,(VLOOKUP($D286,$C$5:$AU$501,19,)/VLOOKUP($D286,$C$5:$AU$501,3,))*$E286)</f>
        <v>0</v>
      </c>
      <c r="V286" s="65">
        <f>IF(VLOOKUP($D286,$C$5:$AU$501,3,)=0,0,(VLOOKUP($D286,$C$5:$AU$501,20,)/VLOOKUP($D286,$C$5:$AU$501,3,))*$E286)</f>
        <v>0</v>
      </c>
      <c r="W286" s="65">
        <f>IF(VLOOKUP($D286,$C$5:$AU$501,3,)=0,0,(VLOOKUP($D286,$C$5:$AU$501,21,)/VLOOKUP($D286,$C$5:$AU$501,3,))*$E286)</f>
        <v>0</v>
      </c>
      <c r="X286" s="65">
        <f>IF(VLOOKUP($D286,$C$5:$AU$501,3,)=0,0,(VLOOKUP($D286,$C$5:$AU$501,22,)/VLOOKUP($D286,$C$5:$AU$501,3,))*$E286)</f>
        <v>0</v>
      </c>
      <c r="Y286" s="65">
        <f>IF(VLOOKUP($D286,$C$5:$AU$501,3,)=0,0,(VLOOKUP($D286,$C$5:$AU$501,23,)/VLOOKUP($D286,$C$5:$AU$501,3,))*$E286)</f>
        <v>0</v>
      </c>
      <c r="Z286" s="65">
        <f>IF(VLOOKUP($D286,$C$5:$AU$501,3,)=0,0,(VLOOKUP($D286,$C$5:$AU$501,24,)/VLOOKUP($D286,$C$5:$AU$501,3,))*$E286)</f>
        <v>0</v>
      </c>
      <c r="AA286" s="65">
        <f>IF(VLOOKUP($D286,$C$5:$AU$501,3,)=0,0,(VLOOKUP($D286,$C$5:$AU$501,25,)/VLOOKUP($D286,$C$5:$AU$501,3,))*$E286)</f>
        <v>0</v>
      </c>
      <c r="AB286" s="65">
        <f>IF(VLOOKUP($D286,$C$5:$AU$501,3,)=0,0,(VLOOKUP($D286,$C$5:$AU$501,26,)/VLOOKUP($D286,$C$5:$AU$501,3,))*$E286)</f>
        <v>0</v>
      </c>
      <c r="AC286" s="65">
        <f>IF(VLOOKUP($D286,$C$5:$AU$501,3,)=0,0,(VLOOKUP($D286,$C$5:$AU$501,27,)/VLOOKUP($D286,$C$5:$AU$501,3,))*$E286)</f>
        <v>0</v>
      </c>
      <c r="AD286" s="65">
        <f>IF(VLOOKUP($D286,$C$5:$AU$501,3,)=0,0,(VLOOKUP($D286,$C$5:$AU$501,28,)/VLOOKUP($D286,$C$5:$AU$501,3,))*$E286)</f>
        <v>0</v>
      </c>
      <c r="AE286" s="65">
        <f>IF(VLOOKUP($D286,$C$5:$AU$501,3,)=0,0,(VLOOKUP($D286,$C$5:$AU$501,29,)/VLOOKUP($D286,$C$5:$AU$501,3,))*$E286)</f>
        <v>0</v>
      </c>
      <c r="AF286" s="65">
        <f>IF(VLOOKUP($D286,$C$5:$AU$501,3,)=0,0,(VLOOKUP($D286,$C$5:$AU$501,30,)/VLOOKUP($D286,$C$5:$AU$501,3,))*$E286)</f>
        <v>0</v>
      </c>
      <c r="AG286" s="90">
        <f>SUM(F286:AF286)</f>
        <v>17832.162190109277</v>
      </c>
      <c r="AH286" s="29" t="str">
        <f>IF(ABS(E286-AG286)&lt;0.01,"ok","err")</f>
        <v>ok</v>
      </c>
    </row>
    <row r="287" spans="1:34" x14ac:dyDescent="0.2">
      <c r="A287" s="93" t="s">
        <v>221</v>
      </c>
      <c r="C287" s="14" t="s">
        <v>316</v>
      </c>
      <c r="D287" s="14" t="s">
        <v>223</v>
      </c>
      <c r="E287" s="255">
        <f>'Func &amp; Classif'!P316</f>
        <v>30389.648316954313</v>
      </c>
      <c r="F287" s="65">
        <f>IF(VLOOKUP($D287,$C$5:$AU$501,3,)=0,0,(VLOOKUP($D287,$C$5:$AU$501,4,)/VLOOKUP($D287,$C$5:$AU$501,3,))*$E287)</f>
        <v>28236.630951463016</v>
      </c>
      <c r="G287" s="65">
        <f>IF(VLOOKUP($D287,$C$5:$AU$501,3,)=0,0,(VLOOKUP($D287,$C$5:$AU$501,5,)/VLOOKUP($D287,$C$5:$AU$501,3,))*$E287)</f>
        <v>1756.1006462223479</v>
      </c>
      <c r="H287" s="65">
        <f>IF(VLOOKUP($D287,$C$5:$AU$501,3,)=0,0,(VLOOKUP($D287,$C$5:$AU$501,6,)/VLOOKUP($D287,$C$5:$AU$501,3,))*$E287)</f>
        <v>388.09920823605484</v>
      </c>
      <c r="I287" s="65">
        <f>IF(VLOOKUP($D287,$C$5:$AU$501,3,)=0,0,(VLOOKUP($D287,$C$5:$AU$501,7,)/VLOOKUP($D287,$C$5:$AU$501,3,))*$E287)</f>
        <v>3.8616836640403474</v>
      </c>
      <c r="J287" s="65">
        <f>IF(VLOOKUP($D287,$C$5:$AU$501,3,)=0,0,(VLOOKUP($D287,$C$5:$AU$501,8,)/VLOOKUP($D287,$C$5:$AU$501,3,))*$E287)</f>
        <v>4.8271045800504337</v>
      </c>
      <c r="K287" s="65">
        <f>IF(VLOOKUP($D287,$C$5:$AU$501,3,)=0,0,(VLOOKUP($D287,$C$5:$AU$501,9,)/VLOOKUP($D287,$C$5:$AU$501,3,))*$E287)</f>
        <v>0</v>
      </c>
      <c r="L287" s="65">
        <f>IF(VLOOKUP($D287,$C$5:$AU$501,3,)=0,0,(VLOOKUP($D287,$C$5:$AU$501,10,)/VLOOKUP($D287,$C$5:$AU$501,3,))*$E287)</f>
        <v>0.12872278880134488</v>
      </c>
      <c r="M287" s="65">
        <f>IF(VLOOKUP($D287,$C$5:$AU$501,3,)=0,0,(VLOOKUP($D287,$C$5:$AU$501,11,)/VLOOKUP($D287,$C$5:$AU$501,3,))*$E287)</f>
        <v>0</v>
      </c>
      <c r="N287" s="65">
        <f>IF(VLOOKUP($D287,$C$5:$AU$501,3,)=0,0,(VLOOKUP($D287,$C$5:$AU$501,12,)/VLOOKUP($D287,$C$5:$AU$501,3,))*$E287)</f>
        <v>0</v>
      </c>
      <c r="O287" s="65">
        <f>IF(VLOOKUP($D287,$C$5:$AU$501,3,)=0,0,(VLOOKUP($D287,$C$5:$AU$501,13,)/VLOOKUP($D287,$C$5:$AU$501,3,))*$E287)</f>
        <v>0</v>
      </c>
      <c r="P287" s="65">
        <f>IF(VLOOKUP($D287,$C$5:$AU$501,3,)=0,0,(VLOOKUP($D287,$C$5:$AU$501,14,)/VLOOKUP($D287,$C$5:$AU$501,3,))*$E287)</f>
        <v>0</v>
      </c>
      <c r="Q287" s="65">
        <f>IF(VLOOKUP($D287,$C$5:$AU$501,3,)=0,0,(VLOOKUP($D287,$C$5:$AU$501,15,)/VLOOKUP($D287,$C$5:$AU$501,3,))*$E287)</f>
        <v>0</v>
      </c>
      <c r="R287" s="65">
        <f>IF(VLOOKUP($D287,$C$5:$AU$501,3,)=0,0,(VLOOKUP($D287,$C$5:$AU$501,16,)/VLOOKUP($D287,$C$5:$AU$501,3,))*$E287)</f>
        <v>0</v>
      </c>
      <c r="S287" s="65">
        <f>IF(VLOOKUP($D287,$C$5:$AU$501,3,)=0,0,(VLOOKUP($D287,$C$5:$AU$501,17,)/VLOOKUP($D287,$C$5:$AU$501,3,))*$E287)</f>
        <v>0</v>
      </c>
      <c r="T287" s="65">
        <f>IF(VLOOKUP($D287,$C$5:$AU$501,3,)=0,0,(VLOOKUP($D287,$C$5:$AU$501,18,)/VLOOKUP($D287,$C$5:$AU$501,3,))*$E287)</f>
        <v>0</v>
      </c>
      <c r="U287" s="65">
        <f>IF(VLOOKUP($D287,$C$5:$AU$501,3,)=0,0,(VLOOKUP($D287,$C$5:$AU$501,19,)/VLOOKUP($D287,$C$5:$AU$501,3,))*$E287)</f>
        <v>0</v>
      </c>
      <c r="V287" s="65">
        <f>IF(VLOOKUP($D287,$C$5:$AU$501,3,)=0,0,(VLOOKUP($D287,$C$5:$AU$501,20,)/VLOOKUP($D287,$C$5:$AU$501,3,))*$E287)</f>
        <v>0</v>
      </c>
      <c r="W287" s="65">
        <f>IF(VLOOKUP($D287,$C$5:$AU$501,3,)=0,0,(VLOOKUP($D287,$C$5:$AU$501,21,)/VLOOKUP($D287,$C$5:$AU$501,3,))*$E287)</f>
        <v>0</v>
      </c>
      <c r="X287" s="65">
        <f>IF(VLOOKUP($D287,$C$5:$AU$501,3,)=0,0,(VLOOKUP($D287,$C$5:$AU$501,22,)/VLOOKUP($D287,$C$5:$AU$501,3,))*$E287)</f>
        <v>0</v>
      </c>
      <c r="Y287" s="65">
        <f>IF(VLOOKUP($D287,$C$5:$AU$501,3,)=0,0,(VLOOKUP($D287,$C$5:$AU$501,23,)/VLOOKUP($D287,$C$5:$AU$501,3,))*$E287)</f>
        <v>0</v>
      </c>
      <c r="Z287" s="65">
        <f>IF(VLOOKUP($D287,$C$5:$AU$501,3,)=0,0,(VLOOKUP($D287,$C$5:$AU$501,24,)/VLOOKUP($D287,$C$5:$AU$501,3,))*$E287)</f>
        <v>0</v>
      </c>
      <c r="AA287" s="65">
        <f>IF(VLOOKUP($D287,$C$5:$AU$501,3,)=0,0,(VLOOKUP($D287,$C$5:$AU$501,25,)/VLOOKUP($D287,$C$5:$AU$501,3,))*$E287)</f>
        <v>0</v>
      </c>
      <c r="AB287" s="65">
        <f>IF(VLOOKUP($D287,$C$5:$AU$501,3,)=0,0,(VLOOKUP($D287,$C$5:$AU$501,26,)/VLOOKUP($D287,$C$5:$AU$501,3,))*$E287)</f>
        <v>0</v>
      </c>
      <c r="AC287" s="65">
        <f>IF(VLOOKUP($D287,$C$5:$AU$501,3,)=0,0,(VLOOKUP($D287,$C$5:$AU$501,27,)/VLOOKUP($D287,$C$5:$AU$501,3,))*$E287)</f>
        <v>0</v>
      </c>
      <c r="AD287" s="65">
        <f>IF(VLOOKUP($D287,$C$5:$AU$501,3,)=0,0,(VLOOKUP($D287,$C$5:$AU$501,28,)/VLOOKUP($D287,$C$5:$AU$501,3,))*$E287)</f>
        <v>0</v>
      </c>
      <c r="AE287" s="65">
        <f>IF(VLOOKUP($D287,$C$5:$AU$501,3,)=0,0,(VLOOKUP($D287,$C$5:$AU$501,29,)/VLOOKUP($D287,$C$5:$AU$501,3,))*$E287)</f>
        <v>0</v>
      </c>
      <c r="AF287" s="65">
        <f>IF(VLOOKUP($D287,$C$5:$AU$501,3,)=0,0,(VLOOKUP($D287,$C$5:$AU$501,30,)/VLOOKUP($D287,$C$5:$AU$501,3,))*$E287)</f>
        <v>0</v>
      </c>
      <c r="AG287" s="90">
        <f>SUM(F287:AF287)</f>
        <v>30389.64831695431</v>
      </c>
      <c r="AH287" s="29" t="str">
        <f>IF(ABS(E287-AG287)&lt;0.01,"ok","err")</f>
        <v>ok</v>
      </c>
    </row>
    <row r="288" spans="1:34" x14ac:dyDescent="0.2">
      <c r="A288" s="14" t="s">
        <v>224</v>
      </c>
      <c r="E288" s="254">
        <f t="shared" ref="E288:T288" si="59">E286+E287</f>
        <v>48221.810507063579</v>
      </c>
      <c r="F288" s="65">
        <f t="shared" si="59"/>
        <v>43261.499114131941</v>
      </c>
      <c r="G288" s="65">
        <f t="shared" si="59"/>
        <v>2671.3297242010271</v>
      </c>
      <c r="H288" s="65">
        <f t="shared" si="59"/>
        <v>1833.6267764040954</v>
      </c>
      <c r="I288" s="65">
        <f t="shared" si="59"/>
        <v>23.564842707408808</v>
      </c>
      <c r="J288" s="65">
        <f t="shared" si="59"/>
        <v>250.424359728468</v>
      </c>
      <c r="K288" s="65">
        <f t="shared" si="59"/>
        <v>164.1982118951085</v>
      </c>
      <c r="L288" s="65">
        <f t="shared" si="59"/>
        <v>17.167477995533488</v>
      </c>
      <c r="M288" s="65">
        <f t="shared" si="59"/>
        <v>0</v>
      </c>
      <c r="N288" s="65">
        <f t="shared" si="59"/>
        <v>0</v>
      </c>
      <c r="O288" s="65">
        <f t="shared" si="59"/>
        <v>0</v>
      </c>
      <c r="P288" s="65">
        <f t="shared" si="59"/>
        <v>0</v>
      </c>
      <c r="Q288" s="65">
        <f t="shared" si="59"/>
        <v>0</v>
      </c>
      <c r="R288" s="65">
        <f t="shared" si="59"/>
        <v>0</v>
      </c>
      <c r="S288" s="65">
        <f t="shared" si="59"/>
        <v>0</v>
      </c>
      <c r="T288" s="65">
        <f t="shared" si="59"/>
        <v>0</v>
      </c>
      <c r="U288" s="65">
        <f t="shared" ref="U288:AF288" si="60">U286+U287</f>
        <v>0</v>
      </c>
      <c r="V288" s="65">
        <f t="shared" si="60"/>
        <v>0</v>
      </c>
      <c r="W288" s="65">
        <f t="shared" si="60"/>
        <v>0</v>
      </c>
      <c r="X288" s="65">
        <f t="shared" si="60"/>
        <v>0</v>
      </c>
      <c r="Y288" s="65">
        <f t="shared" si="60"/>
        <v>0</v>
      </c>
      <c r="Z288" s="65">
        <f t="shared" si="60"/>
        <v>0</v>
      </c>
      <c r="AA288" s="65">
        <f t="shared" si="60"/>
        <v>0</v>
      </c>
      <c r="AB288" s="65">
        <f t="shared" si="60"/>
        <v>0</v>
      </c>
      <c r="AC288" s="65">
        <f t="shared" si="60"/>
        <v>0</v>
      </c>
      <c r="AD288" s="65">
        <f t="shared" si="60"/>
        <v>0</v>
      </c>
      <c r="AE288" s="65">
        <f t="shared" si="60"/>
        <v>0</v>
      </c>
      <c r="AF288" s="65">
        <f t="shared" si="60"/>
        <v>0</v>
      </c>
      <c r="AG288" s="90">
        <f>SUM(F288:AF288)</f>
        <v>48221.810507063587</v>
      </c>
      <c r="AH288" s="29" t="str">
        <f>IF(ABS(E288-AG288)&lt;0.01,"ok","err")</f>
        <v>ok</v>
      </c>
    </row>
    <row r="289" spans="1:34" x14ac:dyDescent="0.2">
      <c r="E289" s="255"/>
    </row>
    <row r="290" spans="1:34" x14ac:dyDescent="0.2">
      <c r="A290" s="13" t="s">
        <v>3</v>
      </c>
      <c r="E290" s="255"/>
    </row>
    <row r="291" spans="1:34" x14ac:dyDescent="0.2">
      <c r="A291" s="93" t="s">
        <v>209</v>
      </c>
      <c r="C291" s="14" t="s">
        <v>317</v>
      </c>
      <c r="D291" s="14" t="s">
        <v>701</v>
      </c>
      <c r="E291" s="254">
        <f>'Func &amp; Classif'!R316</f>
        <v>0</v>
      </c>
      <c r="F291" s="65">
        <f>IF(VLOOKUP($D291,$C$5:$AU$501,3,)=0,0,(VLOOKUP($D291,$C$5:$AU$501,4,)/VLOOKUP($D291,$C$5:$AU$501,3,))*$E291)</f>
        <v>0</v>
      </c>
      <c r="G291" s="65">
        <f>IF(VLOOKUP($D291,$C$5:$AU$501,3,)=0,0,(VLOOKUP($D291,$C$5:$AU$501,5,)/VLOOKUP($D291,$C$5:$AU$501,3,))*$E291)</f>
        <v>0</v>
      </c>
      <c r="H291" s="65">
        <f>IF(VLOOKUP($D291,$C$5:$AU$501,3,)=0,0,(VLOOKUP($D291,$C$5:$AU$501,6,)/VLOOKUP($D291,$C$5:$AU$501,3,))*$E291)</f>
        <v>0</v>
      </c>
      <c r="I291" s="65">
        <f>IF(VLOOKUP($D291,$C$5:$AU$501,3,)=0,0,(VLOOKUP($D291,$C$5:$AU$501,7,)/VLOOKUP($D291,$C$5:$AU$501,3,))*$E291)</f>
        <v>0</v>
      </c>
      <c r="J291" s="65">
        <f>IF(VLOOKUP($D291,$C$5:$AU$501,3,)=0,0,(VLOOKUP($D291,$C$5:$AU$501,8,)/VLOOKUP($D291,$C$5:$AU$501,3,))*$E291)</f>
        <v>0</v>
      </c>
      <c r="K291" s="65">
        <f>IF(VLOOKUP($D291,$C$5:$AU$501,3,)=0,0,(VLOOKUP($D291,$C$5:$AU$501,9,)/VLOOKUP($D291,$C$5:$AU$501,3,))*$E291)</f>
        <v>0</v>
      </c>
      <c r="L291" s="65">
        <f>IF(VLOOKUP($D291,$C$5:$AU$501,3,)=0,0,(VLOOKUP($D291,$C$5:$AU$501,10,)/VLOOKUP($D291,$C$5:$AU$501,3,))*$E291)</f>
        <v>0</v>
      </c>
      <c r="M291" s="65">
        <f>IF(VLOOKUP($D291,$C$5:$AU$501,3,)=0,0,(VLOOKUP($D291,$C$5:$AU$501,11,)/VLOOKUP($D291,$C$5:$AU$501,3,))*$E291)</f>
        <v>0</v>
      </c>
      <c r="N291" s="65">
        <f>IF(VLOOKUP($D291,$C$5:$AU$501,3,)=0,0,(VLOOKUP($D291,$C$5:$AU$501,12,)/VLOOKUP($D291,$C$5:$AU$501,3,))*$E291)</f>
        <v>0</v>
      </c>
      <c r="O291" s="65">
        <f>IF(VLOOKUP($D291,$C$5:$AU$501,3,)=0,0,(VLOOKUP($D291,$C$5:$AU$501,13,)/VLOOKUP($D291,$C$5:$AU$501,3,))*$E291)</f>
        <v>0</v>
      </c>
      <c r="P291" s="65">
        <f>IF(VLOOKUP($D291,$C$5:$AU$501,3,)=0,0,(VLOOKUP($D291,$C$5:$AU$501,14,)/VLOOKUP($D291,$C$5:$AU$501,3,))*$E291)</f>
        <v>0</v>
      </c>
      <c r="Q291" s="65">
        <f>IF(VLOOKUP($D291,$C$5:$AU$501,3,)=0,0,(VLOOKUP($D291,$C$5:$AU$501,15,)/VLOOKUP($D291,$C$5:$AU$501,3,))*$E291)</f>
        <v>0</v>
      </c>
      <c r="R291" s="65">
        <f>IF(VLOOKUP($D291,$C$5:$AU$501,3,)=0,0,(VLOOKUP($D291,$C$5:$AU$501,16,)/VLOOKUP($D291,$C$5:$AU$501,3,))*$E291)</f>
        <v>0</v>
      </c>
      <c r="S291" s="65">
        <f>IF(VLOOKUP($D291,$C$5:$AU$501,3,)=0,0,(VLOOKUP($D291,$C$5:$AU$501,17,)/VLOOKUP($D291,$C$5:$AU$501,3,))*$E291)</f>
        <v>0</v>
      </c>
      <c r="T291" s="65">
        <f>IF(VLOOKUP($D291,$C$5:$AU$501,3,)=0,0,(VLOOKUP($D291,$C$5:$AU$501,18,)/VLOOKUP($D291,$C$5:$AU$501,3,))*$E291)</f>
        <v>0</v>
      </c>
      <c r="U291" s="65">
        <f>IF(VLOOKUP($D291,$C$5:$AU$501,3,)=0,0,(VLOOKUP($D291,$C$5:$AU$501,19,)/VLOOKUP($D291,$C$5:$AU$501,3,))*$E291)</f>
        <v>0</v>
      </c>
      <c r="V291" s="65">
        <f>IF(VLOOKUP($D291,$C$5:$AU$501,3,)=0,0,(VLOOKUP($D291,$C$5:$AU$501,20,)/VLOOKUP($D291,$C$5:$AU$501,3,))*$E291)</f>
        <v>0</v>
      </c>
      <c r="W291" s="65">
        <f>IF(VLOOKUP($D291,$C$5:$AU$501,3,)=0,0,(VLOOKUP($D291,$C$5:$AU$501,21,)/VLOOKUP($D291,$C$5:$AU$501,3,))*$E291)</f>
        <v>0</v>
      </c>
      <c r="X291" s="65">
        <f>IF(VLOOKUP($D291,$C$5:$AU$501,3,)=0,0,(VLOOKUP($D291,$C$5:$AU$501,22,)/VLOOKUP($D291,$C$5:$AU$501,3,))*$E291)</f>
        <v>0</v>
      </c>
      <c r="Y291" s="65">
        <f>IF(VLOOKUP($D291,$C$5:$AU$501,3,)=0,0,(VLOOKUP($D291,$C$5:$AU$501,23,)/VLOOKUP($D291,$C$5:$AU$501,3,))*$E291)</f>
        <v>0</v>
      </c>
      <c r="Z291" s="65">
        <f>IF(VLOOKUP($D291,$C$5:$AU$501,3,)=0,0,(VLOOKUP($D291,$C$5:$AU$501,24,)/VLOOKUP($D291,$C$5:$AU$501,3,))*$E291)</f>
        <v>0</v>
      </c>
      <c r="AA291" s="65">
        <f>IF(VLOOKUP($D291,$C$5:$AU$501,3,)=0,0,(VLOOKUP($D291,$C$5:$AU$501,25,)/VLOOKUP($D291,$C$5:$AU$501,3,))*$E291)</f>
        <v>0</v>
      </c>
      <c r="AB291" s="65">
        <f>IF(VLOOKUP($D291,$C$5:$AU$501,3,)=0,0,(VLOOKUP($D291,$C$5:$AU$501,26,)/VLOOKUP($D291,$C$5:$AU$501,3,))*$E291)</f>
        <v>0</v>
      </c>
      <c r="AC291" s="65">
        <f>IF(VLOOKUP($D291,$C$5:$AU$501,3,)=0,0,(VLOOKUP($D291,$C$5:$AU$501,27,)/VLOOKUP($D291,$C$5:$AU$501,3,))*$E291)</f>
        <v>0</v>
      </c>
      <c r="AD291" s="65">
        <f>IF(VLOOKUP($D291,$C$5:$AU$501,3,)=0,0,(VLOOKUP($D291,$C$5:$AU$501,28,)/VLOOKUP($D291,$C$5:$AU$501,3,))*$E291)</f>
        <v>0</v>
      </c>
      <c r="AE291" s="65">
        <f>IF(VLOOKUP($D291,$C$5:$AU$501,3,)=0,0,(VLOOKUP($D291,$C$5:$AU$501,29,)/VLOOKUP($D291,$C$5:$AU$501,3,))*$E291)</f>
        <v>0</v>
      </c>
      <c r="AF291" s="65">
        <f>IF(VLOOKUP($D291,$C$5:$AU$501,3,)=0,0,(VLOOKUP($D291,$C$5:$AU$501,30,)/VLOOKUP($D291,$C$5:$AU$501,3,))*$E291)</f>
        <v>0</v>
      </c>
      <c r="AG291" s="90">
        <f>SUM(F291:AF291)</f>
        <v>0</v>
      </c>
      <c r="AH291" s="29" t="str">
        <f>IF(ABS(E291-AG291)&lt;0.01,"ok","err")</f>
        <v>ok</v>
      </c>
    </row>
    <row r="292" spans="1:34" x14ac:dyDescent="0.2">
      <c r="A292" s="93" t="s">
        <v>221</v>
      </c>
      <c r="C292" s="14" t="s">
        <v>318</v>
      </c>
      <c r="D292" s="14" t="s">
        <v>701</v>
      </c>
      <c r="E292" s="255">
        <f>'Func &amp; Classif'!S316</f>
        <v>2453.4080126142071</v>
      </c>
      <c r="F292" s="65">
        <f>IF(VLOOKUP($D292,$C$5:$AU$501,3,)=0,0,(VLOOKUP($D292,$C$5:$AU$501,4,)/VLOOKUP($D292,$C$5:$AU$501,3,))*$E292)</f>
        <v>2197.7258956241221</v>
      </c>
      <c r="G292" s="65">
        <f>IF(VLOOKUP($D292,$C$5:$AU$501,3,)=0,0,(VLOOKUP($D292,$C$5:$AU$501,5,)/VLOOKUP($D292,$C$5:$AU$501,3,))*$E292)</f>
        <v>154.61912405418394</v>
      </c>
      <c r="H292" s="65">
        <f>IF(VLOOKUP($D292,$C$5:$AU$501,3,)=0,0,(VLOOKUP($D292,$C$5:$AU$501,6,)/VLOOKUP($D292,$C$5:$AU$501,3,))*$E292)</f>
        <v>96.867985443681007</v>
      </c>
      <c r="I292" s="65">
        <f>IF(VLOOKUP($D292,$C$5:$AU$501,3,)=0,0,(VLOOKUP($D292,$C$5:$AU$501,7,)/VLOOKUP($D292,$C$5:$AU$501,3,))*$E292)</f>
        <v>0.96386055167841789</v>
      </c>
      <c r="J292" s="65">
        <f>IF(VLOOKUP($D292,$C$5:$AU$501,3,)=0,0,(VLOOKUP($D292,$C$5:$AU$501,8,)/VLOOKUP($D292,$C$5:$AU$501,3,))*$E292)</f>
        <v>2.8998110451211643</v>
      </c>
      <c r="K292" s="65">
        <f>IF(VLOOKUP($D292,$C$5:$AU$501,3,)=0,0,(VLOOKUP($D292,$C$5:$AU$501,9,)/VLOOKUP($D292,$C$5:$AU$501,3,))*$E292)</f>
        <v>0</v>
      </c>
      <c r="L292" s="65">
        <f>IF(VLOOKUP($D292,$C$5:$AU$501,3,)=0,0,(VLOOKUP($D292,$C$5:$AU$501,10,)/VLOOKUP($D292,$C$5:$AU$501,3,))*$E292)</f>
        <v>0.33133589542035813</v>
      </c>
      <c r="M292" s="65">
        <f>IF(VLOOKUP($D292,$C$5:$AU$501,3,)=0,0,(VLOOKUP($D292,$C$5:$AU$501,11,)/VLOOKUP($D292,$C$5:$AU$501,3,))*$E292)</f>
        <v>0</v>
      </c>
      <c r="N292" s="65">
        <f>IF(VLOOKUP($D292,$C$5:$AU$501,3,)=0,0,(VLOOKUP($D292,$C$5:$AU$501,12,)/VLOOKUP($D292,$C$5:$AU$501,3,))*$E292)</f>
        <v>0</v>
      </c>
      <c r="O292" s="65">
        <f>IF(VLOOKUP($D292,$C$5:$AU$501,3,)=0,0,(VLOOKUP($D292,$C$5:$AU$501,13,)/VLOOKUP($D292,$C$5:$AU$501,3,))*$E292)</f>
        <v>0</v>
      </c>
      <c r="P292" s="65">
        <f>IF(VLOOKUP($D292,$C$5:$AU$501,3,)=0,0,(VLOOKUP($D292,$C$5:$AU$501,14,)/VLOOKUP($D292,$C$5:$AU$501,3,))*$E292)</f>
        <v>0</v>
      </c>
      <c r="Q292" s="65">
        <f>IF(VLOOKUP($D292,$C$5:$AU$501,3,)=0,0,(VLOOKUP($D292,$C$5:$AU$501,15,)/VLOOKUP($D292,$C$5:$AU$501,3,))*$E292)</f>
        <v>0</v>
      </c>
      <c r="R292" s="65">
        <f>IF(VLOOKUP($D292,$C$5:$AU$501,3,)=0,0,(VLOOKUP($D292,$C$5:$AU$501,16,)/VLOOKUP($D292,$C$5:$AU$501,3,))*$E292)</f>
        <v>0</v>
      </c>
      <c r="S292" s="65">
        <f>IF(VLOOKUP($D292,$C$5:$AU$501,3,)=0,0,(VLOOKUP($D292,$C$5:$AU$501,17,)/VLOOKUP($D292,$C$5:$AU$501,3,))*$E292)</f>
        <v>0</v>
      </c>
      <c r="T292" s="65">
        <f>IF(VLOOKUP($D292,$C$5:$AU$501,3,)=0,0,(VLOOKUP($D292,$C$5:$AU$501,18,)/VLOOKUP($D292,$C$5:$AU$501,3,))*$E292)</f>
        <v>0</v>
      </c>
      <c r="U292" s="65">
        <f>IF(VLOOKUP($D292,$C$5:$AU$501,3,)=0,0,(VLOOKUP($D292,$C$5:$AU$501,19,)/VLOOKUP($D292,$C$5:$AU$501,3,))*$E292)</f>
        <v>0</v>
      </c>
      <c r="V292" s="65">
        <f>IF(VLOOKUP($D292,$C$5:$AU$501,3,)=0,0,(VLOOKUP($D292,$C$5:$AU$501,20,)/VLOOKUP($D292,$C$5:$AU$501,3,))*$E292)</f>
        <v>0</v>
      </c>
      <c r="W292" s="65">
        <f>IF(VLOOKUP($D292,$C$5:$AU$501,3,)=0,0,(VLOOKUP($D292,$C$5:$AU$501,21,)/VLOOKUP($D292,$C$5:$AU$501,3,))*$E292)</f>
        <v>0</v>
      </c>
      <c r="X292" s="65">
        <f>IF(VLOOKUP($D292,$C$5:$AU$501,3,)=0,0,(VLOOKUP($D292,$C$5:$AU$501,22,)/VLOOKUP($D292,$C$5:$AU$501,3,))*$E292)</f>
        <v>0</v>
      </c>
      <c r="Y292" s="65">
        <f>IF(VLOOKUP($D292,$C$5:$AU$501,3,)=0,0,(VLOOKUP($D292,$C$5:$AU$501,23,)/VLOOKUP($D292,$C$5:$AU$501,3,))*$E292)</f>
        <v>0</v>
      </c>
      <c r="Z292" s="65">
        <f>IF(VLOOKUP($D292,$C$5:$AU$501,3,)=0,0,(VLOOKUP($D292,$C$5:$AU$501,24,)/VLOOKUP($D292,$C$5:$AU$501,3,))*$E292)</f>
        <v>0</v>
      </c>
      <c r="AA292" s="65">
        <f>IF(VLOOKUP($D292,$C$5:$AU$501,3,)=0,0,(VLOOKUP($D292,$C$5:$AU$501,25,)/VLOOKUP($D292,$C$5:$AU$501,3,))*$E292)</f>
        <v>0</v>
      </c>
      <c r="AB292" s="65">
        <f>IF(VLOOKUP($D292,$C$5:$AU$501,3,)=0,0,(VLOOKUP($D292,$C$5:$AU$501,26,)/VLOOKUP($D292,$C$5:$AU$501,3,))*$E292)</f>
        <v>0</v>
      </c>
      <c r="AC292" s="65">
        <f>IF(VLOOKUP($D292,$C$5:$AU$501,3,)=0,0,(VLOOKUP($D292,$C$5:$AU$501,27,)/VLOOKUP($D292,$C$5:$AU$501,3,))*$E292)</f>
        <v>0</v>
      </c>
      <c r="AD292" s="65">
        <f>IF(VLOOKUP($D292,$C$5:$AU$501,3,)=0,0,(VLOOKUP($D292,$C$5:$AU$501,28,)/VLOOKUP($D292,$C$5:$AU$501,3,))*$E292)</f>
        <v>0</v>
      </c>
      <c r="AE292" s="65">
        <f>IF(VLOOKUP($D292,$C$5:$AU$501,3,)=0,0,(VLOOKUP($D292,$C$5:$AU$501,29,)/VLOOKUP($D292,$C$5:$AU$501,3,))*$E292)</f>
        <v>0</v>
      </c>
      <c r="AF292" s="65">
        <f>IF(VLOOKUP($D292,$C$5:$AU$501,3,)=0,0,(VLOOKUP($D292,$C$5:$AU$501,30,)/VLOOKUP($D292,$C$5:$AU$501,3,))*$E292)</f>
        <v>0</v>
      </c>
      <c r="AG292" s="90">
        <f>SUM(F292:AF292)</f>
        <v>2453.4080126142071</v>
      </c>
      <c r="AH292" s="29" t="str">
        <f>IF(ABS(E292-AG292)&lt;0.01,"ok","err")</f>
        <v>ok</v>
      </c>
    </row>
    <row r="293" spans="1:34" x14ac:dyDescent="0.2">
      <c r="A293" s="14" t="s">
        <v>228</v>
      </c>
      <c r="E293" s="254">
        <f t="shared" ref="E293:T293" si="61">E291+E292</f>
        <v>2453.4080126142071</v>
      </c>
      <c r="F293" s="65">
        <f t="shared" si="61"/>
        <v>2197.7258956241221</v>
      </c>
      <c r="G293" s="65">
        <f t="shared" si="61"/>
        <v>154.61912405418394</v>
      </c>
      <c r="H293" s="65">
        <f t="shared" si="61"/>
        <v>96.867985443681007</v>
      </c>
      <c r="I293" s="65">
        <f t="shared" si="61"/>
        <v>0.96386055167841789</v>
      </c>
      <c r="J293" s="65">
        <f t="shared" si="61"/>
        <v>2.8998110451211643</v>
      </c>
      <c r="K293" s="65">
        <f t="shared" si="61"/>
        <v>0</v>
      </c>
      <c r="L293" s="65">
        <f t="shared" si="61"/>
        <v>0.33133589542035813</v>
      </c>
      <c r="M293" s="65">
        <f t="shared" si="61"/>
        <v>0</v>
      </c>
      <c r="N293" s="65">
        <f t="shared" si="61"/>
        <v>0</v>
      </c>
      <c r="O293" s="65">
        <f t="shared" si="61"/>
        <v>0</v>
      </c>
      <c r="P293" s="65">
        <f t="shared" si="61"/>
        <v>0</v>
      </c>
      <c r="Q293" s="65">
        <f t="shared" si="61"/>
        <v>0</v>
      </c>
      <c r="R293" s="65">
        <f t="shared" si="61"/>
        <v>0</v>
      </c>
      <c r="S293" s="65">
        <f t="shared" si="61"/>
        <v>0</v>
      </c>
      <c r="T293" s="65">
        <f t="shared" si="61"/>
        <v>0</v>
      </c>
      <c r="U293" s="65">
        <f t="shared" ref="U293:AF293" si="62">U291+U292</f>
        <v>0</v>
      </c>
      <c r="V293" s="65">
        <f t="shared" si="62"/>
        <v>0</v>
      </c>
      <c r="W293" s="65">
        <f t="shared" si="62"/>
        <v>0</v>
      </c>
      <c r="X293" s="65">
        <f t="shared" si="62"/>
        <v>0</v>
      </c>
      <c r="Y293" s="65">
        <f t="shared" si="62"/>
        <v>0</v>
      </c>
      <c r="Z293" s="65">
        <f t="shared" si="62"/>
        <v>0</v>
      </c>
      <c r="AA293" s="65">
        <f t="shared" si="62"/>
        <v>0</v>
      </c>
      <c r="AB293" s="65">
        <f t="shared" si="62"/>
        <v>0</v>
      </c>
      <c r="AC293" s="65">
        <f t="shared" si="62"/>
        <v>0</v>
      </c>
      <c r="AD293" s="65">
        <f t="shared" si="62"/>
        <v>0</v>
      </c>
      <c r="AE293" s="65">
        <f t="shared" si="62"/>
        <v>0</v>
      </c>
      <c r="AF293" s="65">
        <f t="shared" si="62"/>
        <v>0</v>
      </c>
      <c r="AG293" s="90">
        <f>SUM(F293:AF293)</f>
        <v>2453.4080126142071</v>
      </c>
      <c r="AH293" s="29" t="str">
        <f>IF(ABS(E293-AG293)&lt;0.01,"ok","err")</f>
        <v>ok</v>
      </c>
    </row>
    <row r="294" spans="1:34" x14ac:dyDescent="0.2">
      <c r="E294" s="255"/>
    </row>
    <row r="295" spans="1:34" x14ac:dyDescent="0.2">
      <c r="A295" s="13" t="s">
        <v>4</v>
      </c>
      <c r="E295" s="255"/>
    </row>
    <row r="296" spans="1:34" x14ac:dyDescent="0.2">
      <c r="A296" s="93" t="s">
        <v>221</v>
      </c>
      <c r="C296" s="14" t="s">
        <v>319</v>
      </c>
      <c r="D296" s="14" t="s">
        <v>230</v>
      </c>
      <c r="E296" s="254">
        <f>'Func &amp; Classif'!U316</f>
        <v>2423.6400197207249</v>
      </c>
      <c r="F296" s="65">
        <f>IF(VLOOKUP($D296,$C$5:$AU$501,3,)=0,0,(VLOOKUP($D296,$C$5:$AU$501,4,)/VLOOKUP($D296,$C$5:$AU$501,3,))*$E296)</f>
        <v>1875.4791975951962</v>
      </c>
      <c r="G296" s="65">
        <f>IF(VLOOKUP($D296,$C$5:$AU$501,3,)=0,0,(VLOOKUP($D296,$C$5:$AU$501,5,)/VLOOKUP($D296,$C$5:$AU$501,3,))*$E296)</f>
        <v>183.30740877589156</v>
      </c>
      <c r="H296" s="65">
        <f>IF(VLOOKUP($D296,$C$5:$AU$501,3,)=0,0,(VLOOKUP($D296,$C$5:$AU$501,6,)/VLOOKUP($D296,$C$5:$AU$501,3,))*$E296)</f>
        <v>311.33302125358904</v>
      </c>
      <c r="I296" s="65">
        <f>IF(VLOOKUP($D296,$C$5:$AU$501,3,)=0,0,(VLOOKUP($D296,$C$5:$AU$501,7,)/VLOOKUP($D296,$C$5:$AU$501,3,))*$E296)</f>
        <v>23.786840931577174</v>
      </c>
      <c r="J296" s="65">
        <f>IF(VLOOKUP($D296,$C$5:$AU$501,3,)=0,0,(VLOOKUP($D296,$C$5:$AU$501,8,)/VLOOKUP($D296,$C$5:$AU$501,3,))*$E296)</f>
        <v>29.733551164471471</v>
      </c>
      <c r="K296" s="65">
        <f>IF(VLOOKUP($D296,$C$5:$AU$501,3,)=0,0,(VLOOKUP($D296,$C$5:$AU$501,9,)/VLOOKUP($D296,$C$5:$AU$501,3,))*$E296)</f>
        <v>0</v>
      </c>
      <c r="L296" s="65">
        <f>IF(VLOOKUP($D296,$C$5:$AU$501,3,)=0,0,(VLOOKUP($D296,$C$5:$AU$501,10,)/VLOOKUP($D296,$C$5:$AU$501,3,))*$E296)</f>
        <v>0</v>
      </c>
      <c r="M296" s="65">
        <f>IF(VLOOKUP($D296,$C$5:$AU$501,3,)=0,0,(VLOOKUP($D296,$C$5:$AU$501,11,)/VLOOKUP($D296,$C$5:$AU$501,3,))*$E296)</f>
        <v>0</v>
      </c>
      <c r="N296" s="65">
        <f>IF(VLOOKUP($D296,$C$5:$AU$501,3,)=0,0,(VLOOKUP($D296,$C$5:$AU$501,12,)/VLOOKUP($D296,$C$5:$AU$501,3,))*$E296)</f>
        <v>0</v>
      </c>
      <c r="O296" s="65">
        <f>IF(VLOOKUP($D296,$C$5:$AU$501,3,)=0,0,(VLOOKUP($D296,$C$5:$AU$501,13,)/VLOOKUP($D296,$C$5:$AU$501,3,))*$E296)</f>
        <v>0</v>
      </c>
      <c r="P296" s="65">
        <f>IF(VLOOKUP($D296,$C$5:$AU$501,3,)=0,0,(VLOOKUP($D296,$C$5:$AU$501,14,)/VLOOKUP($D296,$C$5:$AU$501,3,))*$E296)</f>
        <v>0</v>
      </c>
      <c r="Q296" s="65">
        <f>IF(VLOOKUP($D296,$C$5:$AU$501,3,)=0,0,(VLOOKUP($D296,$C$5:$AU$501,15,)/VLOOKUP($D296,$C$5:$AU$501,3,))*$E296)</f>
        <v>0</v>
      </c>
      <c r="R296" s="65">
        <f>IF(VLOOKUP($D296,$C$5:$AU$501,3,)=0,0,(VLOOKUP($D296,$C$5:$AU$501,16,)/VLOOKUP($D296,$C$5:$AU$501,3,))*$E296)</f>
        <v>0</v>
      </c>
      <c r="S296" s="65">
        <f>IF(VLOOKUP($D296,$C$5:$AU$501,3,)=0,0,(VLOOKUP($D296,$C$5:$AU$501,17,)/VLOOKUP($D296,$C$5:$AU$501,3,))*$E296)</f>
        <v>0</v>
      </c>
      <c r="T296" s="65">
        <f>IF(VLOOKUP($D296,$C$5:$AU$501,3,)=0,0,(VLOOKUP($D296,$C$5:$AU$501,18,)/VLOOKUP($D296,$C$5:$AU$501,3,))*$E296)</f>
        <v>0</v>
      </c>
      <c r="U296" s="65">
        <f>IF(VLOOKUP($D296,$C$5:$AU$501,3,)=0,0,(VLOOKUP($D296,$C$5:$AU$501,19,)/VLOOKUP($D296,$C$5:$AU$501,3,))*$E296)</f>
        <v>0</v>
      </c>
      <c r="V296" s="65">
        <f>IF(VLOOKUP($D296,$C$5:$AU$501,3,)=0,0,(VLOOKUP($D296,$C$5:$AU$501,20,)/VLOOKUP($D296,$C$5:$AU$501,3,))*$E296)</f>
        <v>0</v>
      </c>
      <c r="W296" s="65">
        <f>IF(VLOOKUP($D296,$C$5:$AU$501,3,)=0,0,(VLOOKUP($D296,$C$5:$AU$501,21,)/VLOOKUP($D296,$C$5:$AU$501,3,))*$E296)</f>
        <v>0</v>
      </c>
      <c r="X296" s="65">
        <f>IF(VLOOKUP($D296,$C$5:$AU$501,3,)=0,0,(VLOOKUP($D296,$C$5:$AU$501,22,)/VLOOKUP($D296,$C$5:$AU$501,3,))*$E296)</f>
        <v>0</v>
      </c>
      <c r="Y296" s="65">
        <f>IF(VLOOKUP($D296,$C$5:$AU$501,3,)=0,0,(VLOOKUP($D296,$C$5:$AU$501,23,)/VLOOKUP($D296,$C$5:$AU$501,3,))*$E296)</f>
        <v>0</v>
      </c>
      <c r="Z296" s="65">
        <f>IF(VLOOKUP($D296,$C$5:$AU$501,3,)=0,0,(VLOOKUP($D296,$C$5:$AU$501,24,)/VLOOKUP($D296,$C$5:$AU$501,3,))*$E296)</f>
        <v>0</v>
      </c>
      <c r="AA296" s="65">
        <f>IF(VLOOKUP($D296,$C$5:$AU$501,3,)=0,0,(VLOOKUP($D296,$C$5:$AU$501,25,)/VLOOKUP($D296,$C$5:$AU$501,3,))*$E296)</f>
        <v>0</v>
      </c>
      <c r="AB296" s="65">
        <f>IF(VLOOKUP($D296,$C$5:$AU$501,3,)=0,0,(VLOOKUP($D296,$C$5:$AU$501,26,)/VLOOKUP($D296,$C$5:$AU$501,3,))*$E296)</f>
        <v>0</v>
      </c>
      <c r="AC296" s="65">
        <f>IF(VLOOKUP($D296,$C$5:$AU$501,3,)=0,0,(VLOOKUP($D296,$C$5:$AU$501,27,)/VLOOKUP($D296,$C$5:$AU$501,3,))*$E296)</f>
        <v>0</v>
      </c>
      <c r="AD296" s="65">
        <f>IF(VLOOKUP($D296,$C$5:$AU$501,3,)=0,0,(VLOOKUP($D296,$C$5:$AU$501,28,)/VLOOKUP($D296,$C$5:$AU$501,3,))*$E296)</f>
        <v>0</v>
      </c>
      <c r="AE296" s="65">
        <f>IF(VLOOKUP($D296,$C$5:$AU$501,3,)=0,0,(VLOOKUP($D296,$C$5:$AU$501,29,)/VLOOKUP($D296,$C$5:$AU$501,3,))*$E296)</f>
        <v>0</v>
      </c>
      <c r="AF296" s="65">
        <f>IF(VLOOKUP($D296,$C$5:$AU$501,3,)=0,0,(VLOOKUP($D296,$C$5:$AU$501,30,)/VLOOKUP($D296,$C$5:$AU$501,3,))*$E296)</f>
        <v>0</v>
      </c>
      <c r="AG296" s="90">
        <f>SUM(F296:AF296)</f>
        <v>2423.6400197207249</v>
      </c>
      <c r="AH296" s="29" t="str">
        <f>IF(ABS(E296-AG296)&lt;0.01,"ok","err")</f>
        <v>ok</v>
      </c>
    </row>
    <row r="297" spans="1:34" x14ac:dyDescent="0.2">
      <c r="E297" s="255"/>
    </row>
    <row r="298" spans="1:34" x14ac:dyDescent="0.2">
      <c r="A298" s="13" t="s">
        <v>5</v>
      </c>
      <c r="E298" s="255"/>
    </row>
    <row r="299" spans="1:34" x14ac:dyDescent="0.2">
      <c r="A299" s="93" t="s">
        <v>221</v>
      </c>
      <c r="C299" s="14" t="s">
        <v>320</v>
      </c>
      <c r="D299" s="14" t="s">
        <v>232</v>
      </c>
      <c r="E299" s="254">
        <f>'Func &amp; Classif'!W316</f>
        <v>2382.628166470045</v>
      </c>
      <c r="F299" s="65">
        <f>IF(VLOOKUP($D299,$C$5:$AU$501,3,)=0,0,(VLOOKUP($D299,$C$5:$AU$501,4,)/VLOOKUP($D299,$C$5:$AU$501,3,))*$E299)</f>
        <v>0</v>
      </c>
      <c r="G299" s="65">
        <f>IF(VLOOKUP($D299,$C$5:$AU$501,3,)=0,0,(VLOOKUP($D299,$C$5:$AU$501,5,)/VLOOKUP($D299,$C$5:$AU$501,3,))*$E299)</f>
        <v>0</v>
      </c>
      <c r="H299" s="65">
        <f>IF(VLOOKUP($D299,$C$5:$AU$501,3,)=0,0,(VLOOKUP($D299,$C$5:$AU$501,6,)/VLOOKUP($D299,$C$5:$AU$501,3,))*$E299)</f>
        <v>0</v>
      </c>
      <c r="I299" s="65">
        <f>IF(VLOOKUP($D299,$C$5:$AU$501,3,)=0,0,(VLOOKUP($D299,$C$5:$AU$501,7,)/VLOOKUP($D299,$C$5:$AU$501,3,))*$E299)</f>
        <v>0</v>
      </c>
      <c r="J299" s="65">
        <f>IF(VLOOKUP($D299,$C$5:$AU$501,3,)=0,0,(VLOOKUP($D299,$C$5:$AU$501,8,)/VLOOKUP($D299,$C$5:$AU$501,3,))*$E299)</f>
        <v>0</v>
      </c>
      <c r="K299" s="65">
        <f>IF(VLOOKUP($D299,$C$5:$AU$501,3,)=0,0,(VLOOKUP($D299,$C$5:$AU$501,9,)/VLOOKUP($D299,$C$5:$AU$501,3,))*$E299)</f>
        <v>2158.6431936821746</v>
      </c>
      <c r="L299" s="65">
        <f>IF(VLOOKUP($D299,$C$5:$AU$501,3,)=0,0,(VLOOKUP($D299,$C$5:$AU$501,10,)/VLOOKUP($D299,$C$5:$AU$501,3,))*$E299)</f>
        <v>223.98497278787036</v>
      </c>
      <c r="M299" s="65">
        <f>IF(VLOOKUP($D299,$C$5:$AU$501,3,)=0,0,(VLOOKUP($D299,$C$5:$AU$501,11,)/VLOOKUP($D299,$C$5:$AU$501,3,))*$E299)</f>
        <v>0</v>
      </c>
      <c r="N299" s="65">
        <f>IF(VLOOKUP($D299,$C$5:$AU$501,3,)=0,0,(VLOOKUP($D299,$C$5:$AU$501,12,)/VLOOKUP($D299,$C$5:$AU$501,3,))*$E299)</f>
        <v>0</v>
      </c>
      <c r="O299" s="65">
        <f>IF(VLOOKUP($D299,$C$5:$AU$501,3,)=0,0,(VLOOKUP($D299,$C$5:$AU$501,13,)/VLOOKUP($D299,$C$5:$AU$501,3,))*$E299)</f>
        <v>0</v>
      </c>
      <c r="P299" s="65">
        <f>IF(VLOOKUP($D299,$C$5:$AU$501,3,)=0,0,(VLOOKUP($D299,$C$5:$AU$501,14,)/VLOOKUP($D299,$C$5:$AU$501,3,))*$E299)</f>
        <v>0</v>
      </c>
      <c r="Q299" s="65">
        <f>IF(VLOOKUP($D299,$C$5:$AU$501,3,)=0,0,(VLOOKUP($D299,$C$5:$AU$501,15,)/VLOOKUP($D299,$C$5:$AU$501,3,))*$E299)</f>
        <v>0</v>
      </c>
      <c r="R299" s="65">
        <f>IF(VLOOKUP($D299,$C$5:$AU$501,3,)=0,0,(VLOOKUP($D299,$C$5:$AU$501,16,)/VLOOKUP($D299,$C$5:$AU$501,3,))*$E299)</f>
        <v>0</v>
      </c>
      <c r="S299" s="65">
        <f>IF(VLOOKUP($D299,$C$5:$AU$501,3,)=0,0,(VLOOKUP($D299,$C$5:$AU$501,17,)/VLOOKUP($D299,$C$5:$AU$501,3,))*$E299)</f>
        <v>0</v>
      </c>
      <c r="T299" s="65">
        <f>IF(VLOOKUP($D299,$C$5:$AU$501,3,)=0,0,(VLOOKUP($D299,$C$5:$AU$501,18,)/VLOOKUP($D299,$C$5:$AU$501,3,))*$E299)</f>
        <v>0</v>
      </c>
      <c r="U299" s="65">
        <f>IF(VLOOKUP($D299,$C$5:$AU$501,3,)=0,0,(VLOOKUP($D299,$C$5:$AU$501,19,)/VLOOKUP($D299,$C$5:$AU$501,3,))*$E299)</f>
        <v>0</v>
      </c>
      <c r="V299" s="65">
        <f>IF(VLOOKUP($D299,$C$5:$AU$501,3,)=0,0,(VLOOKUP($D299,$C$5:$AU$501,20,)/VLOOKUP($D299,$C$5:$AU$501,3,))*$E299)</f>
        <v>0</v>
      </c>
      <c r="W299" s="65">
        <f>IF(VLOOKUP($D299,$C$5:$AU$501,3,)=0,0,(VLOOKUP($D299,$C$5:$AU$501,21,)/VLOOKUP($D299,$C$5:$AU$501,3,))*$E299)</f>
        <v>0</v>
      </c>
      <c r="X299" s="65">
        <f>IF(VLOOKUP($D299,$C$5:$AU$501,3,)=0,0,(VLOOKUP($D299,$C$5:$AU$501,22,)/VLOOKUP($D299,$C$5:$AU$501,3,))*$E299)</f>
        <v>0</v>
      </c>
      <c r="Y299" s="65">
        <f>IF(VLOOKUP($D299,$C$5:$AU$501,3,)=0,0,(VLOOKUP($D299,$C$5:$AU$501,23,)/VLOOKUP($D299,$C$5:$AU$501,3,))*$E299)</f>
        <v>0</v>
      </c>
      <c r="Z299" s="65">
        <f>IF(VLOOKUP($D299,$C$5:$AU$501,3,)=0,0,(VLOOKUP($D299,$C$5:$AU$501,24,)/VLOOKUP($D299,$C$5:$AU$501,3,))*$E299)</f>
        <v>0</v>
      </c>
      <c r="AA299" s="65">
        <f>IF(VLOOKUP($D299,$C$5:$AU$501,3,)=0,0,(VLOOKUP($D299,$C$5:$AU$501,25,)/VLOOKUP($D299,$C$5:$AU$501,3,))*$E299)</f>
        <v>0</v>
      </c>
      <c r="AB299" s="65">
        <f>IF(VLOOKUP($D299,$C$5:$AU$501,3,)=0,0,(VLOOKUP($D299,$C$5:$AU$501,26,)/VLOOKUP($D299,$C$5:$AU$501,3,))*$E299)</f>
        <v>0</v>
      </c>
      <c r="AC299" s="65">
        <f>IF(VLOOKUP($D299,$C$5:$AU$501,3,)=0,0,(VLOOKUP($D299,$C$5:$AU$501,27,)/VLOOKUP($D299,$C$5:$AU$501,3,))*$E299)</f>
        <v>0</v>
      </c>
      <c r="AD299" s="65">
        <f>IF(VLOOKUP($D299,$C$5:$AU$501,3,)=0,0,(VLOOKUP($D299,$C$5:$AU$501,28,)/VLOOKUP($D299,$C$5:$AU$501,3,))*$E299)</f>
        <v>0</v>
      </c>
      <c r="AE299" s="65">
        <f>IF(VLOOKUP($D299,$C$5:$AU$501,3,)=0,0,(VLOOKUP($D299,$C$5:$AU$501,29,)/VLOOKUP($D299,$C$5:$AU$501,3,))*$E299)</f>
        <v>0</v>
      </c>
      <c r="AF299" s="65">
        <f>IF(VLOOKUP($D299,$C$5:$AU$501,3,)=0,0,(VLOOKUP($D299,$C$5:$AU$501,30,)/VLOOKUP($D299,$C$5:$AU$501,3,))*$E299)</f>
        <v>0</v>
      </c>
      <c r="AG299" s="90">
        <f>SUM(F299:AF299)</f>
        <v>2382.628166470045</v>
      </c>
      <c r="AH299" s="29" t="str">
        <f>IF(ABS(E299-AG299)&lt;0.01,"ok","err")</f>
        <v>ok</v>
      </c>
    </row>
    <row r="300" spans="1:34" x14ac:dyDescent="0.2">
      <c r="E300" s="255"/>
    </row>
    <row r="301" spans="1:34" x14ac:dyDescent="0.2">
      <c r="A301" s="13" t="s">
        <v>545</v>
      </c>
      <c r="E301" s="255"/>
    </row>
    <row r="302" spans="1:34" x14ac:dyDescent="0.2">
      <c r="A302" s="93" t="s">
        <v>221</v>
      </c>
      <c r="C302" s="14" t="s">
        <v>321</v>
      </c>
      <c r="D302" s="14" t="s">
        <v>234</v>
      </c>
      <c r="E302" s="254">
        <f>'Func &amp; Classif'!Y316</f>
        <v>0</v>
      </c>
      <c r="F302" s="65">
        <f>IF(VLOOKUP($D302,$C$5:$AU$501,3,)=0,0,(VLOOKUP($D302,$C$5:$AU$501,4,)/VLOOKUP($D302,$C$5:$AU$501,3,))*$E302)</f>
        <v>0</v>
      </c>
      <c r="G302" s="65">
        <f>IF(VLOOKUP($D302,$C$5:$AU$501,3,)=0,0,(VLOOKUP($D302,$C$5:$AU$501,5,)/VLOOKUP($D302,$C$5:$AU$501,3,))*$E302)</f>
        <v>0</v>
      </c>
      <c r="H302" s="65">
        <f>IF(VLOOKUP($D302,$C$5:$AU$501,3,)=0,0,(VLOOKUP($D302,$C$5:$AU$501,6,)/VLOOKUP($D302,$C$5:$AU$501,3,))*$E302)</f>
        <v>0</v>
      </c>
      <c r="I302" s="65">
        <f>IF(VLOOKUP($D302,$C$5:$AU$501,3,)=0,0,(VLOOKUP($D302,$C$5:$AU$501,7,)/VLOOKUP($D302,$C$5:$AU$501,3,))*$E302)</f>
        <v>0</v>
      </c>
      <c r="J302" s="65">
        <f>IF(VLOOKUP($D302,$C$5:$AU$501,3,)=0,0,(VLOOKUP($D302,$C$5:$AU$501,8,)/VLOOKUP($D302,$C$5:$AU$501,3,))*$E302)</f>
        <v>0</v>
      </c>
      <c r="K302" s="65">
        <f>IF(VLOOKUP($D302,$C$5:$AU$501,3,)=0,0,(VLOOKUP($D302,$C$5:$AU$501,9,)/VLOOKUP($D302,$C$5:$AU$501,3,))*$E302)</f>
        <v>0</v>
      </c>
      <c r="L302" s="65">
        <f>IF(VLOOKUP($D302,$C$5:$AU$501,3,)=0,0,(VLOOKUP($D302,$C$5:$AU$501,10,)/VLOOKUP($D302,$C$5:$AU$501,3,))*$E302)</f>
        <v>0</v>
      </c>
      <c r="M302" s="65">
        <f>IF(VLOOKUP($D302,$C$5:$AU$501,3,)=0,0,(VLOOKUP($D302,$C$5:$AU$501,11,)/VLOOKUP($D302,$C$5:$AU$501,3,))*$E302)</f>
        <v>0</v>
      </c>
      <c r="N302" s="65">
        <f>IF(VLOOKUP($D302,$C$5:$AU$501,3,)=0,0,(VLOOKUP($D302,$C$5:$AU$501,12,)/VLOOKUP($D302,$C$5:$AU$501,3,))*$E302)</f>
        <v>0</v>
      </c>
      <c r="O302" s="65">
        <f>IF(VLOOKUP($D302,$C$5:$AU$501,3,)=0,0,(VLOOKUP($D302,$C$5:$AU$501,13,)/VLOOKUP($D302,$C$5:$AU$501,3,))*$E302)</f>
        <v>0</v>
      </c>
      <c r="P302" s="65">
        <f>IF(VLOOKUP($D302,$C$5:$AU$501,3,)=0,0,(VLOOKUP($D302,$C$5:$AU$501,14,)/VLOOKUP($D302,$C$5:$AU$501,3,))*$E302)</f>
        <v>0</v>
      </c>
      <c r="Q302" s="65">
        <f>IF(VLOOKUP($D302,$C$5:$AU$501,3,)=0,0,(VLOOKUP($D302,$C$5:$AU$501,15,)/VLOOKUP($D302,$C$5:$AU$501,3,))*$E302)</f>
        <v>0</v>
      </c>
      <c r="R302" s="65">
        <f>IF(VLOOKUP($D302,$C$5:$AU$501,3,)=0,0,(VLOOKUP($D302,$C$5:$AU$501,16,)/VLOOKUP($D302,$C$5:$AU$501,3,))*$E302)</f>
        <v>0</v>
      </c>
      <c r="S302" s="65">
        <f>IF(VLOOKUP($D302,$C$5:$AU$501,3,)=0,0,(VLOOKUP($D302,$C$5:$AU$501,17,)/VLOOKUP($D302,$C$5:$AU$501,3,))*$E302)</f>
        <v>0</v>
      </c>
      <c r="T302" s="65">
        <f>IF(VLOOKUP($D302,$C$5:$AU$501,3,)=0,0,(VLOOKUP($D302,$C$5:$AU$501,18,)/VLOOKUP($D302,$C$5:$AU$501,3,))*$E302)</f>
        <v>0</v>
      </c>
      <c r="U302" s="65">
        <f>IF(VLOOKUP($D302,$C$5:$AU$501,3,)=0,0,(VLOOKUP($D302,$C$5:$AU$501,19,)/VLOOKUP($D302,$C$5:$AU$501,3,))*$E302)</f>
        <v>0</v>
      </c>
      <c r="V302" s="65">
        <f>IF(VLOOKUP($D302,$C$5:$AU$501,3,)=0,0,(VLOOKUP($D302,$C$5:$AU$501,20,)/VLOOKUP($D302,$C$5:$AU$501,3,))*$E302)</f>
        <v>0</v>
      </c>
      <c r="W302" s="65">
        <f>IF(VLOOKUP($D302,$C$5:$AU$501,3,)=0,0,(VLOOKUP($D302,$C$5:$AU$501,21,)/VLOOKUP($D302,$C$5:$AU$501,3,))*$E302)</f>
        <v>0</v>
      </c>
      <c r="X302" s="65">
        <f>IF(VLOOKUP($D302,$C$5:$AU$501,3,)=0,0,(VLOOKUP($D302,$C$5:$AU$501,22,)/VLOOKUP($D302,$C$5:$AU$501,3,))*$E302)</f>
        <v>0</v>
      </c>
      <c r="Y302" s="65">
        <f>IF(VLOOKUP($D302,$C$5:$AU$501,3,)=0,0,(VLOOKUP($D302,$C$5:$AU$501,23,)/VLOOKUP($D302,$C$5:$AU$501,3,))*$E302)</f>
        <v>0</v>
      </c>
      <c r="Z302" s="65">
        <f>IF(VLOOKUP($D302,$C$5:$AU$501,3,)=0,0,(VLOOKUP($D302,$C$5:$AU$501,24,)/VLOOKUP($D302,$C$5:$AU$501,3,))*$E302)</f>
        <v>0</v>
      </c>
      <c r="AA302" s="65">
        <f>IF(VLOOKUP($D302,$C$5:$AU$501,3,)=0,0,(VLOOKUP($D302,$C$5:$AU$501,25,)/VLOOKUP($D302,$C$5:$AU$501,3,))*$E302)</f>
        <v>0</v>
      </c>
      <c r="AB302" s="65">
        <f>IF(VLOOKUP($D302,$C$5:$AU$501,3,)=0,0,(VLOOKUP($D302,$C$5:$AU$501,26,)/VLOOKUP($D302,$C$5:$AU$501,3,))*$E302)</f>
        <v>0</v>
      </c>
      <c r="AC302" s="65">
        <f>IF(VLOOKUP($D302,$C$5:$AU$501,3,)=0,0,(VLOOKUP($D302,$C$5:$AU$501,27,)/VLOOKUP($D302,$C$5:$AU$501,3,))*$E302)</f>
        <v>0</v>
      </c>
      <c r="AD302" s="65">
        <f>IF(VLOOKUP($D302,$C$5:$AU$501,3,)=0,0,(VLOOKUP($D302,$C$5:$AU$501,28,)/VLOOKUP($D302,$C$5:$AU$501,3,))*$E302)</f>
        <v>0</v>
      </c>
      <c r="AE302" s="65">
        <f>IF(VLOOKUP($D302,$C$5:$AU$501,3,)=0,0,(VLOOKUP($D302,$C$5:$AU$501,29,)/VLOOKUP($D302,$C$5:$AU$501,3,))*$E302)</f>
        <v>0</v>
      </c>
      <c r="AF302" s="65">
        <f>IF(VLOOKUP($D302,$C$5:$AU$501,3,)=0,0,(VLOOKUP($D302,$C$5:$AU$501,30,)/VLOOKUP($D302,$C$5:$AU$501,3,))*$E302)</f>
        <v>0</v>
      </c>
      <c r="AG302" s="90">
        <f>SUM(F302:AF302)</f>
        <v>0</v>
      </c>
      <c r="AH302" s="29" t="str">
        <f>IF(ABS(E302-AG302)&lt;0.01,"ok","err")</f>
        <v>ok</v>
      </c>
    </row>
    <row r="303" spans="1:34" x14ac:dyDescent="0.2">
      <c r="E303" s="255"/>
    </row>
    <row r="304" spans="1:34" x14ac:dyDescent="0.2">
      <c r="A304" s="13" t="s">
        <v>470</v>
      </c>
      <c r="E304" s="255"/>
    </row>
    <row r="305" spans="1:41" x14ac:dyDescent="0.2">
      <c r="A305" s="93" t="s">
        <v>221</v>
      </c>
      <c r="C305" s="14" t="s">
        <v>318</v>
      </c>
      <c r="D305" s="14" t="s">
        <v>235</v>
      </c>
      <c r="E305" s="254">
        <f>'Func &amp; Classif'!AA316</f>
        <v>0</v>
      </c>
      <c r="F305" s="65">
        <f>IF(VLOOKUP($D305,$C$5:$AU$501,3,)=0,0,(VLOOKUP($D305,$C$5:$AU$501,4,)/VLOOKUP($D305,$C$5:$AU$501,3,))*$E305)</f>
        <v>0</v>
      </c>
      <c r="G305" s="65">
        <f>IF(VLOOKUP($D305,$C$5:$AU$501,3,)=0,0,(VLOOKUP($D305,$C$5:$AU$501,5,)/VLOOKUP($D305,$C$5:$AU$501,3,))*$E305)</f>
        <v>0</v>
      </c>
      <c r="H305" s="65">
        <f>IF(VLOOKUP($D305,$C$5:$AU$501,3,)=0,0,(VLOOKUP($D305,$C$5:$AU$501,6,)/VLOOKUP($D305,$C$5:$AU$501,3,))*$E305)</f>
        <v>0</v>
      </c>
      <c r="I305" s="65">
        <f>IF(VLOOKUP($D305,$C$5:$AU$501,3,)=0,0,(VLOOKUP($D305,$C$5:$AU$501,7,)/VLOOKUP($D305,$C$5:$AU$501,3,))*$E305)</f>
        <v>0</v>
      </c>
      <c r="J305" s="65">
        <f>IF(VLOOKUP($D305,$C$5:$AU$501,3,)=0,0,(VLOOKUP($D305,$C$5:$AU$501,8,)/VLOOKUP($D305,$C$5:$AU$501,3,))*$E305)</f>
        <v>0</v>
      </c>
      <c r="K305" s="65">
        <f>IF(VLOOKUP($D305,$C$5:$AU$501,3,)=0,0,(VLOOKUP($D305,$C$5:$AU$501,9,)/VLOOKUP($D305,$C$5:$AU$501,3,))*$E305)</f>
        <v>0</v>
      </c>
      <c r="L305" s="65">
        <f>IF(VLOOKUP($D305,$C$5:$AU$501,3,)=0,0,(VLOOKUP($D305,$C$5:$AU$501,10,)/VLOOKUP($D305,$C$5:$AU$501,3,))*$E305)</f>
        <v>0</v>
      </c>
      <c r="M305" s="65">
        <f>IF(VLOOKUP($D305,$C$5:$AU$501,3,)=0,0,(VLOOKUP($D305,$C$5:$AU$501,11,)/VLOOKUP($D305,$C$5:$AU$501,3,))*$E305)</f>
        <v>0</v>
      </c>
      <c r="N305" s="65">
        <f>IF(VLOOKUP($D305,$C$5:$AU$501,3,)=0,0,(VLOOKUP($D305,$C$5:$AU$501,12,)/VLOOKUP($D305,$C$5:$AU$501,3,))*$E305)</f>
        <v>0</v>
      </c>
      <c r="O305" s="65">
        <f>IF(VLOOKUP($D305,$C$5:$AU$501,3,)=0,0,(VLOOKUP($D305,$C$5:$AU$501,13,)/VLOOKUP($D305,$C$5:$AU$501,3,))*$E305)</f>
        <v>0</v>
      </c>
      <c r="P305" s="65">
        <f>IF(VLOOKUP($D305,$C$5:$AU$501,3,)=0,0,(VLOOKUP($D305,$C$5:$AU$501,14,)/VLOOKUP($D305,$C$5:$AU$501,3,))*$E305)</f>
        <v>0</v>
      </c>
      <c r="Q305" s="65">
        <f>IF(VLOOKUP($D305,$C$5:$AU$501,3,)=0,0,(VLOOKUP($D305,$C$5:$AU$501,15,)/VLOOKUP($D305,$C$5:$AU$501,3,))*$E305)</f>
        <v>0</v>
      </c>
      <c r="R305" s="65">
        <f>IF(VLOOKUP($D305,$C$5:$AU$501,3,)=0,0,(VLOOKUP($D305,$C$5:$AU$501,16,)/VLOOKUP($D305,$C$5:$AU$501,3,))*$E305)</f>
        <v>0</v>
      </c>
      <c r="S305" s="65">
        <f>IF(VLOOKUP($D305,$C$5:$AU$501,3,)=0,0,(VLOOKUP($D305,$C$5:$AU$501,17,)/VLOOKUP($D305,$C$5:$AU$501,3,))*$E305)</f>
        <v>0</v>
      </c>
      <c r="T305" s="65">
        <f>IF(VLOOKUP($D305,$C$5:$AU$501,3,)=0,0,(VLOOKUP($D305,$C$5:$AU$501,18,)/VLOOKUP($D305,$C$5:$AU$501,3,))*$E305)</f>
        <v>0</v>
      </c>
      <c r="U305" s="65">
        <f>IF(VLOOKUP($D305,$C$5:$AU$501,3,)=0,0,(VLOOKUP($D305,$C$5:$AU$501,19,)/VLOOKUP($D305,$C$5:$AU$501,3,))*$E305)</f>
        <v>0</v>
      </c>
      <c r="V305" s="65">
        <f>IF(VLOOKUP($D305,$C$5:$AU$501,3,)=0,0,(VLOOKUP($D305,$C$5:$AU$501,20,)/VLOOKUP($D305,$C$5:$AU$501,3,))*$E305)</f>
        <v>0</v>
      </c>
      <c r="W305" s="65">
        <f>IF(VLOOKUP($D305,$C$5:$AU$501,3,)=0,0,(VLOOKUP($D305,$C$5:$AU$501,21,)/VLOOKUP($D305,$C$5:$AU$501,3,))*$E305)</f>
        <v>0</v>
      </c>
      <c r="X305" s="65">
        <f>IF(VLOOKUP($D305,$C$5:$AU$501,3,)=0,0,(VLOOKUP($D305,$C$5:$AU$501,22,)/VLOOKUP($D305,$C$5:$AU$501,3,))*$E305)</f>
        <v>0</v>
      </c>
      <c r="Y305" s="65">
        <f>IF(VLOOKUP($D305,$C$5:$AU$501,3,)=0,0,(VLOOKUP($D305,$C$5:$AU$501,23,)/VLOOKUP($D305,$C$5:$AU$501,3,))*$E305)</f>
        <v>0</v>
      </c>
      <c r="Z305" s="65">
        <f>IF(VLOOKUP($D305,$C$5:$AU$501,3,)=0,0,(VLOOKUP($D305,$C$5:$AU$501,24,)/VLOOKUP($D305,$C$5:$AU$501,3,))*$E305)</f>
        <v>0</v>
      </c>
      <c r="AA305" s="65">
        <f>IF(VLOOKUP($D305,$C$5:$AU$501,3,)=0,0,(VLOOKUP($D305,$C$5:$AU$501,25,)/VLOOKUP($D305,$C$5:$AU$501,3,))*$E305)</f>
        <v>0</v>
      </c>
      <c r="AB305" s="65">
        <f>IF(VLOOKUP($D305,$C$5:$AU$501,3,)=0,0,(VLOOKUP($D305,$C$5:$AU$501,26,)/VLOOKUP($D305,$C$5:$AU$501,3,))*$E305)</f>
        <v>0</v>
      </c>
      <c r="AC305" s="65">
        <f>IF(VLOOKUP($D305,$C$5:$AU$501,3,)=0,0,(VLOOKUP($D305,$C$5:$AU$501,27,)/VLOOKUP($D305,$C$5:$AU$501,3,))*$E305)</f>
        <v>0</v>
      </c>
      <c r="AD305" s="65">
        <f>IF(VLOOKUP($D305,$C$5:$AU$501,3,)=0,0,(VLOOKUP($D305,$C$5:$AU$501,28,)/VLOOKUP($D305,$C$5:$AU$501,3,))*$E305)</f>
        <v>0</v>
      </c>
      <c r="AE305" s="65">
        <f>IF(VLOOKUP($D305,$C$5:$AU$501,3,)=0,0,(VLOOKUP($D305,$C$5:$AU$501,29,)/VLOOKUP($D305,$C$5:$AU$501,3,))*$E305)</f>
        <v>0</v>
      </c>
      <c r="AF305" s="65">
        <f>IF(VLOOKUP($D305,$C$5:$AU$501,3,)=0,0,(VLOOKUP($D305,$C$5:$AU$501,30,)/VLOOKUP($D305,$C$5:$AU$501,3,))*$E305)</f>
        <v>0</v>
      </c>
      <c r="AG305" s="90">
        <f>SUM(F305:AF305)</f>
        <v>0</v>
      </c>
      <c r="AH305" s="29" t="str">
        <f>IF(ABS(E305-AG305)&lt;0.01,"ok","err")</f>
        <v>ok</v>
      </c>
    </row>
    <row r="306" spans="1:41" x14ac:dyDescent="0.2">
      <c r="E306" s="255"/>
    </row>
    <row r="307" spans="1:41" x14ac:dyDescent="0.2">
      <c r="A307" s="14" t="s">
        <v>0</v>
      </c>
      <c r="C307" s="14" t="s">
        <v>322</v>
      </c>
      <c r="E307" s="254">
        <f>E277+E280+E283+E288+E293+E296+E299+E302+E305</f>
        <v>63682.680000000008</v>
      </c>
      <c r="F307" s="65">
        <f t="shared" ref="F307:R307" si="63">F277+F280+F283+F288+F293+F296+F299+F302+F305</f>
        <v>53548.046862627278</v>
      </c>
      <c r="G307" s="65">
        <f t="shared" si="63"/>
        <v>3561.4656144141272</v>
      </c>
      <c r="H307" s="65">
        <f t="shared" si="63"/>
        <v>3373.9278937424378</v>
      </c>
      <c r="I307" s="65">
        <f t="shared" si="63"/>
        <v>64.305554283742737</v>
      </c>
      <c r="J307" s="65">
        <f t="shared" si="63"/>
        <v>445.9397305969552</v>
      </c>
      <c r="K307" s="65">
        <f t="shared" si="63"/>
        <v>2435.8312474241657</v>
      </c>
      <c r="L307" s="65">
        <f t="shared" si="63"/>
        <v>253.16309691129987</v>
      </c>
      <c r="M307" s="65">
        <f t="shared" si="63"/>
        <v>0</v>
      </c>
      <c r="N307" s="65">
        <f t="shared" si="63"/>
        <v>0</v>
      </c>
      <c r="O307" s="65">
        <f t="shared" si="63"/>
        <v>0</v>
      </c>
      <c r="P307" s="65">
        <f t="shared" si="63"/>
        <v>0</v>
      </c>
      <c r="Q307" s="65">
        <f t="shared" si="63"/>
        <v>0</v>
      </c>
      <c r="R307" s="65">
        <f t="shared" si="63"/>
        <v>0</v>
      </c>
      <c r="S307" s="65">
        <f t="shared" ref="S307:AF307" si="64">S277+S283+S288+S293+S296+S299+S302+S305</f>
        <v>0</v>
      </c>
      <c r="T307" s="65">
        <f t="shared" si="64"/>
        <v>0</v>
      </c>
      <c r="U307" s="65">
        <f t="shared" si="64"/>
        <v>0</v>
      </c>
      <c r="V307" s="65">
        <f t="shared" si="64"/>
        <v>0</v>
      </c>
      <c r="W307" s="65">
        <f t="shared" si="64"/>
        <v>0</v>
      </c>
      <c r="X307" s="65">
        <f t="shared" si="64"/>
        <v>0</v>
      </c>
      <c r="Y307" s="65">
        <f t="shared" si="64"/>
        <v>0</v>
      </c>
      <c r="Z307" s="65">
        <f t="shared" si="64"/>
        <v>0</v>
      </c>
      <c r="AA307" s="65">
        <f t="shared" si="64"/>
        <v>0</v>
      </c>
      <c r="AB307" s="65">
        <f t="shared" si="64"/>
        <v>0</v>
      </c>
      <c r="AC307" s="65">
        <f t="shared" si="64"/>
        <v>0</v>
      </c>
      <c r="AD307" s="65">
        <f t="shared" si="64"/>
        <v>0</v>
      </c>
      <c r="AE307" s="65">
        <f t="shared" si="64"/>
        <v>0</v>
      </c>
      <c r="AF307" s="65">
        <f t="shared" si="64"/>
        <v>0</v>
      </c>
      <c r="AG307" s="90">
        <f>SUM(F307:AF307)</f>
        <v>63682.680000000008</v>
      </c>
      <c r="AH307" s="29" t="str">
        <f>IF(ABS(E307-AG307)&lt;0.01,"ok","err")</f>
        <v>ok</v>
      </c>
    </row>
    <row r="308" spans="1:41" x14ac:dyDescent="0.2">
      <c r="E308" s="254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90"/>
      <c r="AH308" s="29"/>
    </row>
    <row r="309" spans="1:41" x14ac:dyDescent="0.2">
      <c r="E309" s="254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90"/>
      <c r="AH309" s="29"/>
    </row>
    <row r="310" spans="1:41" x14ac:dyDescent="0.2">
      <c r="A310" s="27" t="s">
        <v>581</v>
      </c>
    </row>
    <row r="311" spans="1:41" x14ac:dyDescent="0.2">
      <c r="E311" s="256"/>
    </row>
    <row r="312" spans="1:41" x14ac:dyDescent="0.2">
      <c r="A312" s="13" t="s">
        <v>323</v>
      </c>
      <c r="E312" s="26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AK312" s="172"/>
      <c r="AL312" s="87"/>
      <c r="AM312" s="87"/>
      <c r="AN312" s="87"/>
      <c r="AO312" s="87"/>
    </row>
    <row r="313" spans="1:41" x14ac:dyDescent="0.2">
      <c r="A313" s="14" t="s">
        <v>764</v>
      </c>
      <c r="C313" s="14" t="s">
        <v>324</v>
      </c>
      <c r="D313" s="14" t="s">
        <v>561</v>
      </c>
      <c r="E313" s="254">
        <f>'Billing Det'!E25</f>
        <v>84804614.700000003</v>
      </c>
      <c r="F313" s="65">
        <f>IF(VLOOKUP($D313,$C$5:$AU$501,3,)=0,0,(VLOOKUP($D313,$C$5:$AU$501,4,)/VLOOKUP($D313,$C$5:$AU$501,3,))*$E313)</f>
        <v>47540629.230000004</v>
      </c>
      <c r="G313" s="65">
        <f>IF(VLOOKUP($D313,$C$5:$AU$501,3,)=0,0,(VLOOKUP($D313,$C$5:$AU$501,5,)/VLOOKUP($D313,$C$5:$AU$501,3,))*$E313)</f>
        <v>3850728.04</v>
      </c>
      <c r="H313" s="65">
        <f>IF(VLOOKUP($D313,$C$5:$AU$501,3,)=0,0,(VLOOKUP($D313,$C$5:$AU$501,6,)/VLOOKUP($D313,$C$5:$AU$501,3,))*$E313)</f>
        <v>8865790.540000001</v>
      </c>
      <c r="I313" s="65">
        <f>IF(VLOOKUP($D313,$C$5:$AU$501,3,)=0,0,(VLOOKUP($D313,$C$5:$AU$501,7,)/VLOOKUP($D313,$C$5:$AU$501,3,))*$E313)</f>
        <v>117069.19</v>
      </c>
      <c r="J313" s="65">
        <f>IF(VLOOKUP($D313,$C$5:$AU$501,3,)=0,0,(VLOOKUP($D313,$C$5:$AU$501,8,)/VLOOKUP($D313,$C$5:$AU$501,3,))*$E313)</f>
        <v>1061262.01</v>
      </c>
      <c r="K313" s="65">
        <f>IF(VLOOKUP($D313,$C$5:$AU$501,3,)=0,0,(VLOOKUP($D313,$C$5:$AU$501,9,)/VLOOKUP($D313,$C$5:$AU$501,3,))*$E313)</f>
        <v>1490765.5199999998</v>
      </c>
      <c r="L313" s="65">
        <f>IF(VLOOKUP($D313,$C$5:$AU$501,3,)=0,0,(VLOOKUP($D313,$C$5:$AU$501,10,)/VLOOKUP($D313,$C$5:$AU$501,3,))*$E313)</f>
        <v>145129.32</v>
      </c>
      <c r="M313" s="65">
        <f>IF(VLOOKUP($D313,$C$5:$AU$501,3,)=0,0,(VLOOKUP($D313,$C$5:$AU$501,11,)/VLOOKUP($D313,$C$5:$AU$501,3,))*$E313)</f>
        <v>21733240.850000001</v>
      </c>
      <c r="N313" s="65">
        <f>IF(VLOOKUP($D313,$C$5:$AU$501,3,)=0,0,(VLOOKUP($D313,$C$5:$AU$501,12,)/VLOOKUP($D313,$C$5:$AU$501,3,))*$E313)</f>
        <v>0</v>
      </c>
      <c r="O313" s="65">
        <f>IF(VLOOKUP($D313,$C$5:$AU$501,3,)=0,0,(VLOOKUP($D313,$C$5:$AU$501,13,)/VLOOKUP($D313,$C$5:$AU$501,3,))*$E313)</f>
        <v>0</v>
      </c>
      <c r="P313" s="65">
        <f>IF(VLOOKUP($D313,$C$5:$AU$501,3,)=0,0,(VLOOKUP($D313,$C$5:$AU$501,14,)/VLOOKUP($D313,$C$5:$AU$501,3,))*$E313)</f>
        <v>0</v>
      </c>
      <c r="Q313" s="65">
        <f>IF(VLOOKUP($D313,$C$5:$AU$501,3,)=0,0,(VLOOKUP($D313,$C$5:$AU$501,15,)/VLOOKUP($D313,$C$5:$AU$501,3,))*$E313)</f>
        <v>0</v>
      </c>
      <c r="R313" s="65">
        <f>IF(VLOOKUP($D313,$C$5:$AU$501,3,)=0,0,(VLOOKUP($D313,$C$5:$AU$501,16,)/VLOOKUP($D313,$C$5:$AU$501,3,))*$E313)</f>
        <v>0</v>
      </c>
      <c r="S313" s="65">
        <f>IF(VLOOKUP($D313,$C$5:$AU$501,3,)=0,0,(VLOOKUP($D313,$C$5:$AU$501,17,)/VLOOKUP($D313,$C$5:$AU$501,3,))*$E313)</f>
        <v>0</v>
      </c>
      <c r="T313" s="65">
        <f>IF(VLOOKUP($D313,$C$5:$AU$501,3,)=0,0,(VLOOKUP($D313,$C$5:$AU$501,18,)/VLOOKUP($D313,$C$5:$AU$501,3,))*$E313)</f>
        <v>0</v>
      </c>
      <c r="U313" s="65">
        <f>IF(VLOOKUP($D313,$C$5:$AU$501,3,)=0,0,(VLOOKUP($D313,$C$5:$AU$501,19,)/VLOOKUP($D313,$C$5:$AU$501,3,))*$E313)</f>
        <v>0</v>
      </c>
      <c r="V313" s="65">
        <f>IF(VLOOKUP($D313,$C$5:$AU$501,3,)=0,0,(VLOOKUP($D313,$C$5:$AU$501,20,)/VLOOKUP($D313,$C$5:$AU$501,3,))*$E313)</f>
        <v>0</v>
      </c>
      <c r="W313" s="65">
        <f>IF(VLOOKUP($D313,$C$5:$AU$501,3,)=0,0,(VLOOKUP($D313,$C$5:$AU$501,21,)/VLOOKUP($D313,$C$5:$AU$501,3,))*$E313)</f>
        <v>0</v>
      </c>
      <c r="X313" s="65">
        <f>IF(VLOOKUP($D313,$C$5:$AU$501,3,)=0,0,(VLOOKUP($D313,$C$5:$AU$501,22,)/VLOOKUP($D313,$C$5:$AU$501,3,))*$E313)</f>
        <v>0</v>
      </c>
      <c r="Y313" s="65">
        <f>IF(VLOOKUP($D313,$C$5:$AU$501,3,)=0,0,(VLOOKUP($D313,$C$5:$AU$501,23,)/VLOOKUP($D313,$C$5:$AU$501,3,))*$E313)</f>
        <v>0</v>
      </c>
      <c r="Z313" s="65">
        <f>IF(VLOOKUP($D313,$C$5:$AU$501,3,)=0,0,(VLOOKUP($D313,$C$5:$AU$501,24,)/VLOOKUP($D313,$C$5:$AU$501,3,))*$E313)</f>
        <v>0</v>
      </c>
      <c r="AA313" s="65">
        <f>IF(VLOOKUP($D313,$C$5:$AU$501,3,)=0,0,(VLOOKUP($D313,$C$5:$AU$501,25,)/VLOOKUP($D313,$C$5:$AU$501,3,))*$E313)</f>
        <v>0</v>
      </c>
      <c r="AB313" s="65">
        <f>IF(VLOOKUP($D313,$C$5:$AU$501,3,)=0,0,(VLOOKUP($D313,$C$5:$AU$501,26,)/VLOOKUP($D313,$C$5:$AU$501,3,))*$E313)</f>
        <v>0</v>
      </c>
      <c r="AC313" s="65">
        <f>IF(VLOOKUP($D313,$C$5:$AU$501,3,)=0,0,(VLOOKUP($D313,$C$5:$AU$501,27,)/VLOOKUP($D313,$C$5:$AU$501,3,))*$E313)</f>
        <v>0</v>
      </c>
      <c r="AD313" s="65">
        <f>IF(VLOOKUP($D313,$C$5:$AU$501,3,)=0,0,(VLOOKUP($D313,$C$5:$AU$501,28,)/VLOOKUP($D313,$C$5:$AU$501,3,))*$E313)</f>
        <v>0</v>
      </c>
      <c r="AE313" s="65">
        <f>IF(VLOOKUP($D313,$C$5:$AU$501,3,)=0,0,(VLOOKUP($D313,$C$5:$AU$501,29,)/VLOOKUP($D313,$C$5:$AU$501,3,))*$E313)</f>
        <v>0</v>
      </c>
      <c r="AF313" s="65">
        <f>IF(VLOOKUP($D313,$C$5:$AU$501,3,)=0,0,(VLOOKUP($D313,$C$5:$AU$501,30,)/VLOOKUP($D313,$C$5:$AU$501,3,))*$E313)</f>
        <v>0</v>
      </c>
      <c r="AG313" s="90">
        <f t="shared" ref="AG313:AG314" si="65">SUM(F313:AF313)</f>
        <v>84804614.700000003</v>
      </c>
      <c r="AH313" s="29" t="str">
        <f t="shared" ref="AH313:AH314" si="66">IF(ABS(E313-AG313)&lt;0.01,"ok","err")</f>
        <v>ok</v>
      </c>
      <c r="AK313" s="76"/>
      <c r="AL313" s="76"/>
      <c r="AM313" s="76"/>
      <c r="AN313" s="76"/>
      <c r="AO313" s="76"/>
    </row>
    <row r="314" spans="1:41" x14ac:dyDescent="0.2">
      <c r="A314" s="14" t="s">
        <v>765</v>
      </c>
      <c r="D314" s="14" t="s">
        <v>748</v>
      </c>
      <c r="E314" s="254">
        <v>1335369.95</v>
      </c>
      <c r="F314" s="65">
        <f>IF(VLOOKUP($D314,$C$5:$AU$501,3,)=0,0,(VLOOKUP($D314,$C$5:$AU$501,4,)/VLOOKUP($D314,$C$5:$AU$501,3,))*$E314)</f>
        <v>1196204.2612823148</v>
      </c>
      <c r="G314" s="65">
        <f>IF(VLOOKUP($D314,$C$5:$AU$501,3,)=0,0,(VLOOKUP($D314,$C$5:$AU$501,5,)/VLOOKUP($D314,$C$5:$AU$501,3,))*$E314)</f>
        <v>84157.926808624528</v>
      </c>
      <c r="H314" s="65">
        <f>IF(VLOOKUP($D314,$C$5:$AU$501,3,)=0,0,(VLOOKUP($D314,$C$5:$AU$501,6,)/VLOOKUP($D314,$C$5:$AU$501,3,))*$E314)</f>
        <v>52724.453581895817</v>
      </c>
      <c r="I314" s="65">
        <f>IF(VLOOKUP($D314,$C$5:$AU$501,3,)=0,0,(VLOOKUP($D314,$C$5:$AU$501,7,)/VLOOKUP($D314,$C$5:$AU$501,3,))*$E314)</f>
        <v>524.6214286755802</v>
      </c>
      <c r="J314" s="65">
        <f>IF(VLOOKUP($D314,$C$5:$AU$501,3,)=0,0,(VLOOKUP($D314,$C$5:$AU$501,8,)/VLOOKUP($D314,$C$5:$AU$501,3,))*$E314)</f>
        <v>1578.3434758602505</v>
      </c>
      <c r="K314" s="65">
        <f>IF(VLOOKUP($D314,$C$5:$AU$501,3,)=0,0,(VLOOKUP($D314,$C$5:$AU$501,9,)/VLOOKUP($D314,$C$5:$AU$501,3,))*$E314)</f>
        <v>0</v>
      </c>
      <c r="L314" s="65">
        <f>IF(VLOOKUP($D314,$C$5:$AU$501,3,)=0,0,(VLOOKUP($D314,$C$5:$AU$501,10,)/VLOOKUP($D314,$C$5:$AU$501,3,))*$E314)</f>
        <v>180.34342262917525</v>
      </c>
      <c r="M314" s="65">
        <f>IF(VLOOKUP($D314,$C$5:$AU$501,3,)=0,0,(VLOOKUP($D314,$C$5:$AU$501,11,)/VLOOKUP($D314,$C$5:$AU$501,3,))*$E314)</f>
        <v>0</v>
      </c>
      <c r="N314" s="65">
        <f>IF(VLOOKUP($D314,$C$5:$AU$501,3,)=0,0,(VLOOKUP($D314,$C$5:$AU$501,12,)/VLOOKUP($D314,$C$5:$AU$501,3,))*$E314)</f>
        <v>0</v>
      </c>
      <c r="O314" s="65">
        <f>IF(VLOOKUP($D314,$C$5:$AU$501,3,)=0,0,(VLOOKUP($D314,$C$5:$AU$501,13,)/VLOOKUP($D314,$C$5:$AU$501,3,))*$E314)</f>
        <v>0</v>
      </c>
      <c r="P314" s="65">
        <f>IF(VLOOKUP($D314,$C$5:$AU$501,3,)=0,0,(VLOOKUP($D314,$C$5:$AU$501,14,)/VLOOKUP($D314,$C$5:$AU$501,3,))*$E314)</f>
        <v>0</v>
      </c>
      <c r="Q314" s="65">
        <f>IF(VLOOKUP($D314,$C$5:$AU$501,3,)=0,0,(VLOOKUP($D314,$C$5:$AU$501,15,)/VLOOKUP($D314,$C$5:$AU$501,3,))*$E314)</f>
        <v>0</v>
      </c>
      <c r="R314" s="65">
        <f>IF(VLOOKUP($D314,$C$5:$AU$501,3,)=0,0,(VLOOKUP($D314,$C$5:$AU$501,16,)/VLOOKUP($D314,$C$5:$AU$501,3,))*$E314)</f>
        <v>0</v>
      </c>
      <c r="S314" s="65">
        <f>IF(VLOOKUP($D314,$C$5:$AU$501,3,)=0,0,(VLOOKUP($D314,$C$5:$AU$501,17,)/VLOOKUP($D314,$C$5:$AU$501,3,))*$E314)</f>
        <v>0</v>
      </c>
      <c r="T314" s="65">
        <f>IF(VLOOKUP($D314,$C$5:$AU$501,3,)=0,0,(VLOOKUP($D314,$C$5:$AU$501,18,)/VLOOKUP($D314,$C$5:$AU$501,3,))*$E314)</f>
        <v>0</v>
      </c>
      <c r="U314" s="65">
        <f>IF(VLOOKUP($D314,$C$5:$AU$501,3,)=0,0,(VLOOKUP($D314,$C$5:$AU$501,19,)/VLOOKUP($D314,$C$5:$AU$501,3,))*$E314)</f>
        <v>0</v>
      </c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90">
        <f t="shared" si="65"/>
        <v>1335369.9500000002</v>
      </c>
      <c r="AH314" s="29" t="str">
        <f t="shared" si="66"/>
        <v>ok</v>
      </c>
      <c r="AK314" s="76"/>
      <c r="AL314" s="76"/>
      <c r="AM314" s="76"/>
      <c r="AN314" s="76"/>
      <c r="AO314" s="76"/>
    </row>
    <row r="315" spans="1:41" x14ac:dyDescent="0.2">
      <c r="AG315" s="90"/>
    </row>
    <row r="316" spans="1:41" x14ac:dyDescent="0.2">
      <c r="A316" s="14" t="s">
        <v>325</v>
      </c>
      <c r="C316" s="14" t="s">
        <v>326</v>
      </c>
      <c r="E316" s="256">
        <f t="shared" ref="E316:AF316" si="67">SUM(E313:E315)</f>
        <v>86139984.650000006</v>
      </c>
      <c r="F316" s="90">
        <f t="shared" si="67"/>
        <v>48736833.491282322</v>
      </c>
      <c r="G316" s="90">
        <f t="shared" si="67"/>
        <v>3934885.9668086246</v>
      </c>
      <c r="H316" s="90">
        <f t="shared" si="67"/>
        <v>8918514.9935818966</v>
      </c>
      <c r="I316" s="90">
        <f t="shared" si="67"/>
        <v>117593.81142867559</v>
      </c>
      <c r="J316" s="90">
        <f t="shared" si="67"/>
        <v>1062840.3534758603</v>
      </c>
      <c r="K316" s="90">
        <f t="shared" si="67"/>
        <v>1490765.5199999998</v>
      </c>
      <c r="L316" s="90">
        <f t="shared" si="67"/>
        <v>145309.66342262918</v>
      </c>
      <c r="M316" s="90">
        <f t="shared" si="67"/>
        <v>21733240.850000001</v>
      </c>
      <c r="N316" s="90">
        <f t="shared" si="67"/>
        <v>0</v>
      </c>
      <c r="O316" s="90">
        <f t="shared" si="67"/>
        <v>0</v>
      </c>
      <c r="P316" s="90">
        <f t="shared" si="67"/>
        <v>0</v>
      </c>
      <c r="Q316" s="90">
        <f t="shared" si="67"/>
        <v>0</v>
      </c>
      <c r="R316" s="90">
        <f t="shared" si="67"/>
        <v>0</v>
      </c>
      <c r="S316" s="90">
        <f t="shared" si="67"/>
        <v>0</v>
      </c>
      <c r="T316" s="90">
        <f t="shared" si="67"/>
        <v>0</v>
      </c>
      <c r="U316" s="90">
        <f t="shared" si="67"/>
        <v>0</v>
      </c>
      <c r="V316" s="90">
        <f t="shared" si="67"/>
        <v>0</v>
      </c>
      <c r="W316" s="90">
        <f t="shared" si="67"/>
        <v>0</v>
      </c>
      <c r="X316" s="90">
        <f t="shared" si="67"/>
        <v>0</v>
      </c>
      <c r="Y316" s="90">
        <f t="shared" si="67"/>
        <v>0</v>
      </c>
      <c r="Z316" s="90">
        <f t="shared" si="67"/>
        <v>0</v>
      </c>
      <c r="AA316" s="90">
        <f t="shared" si="67"/>
        <v>0</v>
      </c>
      <c r="AB316" s="90">
        <f t="shared" si="67"/>
        <v>0</v>
      </c>
      <c r="AC316" s="90">
        <f t="shared" si="67"/>
        <v>0</v>
      </c>
      <c r="AD316" s="90">
        <f t="shared" si="67"/>
        <v>0</v>
      </c>
      <c r="AE316" s="90">
        <f t="shared" si="67"/>
        <v>0</v>
      </c>
      <c r="AF316" s="90">
        <f t="shared" si="67"/>
        <v>0</v>
      </c>
      <c r="AG316" s="90">
        <f>SUM(F316:AF316)</f>
        <v>86139984.650000006</v>
      </c>
      <c r="AH316" s="29" t="str">
        <f>IF(ABS(E316-AG316)&lt;0.01,"ok","err")</f>
        <v>ok</v>
      </c>
    </row>
    <row r="318" spans="1:41" x14ac:dyDescent="0.2">
      <c r="A318" s="13" t="s">
        <v>327</v>
      </c>
      <c r="AK318" s="172"/>
      <c r="AL318" s="87"/>
      <c r="AM318" s="87"/>
      <c r="AN318" s="87"/>
      <c r="AO318" s="87"/>
    </row>
    <row r="319" spans="1:41" x14ac:dyDescent="0.2">
      <c r="A319" s="93" t="s">
        <v>328</v>
      </c>
      <c r="E319" s="256">
        <f t="shared" ref="E319:AF319" si="68">E155</f>
        <v>78736563.059999987</v>
      </c>
      <c r="F319" s="90">
        <f t="shared" si="68"/>
        <v>44469802.8742835</v>
      </c>
      <c r="G319" s="90">
        <f t="shared" si="68"/>
        <v>3427817.9277590038</v>
      </c>
      <c r="H319" s="90">
        <f t="shared" si="68"/>
        <v>6999684.5280530034</v>
      </c>
      <c r="I319" s="90">
        <f t="shared" si="68"/>
        <v>99502.463919461021</v>
      </c>
      <c r="J319" s="90">
        <f t="shared" si="68"/>
        <v>822224.69692760275</v>
      </c>
      <c r="K319" s="90">
        <f t="shared" si="68"/>
        <v>1072630.111302013</v>
      </c>
      <c r="L319" s="90">
        <f t="shared" si="68"/>
        <v>111659.60602508936</v>
      </c>
      <c r="M319" s="90">
        <f t="shared" si="68"/>
        <v>21733240.850000001</v>
      </c>
      <c r="N319" s="90">
        <f t="shared" si="68"/>
        <v>0</v>
      </c>
      <c r="O319" s="90">
        <f t="shared" si="68"/>
        <v>0</v>
      </c>
      <c r="P319" s="90">
        <f t="shared" si="68"/>
        <v>0</v>
      </c>
      <c r="Q319" s="90">
        <f t="shared" si="68"/>
        <v>0</v>
      </c>
      <c r="R319" s="90">
        <f t="shared" si="68"/>
        <v>0</v>
      </c>
      <c r="S319" s="90">
        <f t="shared" si="68"/>
        <v>0</v>
      </c>
      <c r="T319" s="90">
        <f t="shared" si="68"/>
        <v>0</v>
      </c>
      <c r="U319" s="90">
        <f t="shared" si="68"/>
        <v>0</v>
      </c>
      <c r="V319" s="90">
        <f t="shared" si="68"/>
        <v>0</v>
      </c>
      <c r="W319" s="90">
        <f t="shared" si="68"/>
        <v>0</v>
      </c>
      <c r="X319" s="90">
        <f t="shared" si="68"/>
        <v>0</v>
      </c>
      <c r="Y319" s="90">
        <f t="shared" si="68"/>
        <v>0</v>
      </c>
      <c r="Z319" s="90">
        <f t="shared" si="68"/>
        <v>0</v>
      </c>
      <c r="AA319" s="90">
        <f t="shared" si="68"/>
        <v>0</v>
      </c>
      <c r="AB319" s="90">
        <f t="shared" si="68"/>
        <v>0</v>
      </c>
      <c r="AC319" s="90">
        <f t="shared" si="68"/>
        <v>0</v>
      </c>
      <c r="AD319" s="90">
        <f t="shared" si="68"/>
        <v>0</v>
      </c>
      <c r="AE319" s="90">
        <f t="shared" si="68"/>
        <v>0</v>
      </c>
      <c r="AF319" s="90">
        <f t="shared" si="68"/>
        <v>0</v>
      </c>
      <c r="AG319" s="90">
        <f>SUM(F319:AF319)</f>
        <v>78736563.05826968</v>
      </c>
      <c r="AH319" s="29" t="str">
        <f>IF(ABS(E319-AG319)&lt;0.01,"ok","err")</f>
        <v>ok</v>
      </c>
      <c r="AK319" s="76"/>
      <c r="AL319" s="76"/>
      <c r="AM319" s="76"/>
      <c r="AN319" s="76"/>
      <c r="AO319" s="76"/>
    </row>
    <row r="320" spans="1:41" x14ac:dyDescent="0.2">
      <c r="A320" s="93" t="s">
        <v>329</v>
      </c>
      <c r="E320" s="255">
        <f t="shared" ref="E320:AF320" si="69">E231</f>
        <v>5204786.8100000015</v>
      </c>
      <c r="F320" s="49">
        <f t="shared" si="69"/>
        <v>4376483.0250841258</v>
      </c>
      <c r="G320" s="49">
        <f t="shared" si="69"/>
        <v>291078.66148489981</v>
      </c>
      <c r="H320" s="49">
        <f t="shared" si="69"/>
        <v>275751.19952931826</v>
      </c>
      <c r="I320" s="49">
        <f t="shared" si="69"/>
        <v>5255.6943386453459</v>
      </c>
      <c r="J320" s="49">
        <f t="shared" si="69"/>
        <v>36446.663800361188</v>
      </c>
      <c r="K320" s="49">
        <f t="shared" si="69"/>
        <v>199080.54039150279</v>
      </c>
      <c r="L320" s="49">
        <f t="shared" si="69"/>
        <v>20691.025371147785</v>
      </c>
      <c r="M320" s="49">
        <f t="shared" si="69"/>
        <v>0</v>
      </c>
      <c r="N320" s="49">
        <f t="shared" si="69"/>
        <v>0</v>
      </c>
      <c r="O320" s="49">
        <f t="shared" si="69"/>
        <v>0</v>
      </c>
      <c r="P320" s="49">
        <f t="shared" si="69"/>
        <v>0</v>
      </c>
      <c r="Q320" s="49">
        <f t="shared" si="69"/>
        <v>0</v>
      </c>
      <c r="R320" s="49">
        <f t="shared" si="69"/>
        <v>0</v>
      </c>
      <c r="S320" s="49">
        <f t="shared" si="69"/>
        <v>0</v>
      </c>
      <c r="T320" s="49">
        <f t="shared" si="69"/>
        <v>0</v>
      </c>
      <c r="U320" s="49">
        <f t="shared" si="69"/>
        <v>0</v>
      </c>
      <c r="V320" s="49">
        <f t="shared" si="69"/>
        <v>0</v>
      </c>
      <c r="W320" s="49">
        <f t="shared" si="69"/>
        <v>0</v>
      </c>
      <c r="X320" s="49">
        <f t="shared" si="69"/>
        <v>0</v>
      </c>
      <c r="Y320" s="49">
        <f t="shared" si="69"/>
        <v>0</v>
      </c>
      <c r="Z320" s="49">
        <f t="shared" si="69"/>
        <v>0</v>
      </c>
      <c r="AA320" s="49">
        <f t="shared" si="69"/>
        <v>0</v>
      </c>
      <c r="AB320" s="49">
        <f t="shared" si="69"/>
        <v>0</v>
      </c>
      <c r="AC320" s="49">
        <f t="shared" si="69"/>
        <v>0</v>
      </c>
      <c r="AD320" s="49">
        <f t="shared" si="69"/>
        <v>0</v>
      </c>
      <c r="AE320" s="49">
        <f t="shared" si="69"/>
        <v>0</v>
      </c>
      <c r="AF320" s="49">
        <f t="shared" si="69"/>
        <v>0</v>
      </c>
      <c r="AG320" s="90">
        <f>SUM(F320:AF320)</f>
        <v>5204786.8100000024</v>
      </c>
      <c r="AH320" s="29" t="str">
        <f>IF(ABS(E320-AG320)&lt;0.01,"ok","err")</f>
        <v>ok</v>
      </c>
      <c r="AK320" s="76"/>
      <c r="AL320" s="76"/>
      <c r="AM320" s="76"/>
      <c r="AN320" s="76"/>
      <c r="AO320" s="76"/>
    </row>
    <row r="321" spans="1:41" x14ac:dyDescent="0.2">
      <c r="A321" s="93" t="s">
        <v>330</v>
      </c>
      <c r="D321" s="14" t="s">
        <v>248</v>
      </c>
      <c r="E321" s="255">
        <f t="shared" ref="E321:AF321" si="70">E269</f>
        <v>0</v>
      </c>
      <c r="F321" s="49">
        <f t="shared" si="70"/>
        <v>0</v>
      </c>
      <c r="G321" s="49">
        <f t="shared" si="70"/>
        <v>0</v>
      </c>
      <c r="H321" s="49">
        <f t="shared" si="70"/>
        <v>0</v>
      </c>
      <c r="I321" s="49">
        <f t="shared" si="70"/>
        <v>0</v>
      </c>
      <c r="J321" s="49">
        <f t="shared" si="70"/>
        <v>0</v>
      </c>
      <c r="K321" s="49">
        <f t="shared" si="70"/>
        <v>0</v>
      </c>
      <c r="L321" s="49">
        <f t="shared" si="70"/>
        <v>0</v>
      </c>
      <c r="M321" s="49">
        <f t="shared" si="70"/>
        <v>0</v>
      </c>
      <c r="N321" s="49">
        <f t="shared" si="70"/>
        <v>0</v>
      </c>
      <c r="O321" s="49">
        <f t="shared" si="70"/>
        <v>0</v>
      </c>
      <c r="P321" s="49">
        <f t="shared" si="70"/>
        <v>0</v>
      </c>
      <c r="Q321" s="49">
        <f t="shared" si="70"/>
        <v>0</v>
      </c>
      <c r="R321" s="49">
        <f t="shared" si="70"/>
        <v>0</v>
      </c>
      <c r="S321" s="49">
        <f t="shared" si="70"/>
        <v>0</v>
      </c>
      <c r="T321" s="49">
        <f t="shared" si="70"/>
        <v>0</v>
      </c>
      <c r="U321" s="49">
        <f t="shared" si="70"/>
        <v>0</v>
      </c>
      <c r="V321" s="49">
        <f t="shared" si="70"/>
        <v>0</v>
      </c>
      <c r="W321" s="49">
        <f t="shared" si="70"/>
        <v>0</v>
      </c>
      <c r="X321" s="49">
        <f t="shared" si="70"/>
        <v>0</v>
      </c>
      <c r="Y321" s="49">
        <f t="shared" si="70"/>
        <v>0</v>
      </c>
      <c r="Z321" s="49">
        <f t="shared" si="70"/>
        <v>0</v>
      </c>
      <c r="AA321" s="49">
        <f t="shared" si="70"/>
        <v>0</v>
      </c>
      <c r="AB321" s="49">
        <f t="shared" si="70"/>
        <v>0</v>
      </c>
      <c r="AC321" s="49">
        <f t="shared" si="70"/>
        <v>0</v>
      </c>
      <c r="AD321" s="49">
        <f t="shared" si="70"/>
        <v>0</v>
      </c>
      <c r="AE321" s="49">
        <f t="shared" si="70"/>
        <v>0</v>
      </c>
      <c r="AF321" s="49">
        <f t="shared" si="70"/>
        <v>0</v>
      </c>
      <c r="AG321" s="90">
        <f>SUM(F321:AF321)</f>
        <v>0</v>
      </c>
      <c r="AH321" s="29" t="str">
        <f>IF(ABS(E321-AG321)&lt;0.01,"ok","err")</f>
        <v>ok</v>
      </c>
      <c r="AK321" s="76"/>
      <c r="AL321" s="76"/>
      <c r="AM321" s="76"/>
      <c r="AN321" s="76"/>
      <c r="AO321" s="76"/>
    </row>
    <row r="322" spans="1:41" x14ac:dyDescent="0.2">
      <c r="A322" s="93" t="s">
        <v>331</v>
      </c>
      <c r="E322" s="255">
        <f t="shared" ref="E322:AF322" si="71">E307</f>
        <v>63682.680000000008</v>
      </c>
      <c r="F322" s="49">
        <f t="shared" si="71"/>
        <v>53548.046862627278</v>
      </c>
      <c r="G322" s="49">
        <f t="shared" si="71"/>
        <v>3561.4656144141272</v>
      </c>
      <c r="H322" s="49">
        <f t="shared" si="71"/>
        <v>3373.9278937424378</v>
      </c>
      <c r="I322" s="49">
        <f t="shared" si="71"/>
        <v>64.305554283742737</v>
      </c>
      <c r="J322" s="49">
        <f t="shared" si="71"/>
        <v>445.9397305969552</v>
      </c>
      <c r="K322" s="49">
        <f t="shared" si="71"/>
        <v>2435.8312474241657</v>
      </c>
      <c r="L322" s="49">
        <f t="shared" si="71"/>
        <v>253.16309691129987</v>
      </c>
      <c r="M322" s="49">
        <f t="shared" si="71"/>
        <v>0</v>
      </c>
      <c r="N322" s="49">
        <f t="shared" si="71"/>
        <v>0</v>
      </c>
      <c r="O322" s="49">
        <f t="shared" si="71"/>
        <v>0</v>
      </c>
      <c r="P322" s="49">
        <f t="shared" si="71"/>
        <v>0</v>
      </c>
      <c r="Q322" s="49">
        <f t="shared" si="71"/>
        <v>0</v>
      </c>
      <c r="R322" s="49">
        <f t="shared" si="71"/>
        <v>0</v>
      </c>
      <c r="S322" s="49">
        <f t="shared" si="71"/>
        <v>0</v>
      </c>
      <c r="T322" s="49">
        <f t="shared" si="71"/>
        <v>0</v>
      </c>
      <c r="U322" s="49">
        <f t="shared" si="71"/>
        <v>0</v>
      </c>
      <c r="V322" s="49">
        <f t="shared" si="71"/>
        <v>0</v>
      </c>
      <c r="W322" s="49">
        <f t="shared" si="71"/>
        <v>0</v>
      </c>
      <c r="X322" s="49">
        <f t="shared" si="71"/>
        <v>0</v>
      </c>
      <c r="Y322" s="49">
        <f t="shared" si="71"/>
        <v>0</v>
      </c>
      <c r="Z322" s="49">
        <f t="shared" si="71"/>
        <v>0</v>
      </c>
      <c r="AA322" s="49">
        <f t="shared" si="71"/>
        <v>0</v>
      </c>
      <c r="AB322" s="49">
        <f t="shared" si="71"/>
        <v>0</v>
      </c>
      <c r="AC322" s="49">
        <f t="shared" si="71"/>
        <v>0</v>
      </c>
      <c r="AD322" s="49">
        <f t="shared" si="71"/>
        <v>0</v>
      </c>
      <c r="AE322" s="49">
        <f t="shared" si="71"/>
        <v>0</v>
      </c>
      <c r="AF322" s="49">
        <f t="shared" si="71"/>
        <v>0</v>
      </c>
      <c r="AG322" s="90">
        <f>SUM(F322:AF322)</f>
        <v>63682.680000000008</v>
      </c>
      <c r="AH322" s="29" t="str">
        <f>IF(ABS(E322-AG322)&lt;0.01,"ok","err")</f>
        <v>ok</v>
      </c>
      <c r="AK322" s="76"/>
      <c r="AL322" s="76"/>
      <c r="AM322" s="76"/>
      <c r="AN322" s="76"/>
      <c r="AO322" s="76"/>
    </row>
    <row r="323" spans="1:41" x14ac:dyDescent="0.2">
      <c r="A323" s="93"/>
      <c r="AG323" s="90"/>
      <c r="AH323" s="29"/>
      <c r="AK323" s="76"/>
      <c r="AL323" s="76"/>
      <c r="AM323" s="76"/>
      <c r="AN323" s="76"/>
      <c r="AO323" s="76"/>
    </row>
    <row r="324" spans="1:41" x14ac:dyDescent="0.2">
      <c r="A324" s="14" t="s">
        <v>332</v>
      </c>
      <c r="C324" s="14" t="s">
        <v>198</v>
      </c>
      <c r="E324" s="256">
        <f t="shared" ref="E324:T324" si="72">SUM(E319:E323)</f>
        <v>84005032.549999997</v>
      </c>
      <c r="F324" s="90">
        <f t="shared" si="72"/>
        <v>48899833.946230248</v>
      </c>
      <c r="G324" s="90">
        <f t="shared" si="72"/>
        <v>3722458.0548583181</v>
      </c>
      <c r="H324" s="90">
        <f t="shared" si="72"/>
        <v>7278809.6554760635</v>
      </c>
      <c r="I324" s="90">
        <f t="shared" si="72"/>
        <v>104822.46381239011</v>
      </c>
      <c r="J324" s="90">
        <f t="shared" si="72"/>
        <v>859117.30045856093</v>
      </c>
      <c r="K324" s="90">
        <f t="shared" si="72"/>
        <v>1274146.4829409402</v>
      </c>
      <c r="L324" s="90">
        <f t="shared" si="72"/>
        <v>132603.79449314845</v>
      </c>
      <c r="M324" s="90">
        <f t="shared" si="72"/>
        <v>21733240.850000001</v>
      </c>
      <c r="N324" s="90">
        <f t="shared" si="72"/>
        <v>0</v>
      </c>
      <c r="O324" s="90">
        <f t="shared" si="72"/>
        <v>0</v>
      </c>
      <c r="P324" s="90">
        <f t="shared" si="72"/>
        <v>0</v>
      </c>
      <c r="Q324" s="90">
        <f t="shared" si="72"/>
        <v>0</v>
      </c>
      <c r="R324" s="90">
        <f t="shared" si="72"/>
        <v>0</v>
      </c>
      <c r="S324" s="90">
        <f t="shared" si="72"/>
        <v>0</v>
      </c>
      <c r="T324" s="90">
        <f t="shared" si="72"/>
        <v>0</v>
      </c>
      <c r="U324" s="90">
        <f t="shared" ref="U324:AF324" si="73">SUM(U319:U323)</f>
        <v>0</v>
      </c>
      <c r="V324" s="90">
        <f t="shared" si="73"/>
        <v>0</v>
      </c>
      <c r="W324" s="90">
        <f t="shared" si="73"/>
        <v>0</v>
      </c>
      <c r="X324" s="90">
        <f t="shared" si="73"/>
        <v>0</v>
      </c>
      <c r="Y324" s="90">
        <f t="shared" si="73"/>
        <v>0</v>
      </c>
      <c r="Z324" s="90">
        <f t="shared" si="73"/>
        <v>0</v>
      </c>
      <c r="AA324" s="90">
        <f t="shared" si="73"/>
        <v>0</v>
      </c>
      <c r="AB324" s="90">
        <f t="shared" si="73"/>
        <v>0</v>
      </c>
      <c r="AC324" s="90">
        <f t="shared" si="73"/>
        <v>0</v>
      </c>
      <c r="AD324" s="90">
        <f t="shared" si="73"/>
        <v>0</v>
      </c>
      <c r="AE324" s="90">
        <f t="shared" si="73"/>
        <v>0</v>
      </c>
      <c r="AF324" s="90">
        <f t="shared" si="73"/>
        <v>0</v>
      </c>
      <c r="AG324" s="90">
        <f>SUM(F324:AF324)</f>
        <v>84005032.548269659</v>
      </c>
      <c r="AH324" s="29" t="str">
        <f>IF(ABS(E324-AG324)&lt;0.01,"ok","err")</f>
        <v>ok</v>
      </c>
      <c r="AK324" s="76"/>
      <c r="AL324" s="76"/>
      <c r="AM324" s="76"/>
      <c r="AN324" s="76"/>
      <c r="AO324" s="76"/>
    </row>
    <row r="325" spans="1:41" x14ac:dyDescent="0.2">
      <c r="A325" s="93"/>
    </row>
    <row r="326" spans="1:41" x14ac:dyDescent="0.2">
      <c r="A326" s="14" t="s">
        <v>333</v>
      </c>
      <c r="C326" s="14" t="s">
        <v>182</v>
      </c>
      <c r="E326" s="256">
        <f>E316-E324</f>
        <v>2134952.1000000089</v>
      </c>
      <c r="F326" s="90">
        <f t="shared" ref="F326:R326" si="74">F316-F324</f>
        <v>-163000.4549479261</v>
      </c>
      <c r="G326" s="90">
        <f t="shared" si="74"/>
        <v>212427.9119503065</v>
      </c>
      <c r="H326" s="90">
        <f t="shared" si="74"/>
        <v>1639705.3381058332</v>
      </c>
      <c r="I326" s="90">
        <f t="shared" si="74"/>
        <v>12771.347616285479</v>
      </c>
      <c r="J326" s="90">
        <f t="shared" si="74"/>
        <v>203723.05301729939</v>
      </c>
      <c r="K326" s="90">
        <f t="shared" si="74"/>
        <v>216619.0370590596</v>
      </c>
      <c r="L326" s="90">
        <f t="shared" si="74"/>
        <v>12705.868929480726</v>
      </c>
      <c r="M326" s="90">
        <f t="shared" si="74"/>
        <v>0</v>
      </c>
      <c r="N326" s="90">
        <f t="shared" si="74"/>
        <v>0</v>
      </c>
      <c r="O326" s="90">
        <f t="shared" si="74"/>
        <v>0</v>
      </c>
      <c r="P326" s="90">
        <f t="shared" si="74"/>
        <v>0</v>
      </c>
      <c r="Q326" s="90">
        <f>Q316-Q324</f>
        <v>0</v>
      </c>
      <c r="R326" s="90">
        <f t="shared" si="74"/>
        <v>0</v>
      </c>
      <c r="S326" s="90">
        <f>S316-S324</f>
        <v>0</v>
      </c>
      <c r="T326" s="90">
        <f>T316-T324</f>
        <v>0</v>
      </c>
      <c r="U326" s="90">
        <f t="shared" ref="U326:AF326" si="75">U316-U324</f>
        <v>0</v>
      </c>
      <c r="V326" s="90">
        <f t="shared" si="75"/>
        <v>0</v>
      </c>
      <c r="W326" s="90">
        <f t="shared" si="75"/>
        <v>0</v>
      </c>
      <c r="X326" s="90">
        <f t="shared" si="75"/>
        <v>0</v>
      </c>
      <c r="Y326" s="90">
        <f t="shared" si="75"/>
        <v>0</v>
      </c>
      <c r="Z326" s="90">
        <f t="shared" si="75"/>
        <v>0</v>
      </c>
      <c r="AA326" s="90">
        <f t="shared" si="75"/>
        <v>0</v>
      </c>
      <c r="AB326" s="90">
        <f t="shared" si="75"/>
        <v>0</v>
      </c>
      <c r="AC326" s="90">
        <f t="shared" si="75"/>
        <v>0</v>
      </c>
      <c r="AD326" s="90">
        <f t="shared" si="75"/>
        <v>0</v>
      </c>
      <c r="AE326" s="90">
        <f t="shared" si="75"/>
        <v>0</v>
      </c>
      <c r="AF326" s="90">
        <f t="shared" si="75"/>
        <v>0</v>
      </c>
      <c r="AG326" s="90">
        <f>SUM(F326:AF326)</f>
        <v>2134952.1017303388</v>
      </c>
      <c r="AH326" s="29" t="str">
        <f>IF(ABS(E326-AG326)&lt;0.01,"ok","err")</f>
        <v>ok</v>
      </c>
    </row>
    <row r="328" spans="1:41" x14ac:dyDescent="0.2">
      <c r="A328" s="13" t="s">
        <v>249</v>
      </c>
      <c r="E328" s="256">
        <f t="shared" ref="E328:AF328" si="76">E117</f>
        <v>155758951.5371154</v>
      </c>
      <c r="F328" s="90">
        <f t="shared" si="76"/>
        <v>131028302.40791772</v>
      </c>
      <c r="G328" s="90">
        <f t="shared" si="76"/>
        <v>8712372.1867899727</v>
      </c>
      <c r="H328" s="90">
        <f t="shared" si="76"/>
        <v>8237264.9394362504</v>
      </c>
      <c r="I328" s="90">
        <f t="shared" si="76"/>
        <v>157138.15281622345</v>
      </c>
      <c r="J328" s="90">
        <f t="shared" si="76"/>
        <v>1088226.6141145076</v>
      </c>
      <c r="K328" s="90">
        <f t="shared" si="76"/>
        <v>5920284.2636516523</v>
      </c>
      <c r="L328" s="90">
        <f t="shared" si="76"/>
        <v>615362.97238905681</v>
      </c>
      <c r="M328" s="90">
        <f t="shared" si="76"/>
        <v>0</v>
      </c>
      <c r="N328" s="90">
        <f t="shared" si="76"/>
        <v>0</v>
      </c>
      <c r="O328" s="90">
        <f t="shared" si="76"/>
        <v>0</v>
      </c>
      <c r="P328" s="90">
        <f t="shared" si="76"/>
        <v>0</v>
      </c>
      <c r="Q328" s="90">
        <f t="shared" si="76"/>
        <v>0</v>
      </c>
      <c r="R328" s="90">
        <f t="shared" si="76"/>
        <v>0</v>
      </c>
      <c r="S328" s="90">
        <f t="shared" si="76"/>
        <v>0</v>
      </c>
      <c r="T328" s="90">
        <f t="shared" si="76"/>
        <v>0</v>
      </c>
      <c r="U328" s="90">
        <f t="shared" si="76"/>
        <v>0</v>
      </c>
      <c r="V328" s="90">
        <f t="shared" si="76"/>
        <v>0</v>
      </c>
      <c r="W328" s="90">
        <f t="shared" si="76"/>
        <v>0</v>
      </c>
      <c r="X328" s="90">
        <f t="shared" si="76"/>
        <v>0</v>
      </c>
      <c r="Y328" s="90">
        <f t="shared" si="76"/>
        <v>0</v>
      </c>
      <c r="Z328" s="90">
        <f t="shared" si="76"/>
        <v>0</v>
      </c>
      <c r="AA328" s="90">
        <f t="shared" si="76"/>
        <v>0</v>
      </c>
      <c r="AB328" s="90">
        <f t="shared" si="76"/>
        <v>0</v>
      </c>
      <c r="AC328" s="90">
        <f t="shared" si="76"/>
        <v>0</v>
      </c>
      <c r="AD328" s="90">
        <f t="shared" si="76"/>
        <v>0</v>
      </c>
      <c r="AE328" s="90">
        <f t="shared" si="76"/>
        <v>0</v>
      </c>
      <c r="AF328" s="90">
        <f t="shared" si="76"/>
        <v>0</v>
      </c>
      <c r="AG328" s="90">
        <f>SUM(F328:AF328)</f>
        <v>155758951.53711537</v>
      </c>
      <c r="AH328" s="29" t="str">
        <f>IF(ABS(E328-AG328)&lt;0.01,"ok","err")</f>
        <v>ok</v>
      </c>
    </row>
    <row r="329" spans="1:41" ht="13.5" thickBot="1" x14ac:dyDescent="0.25"/>
    <row r="330" spans="1:41" s="13" customFormat="1" ht="13.5" thickBot="1" x14ac:dyDescent="0.25">
      <c r="A330" s="173" t="s">
        <v>334</v>
      </c>
      <c r="B330" s="174"/>
      <c r="C330" s="174"/>
      <c r="D330" s="174"/>
      <c r="E330" s="268">
        <f>E326/E328</f>
        <v>1.3706769844886101E-2</v>
      </c>
      <c r="F330" s="100">
        <f t="shared" ref="F330:R330" si="77">F326/F328</f>
        <v>-1.2440095151387413E-3</v>
      </c>
      <c r="G330" s="100">
        <f t="shared" si="77"/>
        <v>2.4382327498863939E-2</v>
      </c>
      <c r="H330" s="100">
        <f t="shared" si="77"/>
        <v>0.19905943904458812</v>
      </c>
      <c r="I330" s="100">
        <f t="shared" si="77"/>
        <v>8.1274645192131359E-2</v>
      </c>
      <c r="J330" s="100">
        <f t="shared" si="77"/>
        <v>0.18720646083726714</v>
      </c>
      <c r="K330" s="100">
        <f t="shared" si="77"/>
        <v>3.658929663040339E-2</v>
      </c>
      <c r="L330" s="100">
        <f t="shared" si="77"/>
        <v>2.0647763189507562E-2</v>
      </c>
      <c r="M330" s="100" t="e">
        <f t="shared" si="77"/>
        <v>#DIV/0!</v>
      </c>
      <c r="N330" s="100" t="e">
        <f t="shared" si="77"/>
        <v>#DIV/0!</v>
      </c>
      <c r="O330" s="100" t="e">
        <f t="shared" si="77"/>
        <v>#DIV/0!</v>
      </c>
      <c r="P330" s="100" t="e">
        <f t="shared" si="77"/>
        <v>#DIV/0!</v>
      </c>
      <c r="Q330" s="100" t="e">
        <f>Q326/Q328</f>
        <v>#DIV/0!</v>
      </c>
      <c r="R330" s="100" t="e">
        <f t="shared" si="77"/>
        <v>#DIV/0!</v>
      </c>
      <c r="S330" s="100" t="e">
        <f>S326/S328</f>
        <v>#DIV/0!</v>
      </c>
      <c r="T330" s="100" t="e">
        <f>T326/T328</f>
        <v>#DIV/0!</v>
      </c>
      <c r="U330" s="100" t="e">
        <f t="shared" ref="U330:AG330" si="78">U326/U328</f>
        <v>#DIV/0!</v>
      </c>
      <c r="V330" s="100" t="e">
        <f t="shared" si="78"/>
        <v>#DIV/0!</v>
      </c>
      <c r="W330" s="100" t="e">
        <f t="shared" si="78"/>
        <v>#DIV/0!</v>
      </c>
      <c r="X330" s="100" t="e">
        <f t="shared" si="78"/>
        <v>#DIV/0!</v>
      </c>
      <c r="Y330" s="100" t="e">
        <f t="shared" si="78"/>
        <v>#DIV/0!</v>
      </c>
      <c r="Z330" s="100" t="e">
        <f t="shared" si="78"/>
        <v>#DIV/0!</v>
      </c>
      <c r="AA330" s="100" t="e">
        <f t="shared" si="78"/>
        <v>#DIV/0!</v>
      </c>
      <c r="AB330" s="100" t="e">
        <f t="shared" si="78"/>
        <v>#DIV/0!</v>
      </c>
      <c r="AC330" s="100" t="e">
        <f t="shared" si="78"/>
        <v>#DIV/0!</v>
      </c>
      <c r="AD330" s="100" t="e">
        <f t="shared" si="78"/>
        <v>#DIV/0!</v>
      </c>
      <c r="AE330" s="100" t="e">
        <f t="shared" si="78"/>
        <v>#DIV/0!</v>
      </c>
      <c r="AF330" s="100" t="e">
        <f t="shared" si="78"/>
        <v>#DIV/0!</v>
      </c>
      <c r="AG330" s="100">
        <f t="shared" si="78"/>
        <v>1.3706769855995128E-2</v>
      </c>
      <c r="AH330" s="29" t="str">
        <f>IF(ABS(E330-AG330)&lt;0.01,"ok","err")</f>
        <v>ok</v>
      </c>
      <c r="AJ330" s="14"/>
      <c r="AK330" s="175"/>
    </row>
    <row r="331" spans="1:41" s="13" customFormat="1" x14ac:dyDescent="0.2">
      <c r="A331" s="13" t="s">
        <v>945</v>
      </c>
      <c r="E331" s="269">
        <f>E330/$E$330</f>
        <v>1</v>
      </c>
      <c r="F331" s="176">
        <f t="shared" ref="F331:AF331" si="79">F330/$E$330</f>
        <v>-9.0758765866552613E-2</v>
      </c>
      <c r="G331" s="176">
        <f t="shared" si="79"/>
        <v>1.7788529153687376</v>
      </c>
      <c r="H331" s="176">
        <f t="shared" si="79"/>
        <v>14.522709675383934</v>
      </c>
      <c r="I331" s="176">
        <f t="shared" si="79"/>
        <v>5.9295257826521652</v>
      </c>
      <c r="J331" s="176">
        <f t="shared" si="79"/>
        <v>13.657956101678657</v>
      </c>
      <c r="K331" s="176">
        <f t="shared" si="79"/>
        <v>2.6694324807718717</v>
      </c>
      <c r="L331" s="176">
        <f t="shared" si="79"/>
        <v>1.506391616928703</v>
      </c>
      <c r="M331" s="176" t="e">
        <f t="shared" si="79"/>
        <v>#DIV/0!</v>
      </c>
      <c r="N331" s="176" t="e">
        <f t="shared" si="79"/>
        <v>#DIV/0!</v>
      </c>
      <c r="O331" s="176" t="e">
        <f t="shared" si="79"/>
        <v>#DIV/0!</v>
      </c>
      <c r="P331" s="176" t="e">
        <f t="shared" si="79"/>
        <v>#DIV/0!</v>
      </c>
      <c r="Q331" s="176" t="e">
        <f t="shared" si="79"/>
        <v>#DIV/0!</v>
      </c>
      <c r="R331" s="176" t="e">
        <f t="shared" si="79"/>
        <v>#DIV/0!</v>
      </c>
      <c r="S331" s="176" t="e">
        <f t="shared" si="79"/>
        <v>#DIV/0!</v>
      </c>
      <c r="T331" s="176" t="e">
        <f t="shared" si="79"/>
        <v>#DIV/0!</v>
      </c>
      <c r="U331" s="176" t="e">
        <f t="shared" si="79"/>
        <v>#DIV/0!</v>
      </c>
      <c r="V331" s="176" t="e">
        <f t="shared" si="79"/>
        <v>#DIV/0!</v>
      </c>
      <c r="W331" s="176" t="e">
        <f t="shared" si="79"/>
        <v>#DIV/0!</v>
      </c>
      <c r="X331" s="176" t="e">
        <f t="shared" si="79"/>
        <v>#DIV/0!</v>
      </c>
      <c r="Y331" s="176" t="e">
        <f t="shared" si="79"/>
        <v>#DIV/0!</v>
      </c>
      <c r="Z331" s="176" t="e">
        <f t="shared" si="79"/>
        <v>#DIV/0!</v>
      </c>
      <c r="AA331" s="176" t="e">
        <f t="shared" si="79"/>
        <v>#DIV/0!</v>
      </c>
      <c r="AB331" s="176" t="e">
        <f t="shared" si="79"/>
        <v>#DIV/0!</v>
      </c>
      <c r="AC331" s="176" t="e">
        <f t="shared" si="79"/>
        <v>#DIV/0!</v>
      </c>
      <c r="AD331" s="176" t="e">
        <f t="shared" si="79"/>
        <v>#DIV/0!</v>
      </c>
      <c r="AE331" s="176" t="e">
        <f t="shared" si="79"/>
        <v>#DIV/0!</v>
      </c>
      <c r="AF331" s="176" t="e">
        <f t="shared" si="79"/>
        <v>#DIV/0!</v>
      </c>
      <c r="AG331" s="177"/>
      <c r="AH331" s="29"/>
      <c r="AJ331" s="14"/>
      <c r="AK331" s="175"/>
    </row>
    <row r="334" spans="1:41" x14ac:dyDescent="0.2">
      <c r="A334" s="27" t="s">
        <v>868</v>
      </c>
    </row>
    <row r="336" spans="1:41" x14ac:dyDescent="0.2">
      <c r="A336" s="13" t="s">
        <v>323</v>
      </c>
    </row>
    <row r="338" spans="1:35" x14ac:dyDescent="0.2">
      <c r="A338" s="14" t="s">
        <v>568</v>
      </c>
      <c r="E338" s="256">
        <f t="shared" ref="E338:AF338" si="80">E316</f>
        <v>86139984.650000006</v>
      </c>
      <c r="F338" s="90">
        <f t="shared" si="80"/>
        <v>48736833.491282322</v>
      </c>
      <c r="G338" s="90">
        <f t="shared" si="80"/>
        <v>3934885.9668086246</v>
      </c>
      <c r="H338" s="90">
        <f t="shared" si="80"/>
        <v>8918514.9935818966</v>
      </c>
      <c r="I338" s="90">
        <f t="shared" si="80"/>
        <v>117593.81142867559</v>
      </c>
      <c r="J338" s="90">
        <f t="shared" si="80"/>
        <v>1062840.3534758603</v>
      </c>
      <c r="K338" s="90">
        <f t="shared" si="80"/>
        <v>1490765.5199999998</v>
      </c>
      <c r="L338" s="90">
        <f t="shared" si="80"/>
        <v>145309.66342262918</v>
      </c>
      <c r="M338" s="90">
        <f t="shared" si="80"/>
        <v>21733240.850000001</v>
      </c>
      <c r="N338" s="90">
        <f t="shared" si="80"/>
        <v>0</v>
      </c>
      <c r="O338" s="90">
        <f t="shared" si="80"/>
        <v>0</v>
      </c>
      <c r="P338" s="90">
        <f t="shared" si="80"/>
        <v>0</v>
      </c>
      <c r="Q338" s="90">
        <f t="shared" si="80"/>
        <v>0</v>
      </c>
      <c r="R338" s="90">
        <f t="shared" si="80"/>
        <v>0</v>
      </c>
      <c r="S338" s="90">
        <f t="shared" si="80"/>
        <v>0</v>
      </c>
      <c r="T338" s="90">
        <f t="shared" si="80"/>
        <v>0</v>
      </c>
      <c r="U338" s="90">
        <f t="shared" si="80"/>
        <v>0</v>
      </c>
      <c r="V338" s="90">
        <f t="shared" si="80"/>
        <v>0</v>
      </c>
      <c r="W338" s="90">
        <f t="shared" si="80"/>
        <v>0</v>
      </c>
      <c r="X338" s="90">
        <f t="shared" si="80"/>
        <v>0</v>
      </c>
      <c r="Y338" s="90">
        <f t="shared" si="80"/>
        <v>0</v>
      </c>
      <c r="Z338" s="90">
        <f t="shared" si="80"/>
        <v>0</v>
      </c>
      <c r="AA338" s="90">
        <f t="shared" si="80"/>
        <v>0</v>
      </c>
      <c r="AB338" s="90">
        <f t="shared" si="80"/>
        <v>0</v>
      </c>
      <c r="AC338" s="90">
        <f t="shared" si="80"/>
        <v>0</v>
      </c>
      <c r="AD338" s="90">
        <f t="shared" si="80"/>
        <v>0</v>
      </c>
      <c r="AE338" s="90">
        <f t="shared" si="80"/>
        <v>0</v>
      </c>
      <c r="AF338" s="90">
        <f t="shared" si="80"/>
        <v>0</v>
      </c>
      <c r="AG338" s="90">
        <f>SUM(F338:AF338)</f>
        <v>86139984.650000006</v>
      </c>
      <c r="AH338" s="29" t="str">
        <f>IF(ABS(E338-AG338)&lt;0.01,"ok","err")</f>
        <v>ok</v>
      </c>
    </row>
    <row r="339" spans="1:35" x14ac:dyDescent="0.2">
      <c r="E339" s="256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29"/>
    </row>
    <row r="340" spans="1:35" x14ac:dyDescent="0.2">
      <c r="A340" s="14" t="s">
        <v>569</v>
      </c>
      <c r="E340" s="256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29"/>
    </row>
    <row r="341" spans="1:35" x14ac:dyDescent="0.2">
      <c r="A341" s="14">
        <v>1.01</v>
      </c>
      <c r="B341" s="14" t="s">
        <v>1129</v>
      </c>
      <c r="C341" s="14" t="s">
        <v>1164</v>
      </c>
      <c r="D341" s="14" t="s">
        <v>214</v>
      </c>
      <c r="E341" s="265">
        <v>-5350058.47</v>
      </c>
      <c r="F341" s="254">
        <f t="shared" ref="F341:F344" si="81">IF(VLOOKUP($D341,$C$5:$AU$519,3,)=0,0,(VLOOKUP($D341,$C$5:$AU$519,4,)/VLOOKUP($D341,$C$5:$AU$519,3,))*$E341)</f>
        <v>-1892799.0288216292</v>
      </c>
      <c r="G341" s="254">
        <f t="shared" ref="G341:G344" si="82">IF(VLOOKUP($D341,$C$5:$AU$519,3,)=0,0,(VLOOKUP($D341,$C$5:$AU$519,5,)/VLOOKUP($D341,$C$5:$AU$519,3,))*$E341)</f>
        <v>-147144.91900864945</v>
      </c>
      <c r="H341" s="254">
        <f t="shared" ref="H341:H344" si="83">IF(VLOOKUP($D341,$C$5:$AU$519,3,)=0,0,(VLOOKUP($D341,$C$5:$AU$519,6,)/VLOOKUP($D341,$C$5:$AU$519,3,))*$E341)</f>
        <v>-361892.51329807419</v>
      </c>
      <c r="I341" s="254">
        <f t="shared" ref="I341:I344" si="84">IF(VLOOKUP($D341,$C$5:$AU$519,3,)=0,0,(VLOOKUP($D341,$C$5:$AU$519,7,)/VLOOKUP($D341,$C$5:$AU$519,3,))*$E341)</f>
        <v>-4870.0644327655073</v>
      </c>
      <c r="J341" s="254">
        <f t="shared" ref="J341:J344" si="85">IF(VLOOKUP($D341,$C$5:$AU$519,3,)=0,0,(VLOOKUP($D341,$C$5:$AU$519,8,)/VLOOKUP($D341,$C$5:$AU$519,3,))*$E341)</f>
        <v>-38515.943888954185</v>
      </c>
      <c r="K341" s="254">
        <f t="shared" ref="K341:K344" si="86">IF(VLOOKUP($D341,$C$5:$AU$519,3,)=0,0,(VLOOKUP($D341,$C$5:$AU$519,9,)/VLOOKUP($D341,$C$5:$AU$519,3,))*$E341)</f>
        <v>-54586.087617527279</v>
      </c>
      <c r="L341" s="254">
        <f t="shared" ref="L341:L344" si="87">IF(VLOOKUP($D341,$C$5:$AU$519,3,)=0,0,(VLOOKUP($D341,$C$5:$AU$519,10,)/VLOOKUP($D341,$C$5:$AU$519,3,))*$E341)</f>
        <v>-5663.9575198865887</v>
      </c>
      <c r="M341" s="254">
        <f t="shared" ref="M341:M344" si="88">IF(VLOOKUP($D341,$C$5:$AU$519,3,)=0,0,(VLOOKUP($D341,$C$5:$AU$519,11,)/VLOOKUP($D341,$C$5:$AU$519,3,))*$E341)</f>
        <v>-2844585.9554125136</v>
      </c>
      <c r="N341" s="65">
        <f t="shared" ref="N341:N344" si="89">IF(VLOOKUP($D341,$C$5:$AU$519,3,)=0,0,(VLOOKUP($D341,$C$5:$AU$519,12,)/VLOOKUP($D341,$C$5:$AU$519,3,))*$E341)</f>
        <v>0</v>
      </c>
      <c r="O341" s="65">
        <f t="shared" ref="O341:O344" si="90">IF(VLOOKUP($D341,$C$5:$AU$519,3,)=0,0,(VLOOKUP($D341,$C$5:$AU$519,13,)/VLOOKUP($D341,$C$5:$AU$519,3,))*$E341)</f>
        <v>0</v>
      </c>
      <c r="P341" s="65">
        <f t="shared" ref="P341:P344" si="91">IF(VLOOKUP($D341,$C$5:$AU$519,3,)=0,0,(VLOOKUP($D341,$C$5:$AU$519,14,)/VLOOKUP($D341,$C$5:$AU$519,3,))*$E341)</f>
        <v>0</v>
      </c>
      <c r="Q341" s="65">
        <f t="shared" ref="Q341:Q344" si="92">IF(VLOOKUP($D341,$C$5:$AU$519,3,)=0,0,(VLOOKUP($D341,$C$5:$AU$519,15,)/VLOOKUP($D341,$C$5:$AU$519,3,))*$E341)</f>
        <v>0</v>
      </c>
      <c r="R341" s="65">
        <f t="shared" ref="R341:R344" si="93">IF(VLOOKUP($D341,$C$5:$AU$519,3,)=0,0,(VLOOKUP($D341,$C$5:$AU$519,16,)/VLOOKUP($D341,$C$5:$AU$519,3,))*$E341)</f>
        <v>0</v>
      </c>
      <c r="S341" s="65">
        <f t="shared" ref="S341:S344" si="94">IF(VLOOKUP($D341,$C$5:$AU$519,3,)=0,0,(VLOOKUP($D341,$C$5:$AU$519,17,)/VLOOKUP($D341,$C$5:$AU$519,3,))*$E341)</f>
        <v>0</v>
      </c>
      <c r="T341" s="65">
        <f t="shared" ref="T341:T344" si="95">IF(VLOOKUP($D341,$C$5:$AU$519,3,)=0,0,(VLOOKUP($D341,$C$5:$AU$519,18,)/VLOOKUP($D341,$C$5:$AU$519,3,))*$E341)</f>
        <v>0</v>
      </c>
      <c r="U341" s="65">
        <f t="shared" ref="U341:U344" si="96">IF(VLOOKUP($D341,$C$5:$AU$519,3,)=0,0,(VLOOKUP($D341,$C$5:$AU$519,19,)/VLOOKUP($D341,$C$5:$AU$519,3,))*$E341)</f>
        <v>0</v>
      </c>
      <c r="V341" s="65">
        <f t="shared" ref="V341:V344" si="97">IF(VLOOKUP($D341,$C$5:$AU$519,3,)=0,0,(VLOOKUP($D341,$C$5:$AU$519,20,)/VLOOKUP($D341,$C$5:$AU$519,3,))*$E341)</f>
        <v>0</v>
      </c>
      <c r="W341" s="65">
        <f t="shared" ref="W341:W344" si="98">IF(VLOOKUP($D341,$C$5:$AU$519,3,)=0,0,(VLOOKUP($D341,$C$5:$AU$519,21,)/VLOOKUP($D341,$C$5:$AU$519,3,))*$E341)</f>
        <v>0</v>
      </c>
      <c r="X341" s="65">
        <f t="shared" ref="X341:X344" si="99">IF(VLOOKUP($D341,$C$5:$AU$519,3,)=0,0,(VLOOKUP($D341,$C$5:$AU$519,22,)/VLOOKUP($D341,$C$5:$AU$519,3,))*$E341)</f>
        <v>0</v>
      </c>
      <c r="Y341" s="65">
        <f t="shared" ref="Y341:Y344" si="100">IF(VLOOKUP($D341,$C$5:$AU$519,3,)=0,0,(VLOOKUP($D341,$C$5:$AU$519,23,)/VLOOKUP($D341,$C$5:$AU$519,3,))*$E341)</f>
        <v>0</v>
      </c>
      <c r="Z341" s="65">
        <f t="shared" ref="Z341:Z344" si="101">IF(VLOOKUP($D341,$C$5:$AU$519,3,)=0,0,(VLOOKUP($D341,$C$5:$AU$519,24,)/VLOOKUP($D341,$C$5:$AU$519,3,))*$E341)</f>
        <v>0</v>
      </c>
      <c r="AA341" s="65">
        <f t="shared" ref="AA341:AA344" si="102">IF(VLOOKUP($D341,$C$5:$AU$519,3,)=0,0,(VLOOKUP($D341,$C$5:$AU$519,25,)/VLOOKUP($D341,$C$5:$AU$519,3,))*$E341)</f>
        <v>0</v>
      </c>
      <c r="AB341" s="65">
        <f t="shared" ref="AB341:AB344" si="103">IF(VLOOKUP($D341,$C$5:$AU$519,3,)=0,0,(VLOOKUP($D341,$C$5:$AU$519,26,)/VLOOKUP($D341,$C$5:$AU$519,3,))*$E341)</f>
        <v>0</v>
      </c>
      <c r="AC341" s="65">
        <f t="shared" ref="AC341:AC344" si="104">IF(VLOOKUP($D341,$C$5:$AU$519,3,)=0,0,(VLOOKUP($D341,$C$5:$AU$519,27,)/VLOOKUP($D341,$C$5:$AU$519,3,))*$E341)</f>
        <v>0</v>
      </c>
      <c r="AD341" s="65">
        <f t="shared" ref="AD341:AD344" si="105">IF(VLOOKUP($D341,$C$5:$AU$519,3,)=0,0,(VLOOKUP($D341,$C$5:$AU$519,28,)/VLOOKUP($D341,$C$5:$AU$519,3,))*$E341)</f>
        <v>0</v>
      </c>
      <c r="AE341" s="65">
        <f t="shared" ref="AE341:AE344" si="106">IF(VLOOKUP($D341,$C$5:$AU$519,3,)=0,0,(VLOOKUP($D341,$C$5:$AU$519,29,)/VLOOKUP($D341,$C$5:$AU$519,3,))*$E341)</f>
        <v>0</v>
      </c>
      <c r="AF341" s="65">
        <f t="shared" ref="AF341:AF344" si="107">IF(VLOOKUP($D341,$C$5:$AU$519,3,)=0,0,(VLOOKUP($D341,$C$5:$AU$519,30,)/VLOOKUP($D341,$C$5:$AU$519,3,))*$E341)</f>
        <v>0</v>
      </c>
      <c r="AG341" s="90">
        <f t="shared" ref="AG341" si="108">SUM(F341:AF341)</f>
        <v>-5350058.47</v>
      </c>
      <c r="AH341" s="29" t="str">
        <f t="shared" ref="AH341" si="109">IF(ABS(E341-AG341)&lt;0.01,"ok","err")</f>
        <v>ok</v>
      </c>
    </row>
    <row r="342" spans="1:35" x14ac:dyDescent="0.2">
      <c r="A342" s="14">
        <v>1.02</v>
      </c>
      <c r="B342" s="14" t="s">
        <v>1130</v>
      </c>
      <c r="C342" s="14" t="s">
        <v>1165</v>
      </c>
      <c r="D342" s="14" t="s">
        <v>949</v>
      </c>
      <c r="E342" s="265">
        <v>-3236541.4</v>
      </c>
      <c r="F342" s="254">
        <f t="shared" si="81"/>
        <v>-2452050.5754420822</v>
      </c>
      <c r="G342" s="254">
        <f t="shared" si="82"/>
        <v>-217925.41433165126</v>
      </c>
      <c r="H342" s="254">
        <f t="shared" si="83"/>
        <v>-446775.09060252662</v>
      </c>
      <c r="I342" s="254">
        <f t="shared" si="84"/>
        <v>-6310.3414096700317</v>
      </c>
      <c r="J342" s="254">
        <f t="shared" si="85"/>
        <v>-64280.202335543327</v>
      </c>
      <c r="K342" s="254">
        <f t="shared" si="86"/>
        <v>-44590.620876912006</v>
      </c>
      <c r="L342" s="254">
        <f t="shared" si="87"/>
        <v>-4609.1550016142382</v>
      </c>
      <c r="M342" s="254">
        <f t="shared" si="88"/>
        <v>0</v>
      </c>
      <c r="N342" s="65">
        <f t="shared" si="89"/>
        <v>0</v>
      </c>
      <c r="O342" s="65">
        <f t="shared" si="90"/>
        <v>0</v>
      </c>
      <c r="P342" s="65">
        <f t="shared" si="91"/>
        <v>0</v>
      </c>
      <c r="Q342" s="65">
        <f t="shared" si="92"/>
        <v>0</v>
      </c>
      <c r="R342" s="65">
        <f t="shared" si="93"/>
        <v>0</v>
      </c>
      <c r="S342" s="65">
        <f t="shared" si="94"/>
        <v>0</v>
      </c>
      <c r="T342" s="65">
        <f t="shared" si="95"/>
        <v>0</v>
      </c>
      <c r="U342" s="65">
        <f t="shared" si="96"/>
        <v>0</v>
      </c>
      <c r="V342" s="65">
        <f t="shared" si="97"/>
        <v>0</v>
      </c>
      <c r="W342" s="65">
        <f t="shared" si="98"/>
        <v>0</v>
      </c>
      <c r="X342" s="65">
        <f t="shared" si="99"/>
        <v>0</v>
      </c>
      <c r="Y342" s="65">
        <f t="shared" si="100"/>
        <v>0</v>
      </c>
      <c r="Z342" s="65">
        <f t="shared" si="101"/>
        <v>0</v>
      </c>
      <c r="AA342" s="65">
        <f t="shared" si="102"/>
        <v>0</v>
      </c>
      <c r="AB342" s="65">
        <f t="shared" si="103"/>
        <v>0</v>
      </c>
      <c r="AC342" s="65">
        <f t="shared" si="104"/>
        <v>0</v>
      </c>
      <c r="AD342" s="65">
        <f t="shared" si="105"/>
        <v>0</v>
      </c>
      <c r="AE342" s="65">
        <f t="shared" si="106"/>
        <v>0</v>
      </c>
      <c r="AF342" s="65">
        <f t="shared" si="107"/>
        <v>0</v>
      </c>
      <c r="AG342" s="90">
        <f t="shared" ref="AG342:AG344" si="110">SUM(F342:AF342)</f>
        <v>-3236541.4</v>
      </c>
      <c r="AH342" s="29" t="str">
        <f t="shared" ref="AH342:AH344" si="111">IF(ABS(E342-AG342)&lt;0.01,"ok","err")</f>
        <v>ok</v>
      </c>
    </row>
    <row r="343" spans="1:35" x14ac:dyDescent="0.2">
      <c r="A343" s="14">
        <v>1.03</v>
      </c>
      <c r="B343" s="14" t="s">
        <v>1131</v>
      </c>
      <c r="C343" s="14" t="s">
        <v>1166</v>
      </c>
      <c r="D343" s="14" t="s">
        <v>214</v>
      </c>
      <c r="E343" s="265">
        <v>1668084.41</v>
      </c>
      <c r="F343" s="254">
        <f t="shared" si="81"/>
        <v>590152.1579521168</v>
      </c>
      <c r="G343" s="254">
        <f t="shared" si="82"/>
        <v>45878.030452448649</v>
      </c>
      <c r="H343" s="254">
        <f t="shared" si="83"/>
        <v>112833.76862388483</v>
      </c>
      <c r="I343" s="254">
        <f t="shared" si="84"/>
        <v>1518.4279950479936</v>
      </c>
      <c r="J343" s="254">
        <f t="shared" si="85"/>
        <v>12008.811847172065</v>
      </c>
      <c r="K343" s="254">
        <f t="shared" si="86"/>
        <v>17019.290960700717</v>
      </c>
      <c r="L343" s="254">
        <f t="shared" si="87"/>
        <v>1765.9543892470924</v>
      </c>
      <c r="M343" s="254">
        <f t="shared" si="88"/>
        <v>886907.9677793819</v>
      </c>
      <c r="N343" s="65">
        <f t="shared" si="89"/>
        <v>0</v>
      </c>
      <c r="O343" s="65">
        <f t="shared" si="90"/>
        <v>0</v>
      </c>
      <c r="P343" s="65">
        <f t="shared" si="91"/>
        <v>0</v>
      </c>
      <c r="Q343" s="65">
        <f t="shared" si="92"/>
        <v>0</v>
      </c>
      <c r="R343" s="65">
        <f t="shared" si="93"/>
        <v>0</v>
      </c>
      <c r="S343" s="65">
        <f t="shared" si="94"/>
        <v>0</v>
      </c>
      <c r="T343" s="65">
        <f t="shared" si="95"/>
        <v>0</v>
      </c>
      <c r="U343" s="65">
        <f t="shared" si="96"/>
        <v>0</v>
      </c>
      <c r="V343" s="65">
        <f t="shared" si="97"/>
        <v>0</v>
      </c>
      <c r="W343" s="65">
        <f t="shared" si="98"/>
        <v>0</v>
      </c>
      <c r="X343" s="65">
        <f t="shared" si="99"/>
        <v>0</v>
      </c>
      <c r="Y343" s="65">
        <f t="shared" si="100"/>
        <v>0</v>
      </c>
      <c r="Z343" s="65">
        <f t="shared" si="101"/>
        <v>0</v>
      </c>
      <c r="AA343" s="65">
        <f t="shared" si="102"/>
        <v>0</v>
      </c>
      <c r="AB343" s="65">
        <f t="shared" si="103"/>
        <v>0</v>
      </c>
      <c r="AC343" s="65">
        <f t="shared" si="104"/>
        <v>0</v>
      </c>
      <c r="AD343" s="65">
        <f t="shared" si="105"/>
        <v>0</v>
      </c>
      <c r="AE343" s="65">
        <f t="shared" si="106"/>
        <v>0</v>
      </c>
      <c r="AF343" s="65">
        <f t="shared" si="107"/>
        <v>0</v>
      </c>
      <c r="AG343" s="90">
        <f t="shared" si="110"/>
        <v>1668084.4100000001</v>
      </c>
      <c r="AH343" s="29" t="str">
        <f t="shared" si="111"/>
        <v>ok</v>
      </c>
    </row>
    <row r="344" spans="1:35" x14ac:dyDescent="0.2">
      <c r="A344" s="14">
        <v>1.04</v>
      </c>
      <c r="B344" s="14" t="s">
        <v>1132</v>
      </c>
      <c r="C344" s="14" t="s">
        <v>1167</v>
      </c>
      <c r="D344" s="14" t="s">
        <v>214</v>
      </c>
      <c r="E344" s="265">
        <v>-3173128.14</v>
      </c>
      <c r="F344" s="254">
        <f t="shared" si="81"/>
        <v>-1122622.0975709418</v>
      </c>
      <c r="G344" s="254">
        <f t="shared" si="82"/>
        <v>-87271.884182672598</v>
      </c>
      <c r="H344" s="254">
        <f t="shared" si="83"/>
        <v>-214639.02199211734</v>
      </c>
      <c r="I344" s="254">
        <f t="shared" si="84"/>
        <v>-2888.442917376447</v>
      </c>
      <c r="J344" s="254">
        <f t="shared" si="85"/>
        <v>-22843.867235847531</v>
      </c>
      <c r="K344" s="254">
        <f t="shared" si="86"/>
        <v>-32375.094897174346</v>
      </c>
      <c r="L344" s="254">
        <f t="shared" si="87"/>
        <v>-3359.3021629381828</v>
      </c>
      <c r="M344" s="254">
        <f t="shared" si="88"/>
        <v>-1687128.4290409321</v>
      </c>
      <c r="N344" s="65">
        <f t="shared" si="89"/>
        <v>0</v>
      </c>
      <c r="O344" s="65">
        <f t="shared" si="90"/>
        <v>0</v>
      </c>
      <c r="P344" s="65">
        <f t="shared" si="91"/>
        <v>0</v>
      </c>
      <c r="Q344" s="65">
        <f t="shared" si="92"/>
        <v>0</v>
      </c>
      <c r="R344" s="65">
        <f t="shared" si="93"/>
        <v>0</v>
      </c>
      <c r="S344" s="65">
        <f t="shared" si="94"/>
        <v>0</v>
      </c>
      <c r="T344" s="65">
        <f t="shared" si="95"/>
        <v>0</v>
      </c>
      <c r="U344" s="65">
        <f t="shared" si="96"/>
        <v>0</v>
      </c>
      <c r="V344" s="65">
        <f t="shared" si="97"/>
        <v>0</v>
      </c>
      <c r="W344" s="65">
        <f t="shared" si="98"/>
        <v>0</v>
      </c>
      <c r="X344" s="65">
        <f t="shared" si="99"/>
        <v>0</v>
      </c>
      <c r="Y344" s="65">
        <f t="shared" si="100"/>
        <v>0</v>
      </c>
      <c r="Z344" s="65">
        <f t="shared" si="101"/>
        <v>0</v>
      </c>
      <c r="AA344" s="65">
        <f t="shared" si="102"/>
        <v>0</v>
      </c>
      <c r="AB344" s="65">
        <f t="shared" si="103"/>
        <v>0</v>
      </c>
      <c r="AC344" s="65">
        <f t="shared" si="104"/>
        <v>0</v>
      </c>
      <c r="AD344" s="65">
        <f t="shared" si="105"/>
        <v>0</v>
      </c>
      <c r="AE344" s="65">
        <f t="shared" si="106"/>
        <v>0</v>
      </c>
      <c r="AF344" s="65">
        <f t="shared" si="107"/>
        <v>0</v>
      </c>
      <c r="AG344" s="90">
        <f t="shared" si="110"/>
        <v>-3173128.1400000006</v>
      </c>
      <c r="AH344" s="29" t="str">
        <f t="shared" si="111"/>
        <v>ok</v>
      </c>
    </row>
    <row r="345" spans="1:35" x14ac:dyDescent="0.2">
      <c r="A345" s="14">
        <v>1.06</v>
      </c>
      <c r="B345" s="14" t="s">
        <v>1133</v>
      </c>
      <c r="E345" s="265">
        <v>346958.26</v>
      </c>
      <c r="F345" s="254">
        <v>248480.27574839012</v>
      </c>
      <c r="G345" s="254">
        <v>-20682.290289375662</v>
      </c>
      <c r="H345" s="254">
        <v>37111.013084537321</v>
      </c>
      <c r="I345" s="254">
        <v>82049.264109272786</v>
      </c>
      <c r="J345" s="254">
        <v>0</v>
      </c>
      <c r="K345" s="254">
        <v>0</v>
      </c>
      <c r="L345" s="254">
        <v>0</v>
      </c>
      <c r="M345" s="254">
        <v>0</v>
      </c>
      <c r="N345" s="65">
        <v>0</v>
      </c>
      <c r="O345" s="65">
        <v>0</v>
      </c>
      <c r="P345" s="65">
        <v>0</v>
      </c>
      <c r="Q345" s="65">
        <v>0</v>
      </c>
      <c r="R345" s="65">
        <v>0</v>
      </c>
      <c r="S345" s="65">
        <v>0</v>
      </c>
      <c r="T345" s="65">
        <v>0</v>
      </c>
      <c r="U345" s="65">
        <v>0</v>
      </c>
      <c r="V345" s="65">
        <v>0</v>
      </c>
      <c r="W345" s="65">
        <v>0</v>
      </c>
      <c r="X345" s="65">
        <v>0</v>
      </c>
      <c r="Y345" s="65">
        <v>0</v>
      </c>
      <c r="Z345" s="65">
        <v>0</v>
      </c>
      <c r="AA345" s="65">
        <v>0</v>
      </c>
      <c r="AB345" s="65">
        <v>0</v>
      </c>
      <c r="AC345" s="65">
        <v>0</v>
      </c>
      <c r="AD345" s="65">
        <v>0</v>
      </c>
      <c r="AE345" s="65">
        <v>0</v>
      </c>
      <c r="AF345" s="65">
        <v>0</v>
      </c>
      <c r="AG345" s="90">
        <f t="shared" ref="AG344:AG345" si="112">SUM(F345:AF345)</f>
        <v>346958.26265282457</v>
      </c>
      <c r="AH345" s="29" t="str">
        <f t="shared" ref="AH343:AH349" si="113">IF(ABS(E345-AG345)&lt;0.01,"ok","err")</f>
        <v>ok</v>
      </c>
    </row>
    <row r="346" spans="1:35" hidden="1" x14ac:dyDescent="0.2">
      <c r="A346" s="14">
        <v>6</v>
      </c>
      <c r="B346" s="14" t="s">
        <v>1026</v>
      </c>
      <c r="D346" s="14" t="s">
        <v>561</v>
      </c>
      <c r="E346" s="265">
        <v>0</v>
      </c>
      <c r="F346" s="254">
        <f>IF(VLOOKUP($D346,$C$5:$AU$519,3,)=0,0,(VLOOKUP($D346,$C$5:$AU$519,4,)/VLOOKUP($D346,$C$5:$AU$519,3,))*$E346)</f>
        <v>0</v>
      </c>
      <c r="G346" s="254">
        <f>IF(VLOOKUP($D346,$C$5:$AU$519,3,)=0,0,(VLOOKUP($D346,$C$5:$AU$519,5,)/VLOOKUP($D346,$C$5:$AU$519,3,))*$E346)</f>
        <v>0</v>
      </c>
      <c r="H346" s="254">
        <f>IF(VLOOKUP($D346,$C$5:$AU$519,3,)=0,0,(VLOOKUP($D346,$C$5:$AU$519,6,)/VLOOKUP($D346,$C$5:$AU$519,3,))*$E346)</f>
        <v>0</v>
      </c>
      <c r="I346" s="254">
        <f>IF(VLOOKUP($D346,$C$5:$AU$519,3,)=0,0,(VLOOKUP($D346,$C$5:$AU$519,7,)/VLOOKUP($D346,$C$5:$AU$519,3,))*$E346)</f>
        <v>0</v>
      </c>
      <c r="J346" s="254">
        <f>IF(VLOOKUP($D346,$C$5:$AU$519,3,)=0,0,(VLOOKUP($D346,$C$5:$AU$519,8,)/VLOOKUP($D346,$C$5:$AU$519,3,))*$E346)</f>
        <v>0</v>
      </c>
      <c r="K346" s="254">
        <f>IF(VLOOKUP($D346,$C$5:$AU$519,3,)=0,0,(VLOOKUP($D346,$C$5:$AU$519,9,)/VLOOKUP($D346,$C$5:$AU$519,3,))*$E346)</f>
        <v>0</v>
      </c>
      <c r="L346" s="254">
        <f>IF(VLOOKUP($D346,$C$5:$AU$519,3,)=0,0,(VLOOKUP($D346,$C$5:$AU$519,10,)/VLOOKUP($D346,$C$5:$AU$519,3,))*$E346)</f>
        <v>0</v>
      </c>
      <c r="M346" s="254">
        <f>IF(VLOOKUP($D346,$C$5:$AU$519,3,)=0,0,(VLOOKUP($D346,$C$5:$AU$519,11,)/VLOOKUP($D346,$C$5:$AU$519,3,))*$E346)</f>
        <v>0</v>
      </c>
      <c r="N346" s="65">
        <f>IF(VLOOKUP($D346,$C$5:$AU$519,3,)=0,0,(VLOOKUP($D346,$C$5:$AU$519,12,)/VLOOKUP($D346,$C$5:$AU$519,3,))*$E346)</f>
        <v>0</v>
      </c>
      <c r="O346" s="65">
        <f>IF(VLOOKUP($D346,$C$5:$AU$519,3,)=0,0,(VLOOKUP($D346,$C$5:$AU$519,13,)/VLOOKUP($D346,$C$5:$AU$519,3,))*$E346)</f>
        <v>0</v>
      </c>
      <c r="P346" s="65">
        <f>IF(VLOOKUP($D346,$C$5:$AU$519,3,)=0,0,(VLOOKUP($D346,$C$5:$AU$519,14,)/VLOOKUP($D346,$C$5:$AU$519,3,))*$E346)</f>
        <v>0</v>
      </c>
      <c r="Q346" s="65">
        <f>IF(VLOOKUP($D346,$C$5:$AU$519,3,)=0,0,(VLOOKUP($D346,$C$5:$AU$519,15,)/VLOOKUP($D346,$C$5:$AU$519,3,))*$E346)</f>
        <v>0</v>
      </c>
      <c r="R346" s="65">
        <f>IF(VLOOKUP($D346,$C$5:$AU$519,3,)=0,0,(VLOOKUP($D346,$C$5:$AU$519,16,)/VLOOKUP($D346,$C$5:$AU$519,3,))*$E346)</f>
        <v>0</v>
      </c>
      <c r="S346" s="65">
        <f>IF(VLOOKUP($D346,$C$5:$AU$519,3,)=0,0,(VLOOKUP($D346,$C$5:$AU$519,17,)/VLOOKUP($D346,$C$5:$AU$519,3,))*$E346)</f>
        <v>0</v>
      </c>
      <c r="T346" s="65">
        <f>IF(VLOOKUP($D346,$C$5:$AU$519,3,)=0,0,(VLOOKUP($D346,$C$5:$AU$519,18,)/VLOOKUP($D346,$C$5:$AU$519,3,))*$E346)</f>
        <v>0</v>
      </c>
      <c r="U346" s="65">
        <f>IF(VLOOKUP($D346,$C$5:$AU$519,3,)=0,0,(VLOOKUP($D346,$C$5:$AU$519,19,)/VLOOKUP($D346,$C$5:$AU$519,3,))*$E346)</f>
        <v>0</v>
      </c>
      <c r="V346" s="65">
        <f>IF(VLOOKUP($D346,$C$5:$AU$519,3,)=0,0,(VLOOKUP($D346,$C$5:$AU$519,20,)/VLOOKUP($D346,$C$5:$AU$519,3,))*$E346)</f>
        <v>0</v>
      </c>
      <c r="W346" s="65">
        <f>IF(VLOOKUP($D346,$C$5:$AU$519,3,)=0,0,(VLOOKUP($D346,$C$5:$AU$519,21,)/VLOOKUP($D346,$C$5:$AU$519,3,))*$E346)</f>
        <v>0</v>
      </c>
      <c r="X346" s="65">
        <f>IF(VLOOKUP($D346,$C$5:$AU$519,3,)=0,0,(VLOOKUP($D346,$C$5:$AU$519,22,)/VLOOKUP($D346,$C$5:$AU$519,3,))*$E346)</f>
        <v>0</v>
      </c>
      <c r="Y346" s="65">
        <f>IF(VLOOKUP($D346,$C$5:$AU$519,3,)=0,0,(VLOOKUP($D346,$C$5:$AU$519,23,)/VLOOKUP($D346,$C$5:$AU$519,3,))*$E346)</f>
        <v>0</v>
      </c>
      <c r="Z346" s="65">
        <f>IF(VLOOKUP($D346,$C$5:$AU$519,3,)=0,0,(VLOOKUP($D346,$C$5:$AU$519,24,)/VLOOKUP($D346,$C$5:$AU$519,3,))*$E346)</f>
        <v>0</v>
      </c>
      <c r="AA346" s="65">
        <f>IF(VLOOKUP($D346,$C$5:$AU$519,3,)=0,0,(VLOOKUP($D346,$C$5:$AU$519,25,)/VLOOKUP($D346,$C$5:$AU$519,3,))*$E346)</f>
        <v>0</v>
      </c>
      <c r="AB346" s="65">
        <f>IF(VLOOKUP($D346,$C$5:$AU$519,3,)=0,0,(VLOOKUP($D346,$C$5:$AU$519,26,)/VLOOKUP($D346,$C$5:$AU$519,3,))*$E346)</f>
        <v>0</v>
      </c>
      <c r="AC346" s="65">
        <f>IF(VLOOKUP($D346,$C$5:$AU$519,3,)=0,0,(VLOOKUP($D346,$C$5:$AU$519,27,)/VLOOKUP($D346,$C$5:$AU$519,3,))*$E346)</f>
        <v>0</v>
      </c>
      <c r="AD346" s="65">
        <f>IF(VLOOKUP($D346,$C$5:$AU$519,3,)=0,0,(VLOOKUP($D346,$C$5:$AU$519,28,)/VLOOKUP($D346,$C$5:$AU$519,3,))*$E346)</f>
        <v>0</v>
      </c>
      <c r="AE346" s="65">
        <f>IF(VLOOKUP($D346,$C$5:$AU$519,3,)=0,0,(VLOOKUP($D346,$C$5:$AU$519,29,)/VLOOKUP($D346,$C$5:$AU$519,3,))*$E346)</f>
        <v>0</v>
      </c>
      <c r="AF346" s="65">
        <f>IF(VLOOKUP($D346,$C$5:$AU$519,3,)=0,0,(VLOOKUP($D346,$C$5:$AU$519,30,)/VLOOKUP($D346,$C$5:$AU$519,3,))*$E346)</f>
        <v>0</v>
      </c>
      <c r="AG346" s="90">
        <f t="shared" ref="AG346:AG348" si="114">SUM(F346:AF346)</f>
        <v>0</v>
      </c>
      <c r="AH346" s="29" t="str">
        <f t="shared" si="113"/>
        <v>ok</v>
      </c>
    </row>
    <row r="347" spans="1:35" hidden="1" x14ac:dyDescent="0.2">
      <c r="A347" s="14">
        <v>7</v>
      </c>
      <c r="B347" s="14" t="s">
        <v>1026</v>
      </c>
      <c r="D347" s="14" t="s">
        <v>561</v>
      </c>
      <c r="E347" s="265">
        <v>0</v>
      </c>
      <c r="F347" s="254">
        <f>IF(VLOOKUP($D347,$C$5:$AU$519,3,)=0,0,(VLOOKUP($D347,$C$5:$AU$519,4,)/VLOOKUP($D347,$C$5:$AU$519,3,))*$E347)</f>
        <v>0</v>
      </c>
      <c r="G347" s="254">
        <f>IF(VLOOKUP($D347,$C$5:$AU$519,3,)=0,0,(VLOOKUP($D347,$C$5:$AU$519,5,)/VLOOKUP($D347,$C$5:$AU$519,3,))*$E347)</f>
        <v>0</v>
      </c>
      <c r="H347" s="254">
        <f>IF(VLOOKUP($D347,$C$5:$AU$519,3,)=0,0,(VLOOKUP($D347,$C$5:$AU$519,6,)/VLOOKUP($D347,$C$5:$AU$519,3,))*$E347)</f>
        <v>0</v>
      </c>
      <c r="I347" s="254">
        <f>IF(VLOOKUP($D347,$C$5:$AU$519,3,)=0,0,(VLOOKUP($D347,$C$5:$AU$519,7,)/VLOOKUP($D347,$C$5:$AU$519,3,))*$E347)</f>
        <v>0</v>
      </c>
      <c r="J347" s="254">
        <f>IF(VLOOKUP($D347,$C$5:$AU$519,3,)=0,0,(VLOOKUP($D347,$C$5:$AU$519,8,)/VLOOKUP($D347,$C$5:$AU$519,3,))*$E347)</f>
        <v>0</v>
      </c>
      <c r="K347" s="254">
        <f>IF(VLOOKUP($D347,$C$5:$AU$519,3,)=0,0,(VLOOKUP($D347,$C$5:$AU$519,9,)/VLOOKUP($D347,$C$5:$AU$519,3,))*$E347)</f>
        <v>0</v>
      </c>
      <c r="L347" s="254">
        <f>IF(VLOOKUP($D347,$C$5:$AU$519,3,)=0,0,(VLOOKUP($D347,$C$5:$AU$519,10,)/VLOOKUP($D347,$C$5:$AU$519,3,))*$E347)</f>
        <v>0</v>
      </c>
      <c r="M347" s="254">
        <f>IF(VLOOKUP($D347,$C$5:$AU$519,3,)=0,0,(VLOOKUP($D347,$C$5:$AU$519,11,)/VLOOKUP($D347,$C$5:$AU$519,3,))*$E347)</f>
        <v>0</v>
      </c>
      <c r="N347" s="65">
        <f>IF(VLOOKUP($D347,$C$5:$AU$519,3,)=0,0,(VLOOKUP($D347,$C$5:$AU$519,12,)/VLOOKUP($D347,$C$5:$AU$519,3,))*$E347)</f>
        <v>0</v>
      </c>
      <c r="O347" s="65">
        <f>IF(VLOOKUP($D347,$C$5:$AU$519,3,)=0,0,(VLOOKUP($D347,$C$5:$AU$519,13,)/VLOOKUP($D347,$C$5:$AU$519,3,))*$E347)</f>
        <v>0</v>
      </c>
      <c r="P347" s="65">
        <f>IF(VLOOKUP($D347,$C$5:$AU$519,3,)=0,0,(VLOOKUP($D347,$C$5:$AU$519,14,)/VLOOKUP($D347,$C$5:$AU$519,3,))*$E347)</f>
        <v>0</v>
      </c>
      <c r="Q347" s="65">
        <f>IF(VLOOKUP($D347,$C$5:$AU$519,3,)=0,0,(VLOOKUP($D347,$C$5:$AU$519,15,)/VLOOKUP($D347,$C$5:$AU$519,3,))*$E347)</f>
        <v>0</v>
      </c>
      <c r="R347" s="65">
        <f>IF(VLOOKUP($D347,$C$5:$AU$519,3,)=0,0,(VLOOKUP($D347,$C$5:$AU$519,16,)/VLOOKUP($D347,$C$5:$AU$519,3,))*$E347)</f>
        <v>0</v>
      </c>
      <c r="S347" s="65">
        <f>IF(VLOOKUP($D347,$C$5:$AU$519,3,)=0,0,(VLOOKUP($D347,$C$5:$AU$519,17,)/VLOOKUP($D347,$C$5:$AU$519,3,))*$E347)</f>
        <v>0</v>
      </c>
      <c r="T347" s="65">
        <f>IF(VLOOKUP($D347,$C$5:$AU$519,3,)=0,0,(VLOOKUP($D347,$C$5:$AU$519,18,)/VLOOKUP($D347,$C$5:$AU$519,3,))*$E347)</f>
        <v>0</v>
      </c>
      <c r="U347" s="65">
        <f>IF(VLOOKUP($D347,$C$5:$AU$519,3,)=0,0,(VLOOKUP($D347,$C$5:$AU$519,19,)/VLOOKUP($D347,$C$5:$AU$519,3,))*$E347)</f>
        <v>0</v>
      </c>
      <c r="V347" s="65">
        <f>IF(VLOOKUP($D347,$C$5:$AU$519,3,)=0,0,(VLOOKUP($D347,$C$5:$AU$519,20,)/VLOOKUP($D347,$C$5:$AU$519,3,))*$E347)</f>
        <v>0</v>
      </c>
      <c r="W347" s="65">
        <f>IF(VLOOKUP($D347,$C$5:$AU$519,3,)=0,0,(VLOOKUP($D347,$C$5:$AU$519,21,)/VLOOKUP($D347,$C$5:$AU$519,3,))*$E347)</f>
        <v>0</v>
      </c>
      <c r="X347" s="65">
        <f>IF(VLOOKUP($D347,$C$5:$AU$519,3,)=0,0,(VLOOKUP($D347,$C$5:$AU$519,22,)/VLOOKUP($D347,$C$5:$AU$519,3,))*$E347)</f>
        <v>0</v>
      </c>
      <c r="Y347" s="65">
        <f>IF(VLOOKUP($D347,$C$5:$AU$519,3,)=0,0,(VLOOKUP($D347,$C$5:$AU$519,23,)/VLOOKUP($D347,$C$5:$AU$519,3,))*$E347)</f>
        <v>0</v>
      </c>
      <c r="Z347" s="65">
        <f>IF(VLOOKUP($D347,$C$5:$AU$519,3,)=0,0,(VLOOKUP($D347,$C$5:$AU$519,24,)/VLOOKUP($D347,$C$5:$AU$519,3,))*$E347)</f>
        <v>0</v>
      </c>
      <c r="AA347" s="65">
        <f>IF(VLOOKUP($D347,$C$5:$AU$519,3,)=0,0,(VLOOKUP($D347,$C$5:$AU$519,25,)/VLOOKUP($D347,$C$5:$AU$519,3,))*$E347)</f>
        <v>0</v>
      </c>
      <c r="AB347" s="65">
        <f>IF(VLOOKUP($D347,$C$5:$AU$519,3,)=0,0,(VLOOKUP($D347,$C$5:$AU$519,26,)/VLOOKUP($D347,$C$5:$AU$519,3,))*$E347)</f>
        <v>0</v>
      </c>
      <c r="AC347" s="65">
        <f>IF(VLOOKUP($D347,$C$5:$AU$519,3,)=0,0,(VLOOKUP($D347,$C$5:$AU$519,27,)/VLOOKUP($D347,$C$5:$AU$519,3,))*$E347)</f>
        <v>0</v>
      </c>
      <c r="AD347" s="65">
        <f>IF(VLOOKUP($D347,$C$5:$AU$519,3,)=0,0,(VLOOKUP($D347,$C$5:$AU$519,28,)/VLOOKUP($D347,$C$5:$AU$519,3,))*$E347)</f>
        <v>0</v>
      </c>
      <c r="AE347" s="65">
        <f>IF(VLOOKUP($D347,$C$5:$AU$519,3,)=0,0,(VLOOKUP($D347,$C$5:$AU$519,29,)/VLOOKUP($D347,$C$5:$AU$519,3,))*$E347)</f>
        <v>0</v>
      </c>
      <c r="AF347" s="65">
        <f>IF(VLOOKUP($D347,$C$5:$AU$519,3,)=0,0,(VLOOKUP($D347,$C$5:$AU$519,30,)/VLOOKUP($D347,$C$5:$AU$519,3,))*$E347)</f>
        <v>0</v>
      </c>
      <c r="AG347" s="90">
        <f t="shared" si="114"/>
        <v>0</v>
      </c>
      <c r="AH347" s="29" t="str">
        <f t="shared" si="113"/>
        <v>ok</v>
      </c>
    </row>
    <row r="348" spans="1:35" hidden="1" x14ac:dyDescent="0.2">
      <c r="A348" s="14">
        <v>8</v>
      </c>
      <c r="B348" s="14" t="s">
        <v>1161</v>
      </c>
      <c r="E348" s="270">
        <f>1750780*AI348</f>
        <v>0</v>
      </c>
      <c r="F348" s="229">
        <f>E348</f>
        <v>0</v>
      </c>
      <c r="G348" s="190">
        <v>0</v>
      </c>
      <c r="H348" s="190">
        <v>0</v>
      </c>
      <c r="I348" s="190">
        <v>0</v>
      </c>
      <c r="J348" s="65">
        <v>0</v>
      </c>
      <c r="K348" s="65">
        <v>0</v>
      </c>
      <c r="L348" s="65">
        <v>0</v>
      </c>
      <c r="M348" s="65">
        <v>0</v>
      </c>
      <c r="N348" s="65">
        <v>0</v>
      </c>
      <c r="O348" s="65">
        <v>0</v>
      </c>
      <c r="P348" s="65">
        <v>0</v>
      </c>
      <c r="Q348" s="65">
        <v>0</v>
      </c>
      <c r="R348" s="65">
        <v>0</v>
      </c>
      <c r="S348" s="65">
        <v>0</v>
      </c>
      <c r="T348" s="65">
        <v>0</v>
      </c>
      <c r="U348" s="65">
        <v>0</v>
      </c>
      <c r="V348" s="65">
        <v>0</v>
      </c>
      <c r="W348" s="65">
        <v>0</v>
      </c>
      <c r="X348" s="65">
        <v>0</v>
      </c>
      <c r="Y348" s="65">
        <v>0</v>
      </c>
      <c r="Z348" s="65">
        <v>0</v>
      </c>
      <c r="AA348" s="65">
        <v>0</v>
      </c>
      <c r="AB348" s="65">
        <v>0</v>
      </c>
      <c r="AC348" s="65">
        <v>0</v>
      </c>
      <c r="AD348" s="65">
        <v>0</v>
      </c>
      <c r="AE348" s="65">
        <v>0</v>
      </c>
      <c r="AF348" s="65">
        <v>0</v>
      </c>
      <c r="AG348" s="90">
        <f t="shared" si="114"/>
        <v>0</v>
      </c>
      <c r="AH348" s="29" t="str">
        <f t="shared" ref="AH348" si="115">IF(ABS(E348-AG348)&lt;0.01,"ok","err")</f>
        <v>ok</v>
      </c>
      <c r="AI348" s="14">
        <v>0</v>
      </c>
    </row>
    <row r="349" spans="1:35" x14ac:dyDescent="0.2">
      <c r="B349" s="26" t="s">
        <v>903</v>
      </c>
      <c r="E349" s="271">
        <f t="shared" ref="E349:AG349" si="116">SUM(E341:E348)</f>
        <v>-9744685.3399999999</v>
      </c>
      <c r="F349" s="101">
        <f t="shared" si="116"/>
        <v>-4628839.2681341469</v>
      </c>
      <c r="G349" s="101">
        <f t="shared" si="116"/>
        <v>-427146.47735990031</v>
      </c>
      <c r="H349" s="101">
        <f t="shared" si="116"/>
        <v>-873361.84418429597</v>
      </c>
      <c r="I349" s="101">
        <f t="shared" si="116"/>
        <v>69498.843344508787</v>
      </c>
      <c r="J349" s="101">
        <f t="shared" si="116"/>
        <v>-113631.20161317298</v>
      </c>
      <c r="K349" s="101">
        <f t="shared" si="116"/>
        <v>-114532.51243091292</v>
      </c>
      <c r="L349" s="101">
        <f t="shared" si="116"/>
        <v>-11866.460295191919</v>
      </c>
      <c r="M349" s="101">
        <f t="shared" si="116"/>
        <v>-3644806.4166740635</v>
      </c>
      <c r="N349" s="101">
        <f t="shared" si="116"/>
        <v>0</v>
      </c>
      <c r="O349" s="101">
        <f t="shared" si="116"/>
        <v>0</v>
      </c>
      <c r="P349" s="101">
        <f t="shared" si="116"/>
        <v>0</v>
      </c>
      <c r="Q349" s="101">
        <f t="shared" si="116"/>
        <v>0</v>
      </c>
      <c r="R349" s="101">
        <f t="shared" si="116"/>
        <v>0</v>
      </c>
      <c r="S349" s="101">
        <f t="shared" si="116"/>
        <v>0</v>
      </c>
      <c r="T349" s="101">
        <f t="shared" si="116"/>
        <v>0</v>
      </c>
      <c r="U349" s="101">
        <f t="shared" si="116"/>
        <v>0</v>
      </c>
      <c r="V349" s="101">
        <f t="shared" si="116"/>
        <v>0</v>
      </c>
      <c r="W349" s="101">
        <f t="shared" si="116"/>
        <v>0</v>
      </c>
      <c r="X349" s="101">
        <f t="shared" si="116"/>
        <v>0</v>
      </c>
      <c r="Y349" s="101">
        <f t="shared" si="116"/>
        <v>0</v>
      </c>
      <c r="Z349" s="101">
        <f t="shared" si="116"/>
        <v>0</v>
      </c>
      <c r="AA349" s="101">
        <f t="shared" si="116"/>
        <v>0</v>
      </c>
      <c r="AB349" s="101">
        <f t="shared" si="116"/>
        <v>0</v>
      </c>
      <c r="AC349" s="101">
        <f t="shared" si="116"/>
        <v>0</v>
      </c>
      <c r="AD349" s="101">
        <f t="shared" si="116"/>
        <v>0</v>
      </c>
      <c r="AE349" s="101">
        <f t="shared" si="116"/>
        <v>0</v>
      </c>
      <c r="AF349" s="101">
        <f t="shared" si="116"/>
        <v>0</v>
      </c>
      <c r="AG349" s="101">
        <f t="shared" si="116"/>
        <v>-9744685.3373471759</v>
      </c>
      <c r="AH349" s="29" t="str">
        <f t="shared" si="113"/>
        <v>ok</v>
      </c>
    </row>
    <row r="350" spans="1:35" x14ac:dyDescent="0.2">
      <c r="A350" s="14" t="s">
        <v>751</v>
      </c>
      <c r="B350" s="14" t="s">
        <v>751</v>
      </c>
    </row>
    <row r="351" spans="1:35" x14ac:dyDescent="0.2">
      <c r="A351" s="14" t="s">
        <v>570</v>
      </c>
      <c r="E351" s="256">
        <f>E338+E349</f>
        <v>76395299.310000002</v>
      </c>
      <c r="F351" s="90">
        <f t="shared" ref="F351:AG351" si="117">F338+F349</f>
        <v>44107994.223148175</v>
      </c>
      <c r="G351" s="90">
        <f t="shared" si="117"/>
        <v>3507739.4894487243</v>
      </c>
      <c r="H351" s="90">
        <f t="shared" si="117"/>
        <v>8045153.1493976004</v>
      </c>
      <c r="I351" s="90">
        <f t="shared" si="117"/>
        <v>187092.65477318439</v>
      </c>
      <c r="J351" s="90">
        <f t="shared" si="117"/>
        <v>949209.15186268731</v>
      </c>
      <c r="K351" s="90">
        <f t="shared" si="117"/>
        <v>1376233.007569087</v>
      </c>
      <c r="L351" s="90">
        <f t="shared" si="117"/>
        <v>133443.20312743727</v>
      </c>
      <c r="M351" s="90">
        <f t="shared" si="117"/>
        <v>18088434.433325939</v>
      </c>
      <c r="N351" s="90">
        <f t="shared" si="117"/>
        <v>0</v>
      </c>
      <c r="O351" s="90">
        <f t="shared" si="117"/>
        <v>0</v>
      </c>
      <c r="P351" s="90">
        <f t="shared" si="117"/>
        <v>0</v>
      </c>
      <c r="Q351" s="90">
        <f t="shared" si="117"/>
        <v>0</v>
      </c>
      <c r="R351" s="90">
        <f t="shared" si="117"/>
        <v>0</v>
      </c>
      <c r="S351" s="90">
        <f t="shared" si="117"/>
        <v>0</v>
      </c>
      <c r="T351" s="90">
        <f t="shared" si="117"/>
        <v>0</v>
      </c>
      <c r="U351" s="90">
        <f t="shared" si="117"/>
        <v>0</v>
      </c>
      <c r="V351" s="90">
        <f t="shared" si="117"/>
        <v>0</v>
      </c>
      <c r="W351" s="90">
        <f t="shared" si="117"/>
        <v>0</v>
      </c>
      <c r="X351" s="90">
        <f t="shared" si="117"/>
        <v>0</v>
      </c>
      <c r="Y351" s="90">
        <f t="shared" si="117"/>
        <v>0</v>
      </c>
      <c r="Z351" s="90">
        <f t="shared" si="117"/>
        <v>0</v>
      </c>
      <c r="AA351" s="90">
        <f t="shared" si="117"/>
        <v>0</v>
      </c>
      <c r="AB351" s="90">
        <f t="shared" si="117"/>
        <v>0</v>
      </c>
      <c r="AC351" s="90">
        <f t="shared" si="117"/>
        <v>0</v>
      </c>
      <c r="AD351" s="90">
        <f t="shared" si="117"/>
        <v>0</v>
      </c>
      <c r="AE351" s="90">
        <f t="shared" si="117"/>
        <v>0</v>
      </c>
      <c r="AF351" s="90">
        <f t="shared" si="117"/>
        <v>0</v>
      </c>
      <c r="AG351" s="90">
        <f t="shared" si="117"/>
        <v>76395299.312652826</v>
      </c>
      <c r="AH351" s="29" t="str">
        <f>IF(ABS(E351-AG351)&lt;0.01,"ok","err")</f>
        <v>ok</v>
      </c>
    </row>
    <row r="353" spans="1:34" x14ac:dyDescent="0.2">
      <c r="A353" s="13" t="s">
        <v>327</v>
      </c>
    </row>
    <row r="355" spans="1:34" x14ac:dyDescent="0.2">
      <c r="A355" s="14" t="s">
        <v>571</v>
      </c>
      <c r="C355" s="14" t="s">
        <v>198</v>
      </c>
      <c r="E355" s="256">
        <f t="shared" ref="E355:U355" si="118">E324</f>
        <v>84005032.549999997</v>
      </c>
      <c r="F355" s="90">
        <f t="shared" si="118"/>
        <v>48899833.946230248</v>
      </c>
      <c r="G355" s="90">
        <f t="shared" si="118"/>
        <v>3722458.0548583181</v>
      </c>
      <c r="H355" s="90">
        <f t="shared" si="118"/>
        <v>7278809.6554760635</v>
      </c>
      <c r="I355" s="90">
        <f t="shared" si="118"/>
        <v>104822.46381239011</v>
      </c>
      <c r="J355" s="90">
        <f t="shared" si="118"/>
        <v>859117.30045856093</v>
      </c>
      <c r="K355" s="90">
        <f t="shared" si="118"/>
        <v>1274146.4829409402</v>
      </c>
      <c r="L355" s="90">
        <f t="shared" si="118"/>
        <v>132603.79449314845</v>
      </c>
      <c r="M355" s="90">
        <f t="shared" si="118"/>
        <v>21733240.850000001</v>
      </c>
      <c r="N355" s="90">
        <f t="shared" si="118"/>
        <v>0</v>
      </c>
      <c r="O355" s="90">
        <f t="shared" si="118"/>
        <v>0</v>
      </c>
      <c r="P355" s="90">
        <f t="shared" si="118"/>
        <v>0</v>
      </c>
      <c r="Q355" s="90">
        <f t="shared" si="118"/>
        <v>0</v>
      </c>
      <c r="R355" s="90">
        <f t="shared" si="118"/>
        <v>0</v>
      </c>
      <c r="S355" s="90">
        <f t="shared" si="118"/>
        <v>0</v>
      </c>
      <c r="T355" s="90">
        <f t="shared" si="118"/>
        <v>0</v>
      </c>
      <c r="U355" s="90">
        <f t="shared" si="118"/>
        <v>0</v>
      </c>
      <c r="V355" s="90">
        <f t="shared" ref="V355:AE355" si="119">V324-V125</f>
        <v>0</v>
      </c>
      <c r="W355" s="90">
        <f t="shared" si="119"/>
        <v>0</v>
      </c>
      <c r="X355" s="90">
        <f t="shared" si="119"/>
        <v>0</v>
      </c>
      <c r="Y355" s="90">
        <f t="shared" si="119"/>
        <v>0</v>
      </c>
      <c r="Z355" s="90">
        <f t="shared" si="119"/>
        <v>0</v>
      </c>
      <c r="AA355" s="90">
        <f t="shared" si="119"/>
        <v>0</v>
      </c>
      <c r="AB355" s="90">
        <f t="shared" si="119"/>
        <v>0</v>
      </c>
      <c r="AC355" s="90">
        <f t="shared" si="119"/>
        <v>0</v>
      </c>
      <c r="AD355" s="90">
        <f t="shared" si="119"/>
        <v>0</v>
      </c>
      <c r="AE355" s="90">
        <f t="shared" si="119"/>
        <v>0</v>
      </c>
      <c r="AF355" s="90">
        <f>AF324</f>
        <v>0</v>
      </c>
      <c r="AG355" s="90">
        <f>SUM(F355:AF355)</f>
        <v>84005032.548269659</v>
      </c>
      <c r="AH355" s="29" t="str">
        <f>IF(ABS(E355-AG355)&lt;0.01,"ok","err")</f>
        <v>ok</v>
      </c>
    </row>
    <row r="357" spans="1:34" x14ac:dyDescent="0.2">
      <c r="A357" s="14" t="s">
        <v>569</v>
      </c>
    </row>
    <row r="358" spans="1:34" x14ac:dyDescent="0.2">
      <c r="A358" s="14">
        <v>1.01</v>
      </c>
      <c r="B358" s="14" t="s">
        <v>943</v>
      </c>
      <c r="D358" s="14" t="s">
        <v>1164</v>
      </c>
      <c r="E358" s="265">
        <v>-5350058.47</v>
      </c>
      <c r="F358" s="254">
        <f>IF(VLOOKUP($D358,$C$5:$AU$519,3,)=0,0,(VLOOKUP($D358,$C$5:$AU$519,4,)/VLOOKUP($D358,$C$5:$AU$519,3,))*$E358)</f>
        <v>-1892799.0288216292</v>
      </c>
      <c r="G358" s="254">
        <f>IF(VLOOKUP($D358,$C$5:$AU$519,3,)=0,0,(VLOOKUP($D358,$C$5:$AU$519,5,)/VLOOKUP($D358,$C$5:$AU$519,3,))*$E358)</f>
        <v>-147144.91900864945</v>
      </c>
      <c r="H358" s="254">
        <f>IF(VLOOKUP($D358,$C$5:$AU$519,3,)=0,0,(VLOOKUP($D358,$C$5:$AU$519,6,)/VLOOKUP($D358,$C$5:$AU$519,3,))*$E358)</f>
        <v>-361892.51329807419</v>
      </c>
      <c r="I358" s="254">
        <f>IF(VLOOKUP($D358,$C$5:$AU$519,3,)=0,0,(VLOOKUP($D358,$C$5:$AU$519,7,)/VLOOKUP($D358,$C$5:$AU$519,3,))*$E358)</f>
        <v>-4870.0644327655073</v>
      </c>
      <c r="J358" s="254">
        <f>IF(VLOOKUP($D358,$C$5:$AU$519,3,)=0,0,(VLOOKUP($D358,$C$5:$AU$519,8,)/VLOOKUP($D358,$C$5:$AU$519,3,))*$E358)</f>
        <v>-38515.943888954185</v>
      </c>
      <c r="K358" s="65">
        <f>IF(VLOOKUP($D358,$C$5:$AU$519,3,)=0,0,(VLOOKUP($D358,$C$5:$AU$519,9,)/VLOOKUP($D358,$C$5:$AU$519,3,))*$E358)</f>
        <v>-54586.087617527279</v>
      </c>
      <c r="L358" s="65">
        <f>IF(VLOOKUP($D358,$C$5:$AU$519,3,)=0,0,(VLOOKUP($D358,$C$5:$AU$519,10,)/VLOOKUP($D358,$C$5:$AU$519,3,))*$E358)</f>
        <v>-5663.9575198865887</v>
      </c>
      <c r="M358" s="65">
        <f>IF(VLOOKUP($D358,$C$5:$AU$519,3,)=0,0,(VLOOKUP($D358,$C$5:$AU$519,11,)/VLOOKUP($D358,$C$5:$AU$519,3,))*$E358)</f>
        <v>-2844585.9554125136</v>
      </c>
      <c r="N358" s="65">
        <f>IF(VLOOKUP($D358,$C$5:$AU$519,3,)=0,0,(VLOOKUP($D358,$C$5:$AU$519,12,)/VLOOKUP($D358,$C$5:$AU$519,3,))*$E358)</f>
        <v>0</v>
      </c>
      <c r="O358" s="65">
        <f>IF(VLOOKUP($D358,$C$5:$AU$519,3,)=0,0,(VLOOKUP($D358,$C$5:$AU$519,13,)/VLOOKUP($D358,$C$5:$AU$519,3,))*$E358)</f>
        <v>0</v>
      </c>
      <c r="P358" s="65">
        <f>IF(VLOOKUP($D358,$C$5:$AU$519,3,)=0,0,(VLOOKUP($D358,$C$5:$AU$519,14,)/VLOOKUP($D358,$C$5:$AU$519,3,))*$E358)</f>
        <v>0</v>
      </c>
      <c r="Q358" s="65">
        <f>IF(VLOOKUP($D358,$C$5:$AU$519,3,)=0,0,(VLOOKUP($D358,$C$5:$AU$519,15,)/VLOOKUP($D358,$C$5:$AU$519,3,))*$E358)</f>
        <v>0</v>
      </c>
      <c r="R358" s="65">
        <f>IF(VLOOKUP($D358,$C$5:$AU$519,3,)=0,0,(VLOOKUP($D358,$C$5:$AU$519,16,)/VLOOKUP($D358,$C$5:$AU$519,3,))*$E358)</f>
        <v>0</v>
      </c>
      <c r="S358" s="65">
        <f>IF(VLOOKUP($D358,$C$5:$AU$519,3,)=0,0,(VLOOKUP($D358,$C$5:$AU$519,17,)/VLOOKUP($D358,$C$5:$AU$519,3,))*$E358)</f>
        <v>0</v>
      </c>
      <c r="T358" s="65">
        <f>IF(VLOOKUP($D358,$C$5:$AU$519,3,)=0,0,(VLOOKUP($D358,$C$5:$AU$519,18,)/VLOOKUP($D358,$C$5:$AU$519,3,))*$E358)</f>
        <v>0</v>
      </c>
      <c r="U358" s="65">
        <f>IF(VLOOKUP($D358,$C$5:$AU$519,3,)=0,0,(VLOOKUP($D358,$C$5:$AU$519,19,)/VLOOKUP($D358,$C$5:$AU$519,3,))*$E358)</f>
        <v>0</v>
      </c>
      <c r="V358" s="65">
        <f>IF(VLOOKUP($D358,$C$5:$AU$519,3,)=0,0,(VLOOKUP($D358,$C$5:$AU$519,20,)/VLOOKUP($D358,$C$5:$AU$519,3,))*$E358)</f>
        <v>0</v>
      </c>
      <c r="W358" s="65">
        <f>IF(VLOOKUP($D358,$C$5:$AU$519,3,)=0,0,(VLOOKUP($D358,$C$5:$AU$519,21,)/VLOOKUP($D358,$C$5:$AU$519,3,))*$E358)</f>
        <v>0</v>
      </c>
      <c r="X358" s="65">
        <f>IF(VLOOKUP($D358,$C$5:$AU$519,3,)=0,0,(VLOOKUP($D358,$C$5:$AU$519,22,)/VLOOKUP($D358,$C$5:$AU$519,3,))*$E358)</f>
        <v>0</v>
      </c>
      <c r="Y358" s="65">
        <f>IF(VLOOKUP($D358,$C$5:$AU$519,3,)=0,0,(VLOOKUP($D358,$C$5:$AU$519,23,)/VLOOKUP($D358,$C$5:$AU$519,3,))*$E358)</f>
        <v>0</v>
      </c>
      <c r="Z358" s="65">
        <f>IF(VLOOKUP($D358,$C$5:$AU$519,3,)=0,0,(VLOOKUP($D358,$C$5:$AU$519,24,)/VLOOKUP($D358,$C$5:$AU$519,3,))*$E358)</f>
        <v>0</v>
      </c>
      <c r="AA358" s="65">
        <f>IF(VLOOKUP($D358,$C$5:$AU$519,3,)=0,0,(VLOOKUP($D358,$C$5:$AU$519,25,)/VLOOKUP($D358,$C$5:$AU$519,3,))*$E358)</f>
        <v>0</v>
      </c>
      <c r="AB358" s="65">
        <f>IF(VLOOKUP($D358,$C$5:$AU$519,3,)=0,0,(VLOOKUP($D358,$C$5:$AU$519,26,)/VLOOKUP($D358,$C$5:$AU$519,3,))*$E358)</f>
        <v>0</v>
      </c>
      <c r="AC358" s="65">
        <f>IF(VLOOKUP($D358,$C$5:$AU$519,3,)=0,0,(VLOOKUP($D358,$C$5:$AU$519,27,)/VLOOKUP($D358,$C$5:$AU$519,3,))*$E358)</f>
        <v>0</v>
      </c>
      <c r="AD358" s="65">
        <f>IF(VLOOKUP($D358,$C$5:$AU$519,3,)=0,0,(VLOOKUP($D358,$C$5:$AU$519,28,)/VLOOKUP($D358,$C$5:$AU$519,3,))*$E358)</f>
        <v>0</v>
      </c>
      <c r="AE358" s="65">
        <f>IF(VLOOKUP($D358,$C$5:$AU$519,3,)=0,0,(VLOOKUP($D358,$C$5:$AU$519,29,)/VLOOKUP($D358,$C$5:$AU$519,3,))*$E358)</f>
        <v>0</v>
      </c>
      <c r="AF358" s="65">
        <f>IF(VLOOKUP($D358,$C$5:$AU$519,3,)=0,0,(VLOOKUP($D358,$C$5:$AU$519,30,)/VLOOKUP($D358,$C$5:$AU$519,3,))*$E358)</f>
        <v>0</v>
      </c>
      <c r="AG358" s="90">
        <f t="shared" ref="AG358:AG382" si="120">SUM(F358:AF358)</f>
        <v>-5350058.47</v>
      </c>
      <c r="AH358" s="29" t="str">
        <f t="shared" ref="AH358:AH382" si="121">IF(ABS(E358-AG358)&lt;0.01,"ok","err")</f>
        <v>ok</v>
      </c>
    </row>
    <row r="359" spans="1:34" x14ac:dyDescent="0.2">
      <c r="A359" s="28">
        <v>1.02</v>
      </c>
      <c r="B359" s="14" t="s">
        <v>1143</v>
      </c>
      <c r="D359" s="14" t="s">
        <v>1165</v>
      </c>
      <c r="E359" s="265">
        <v>-3236541.4</v>
      </c>
      <c r="F359" s="254">
        <f>IF(VLOOKUP($D359,$C$5:$AU$519,3,)=0,0,(VLOOKUP($D359,$C$5:$AU$519,4,)/VLOOKUP($D359,$C$5:$AU$519,3,))*$E359)</f>
        <v>-2452050.5754420822</v>
      </c>
      <c r="G359" s="254">
        <f>IF(VLOOKUP($D359,$C$5:$AU$519,3,)=0,0,(VLOOKUP($D359,$C$5:$AU$519,5,)/VLOOKUP($D359,$C$5:$AU$519,3,))*$E359)</f>
        <v>-217925.41433165126</v>
      </c>
      <c r="H359" s="254">
        <f>IF(VLOOKUP($D359,$C$5:$AU$519,3,)=0,0,(VLOOKUP($D359,$C$5:$AU$519,6,)/VLOOKUP($D359,$C$5:$AU$519,3,))*$E359)</f>
        <v>-446775.09060252662</v>
      </c>
      <c r="I359" s="254">
        <f>IF(VLOOKUP($D359,$C$5:$AU$519,3,)=0,0,(VLOOKUP($D359,$C$5:$AU$519,7,)/VLOOKUP($D359,$C$5:$AU$519,3,))*$E359)</f>
        <v>-6310.3414096700317</v>
      </c>
      <c r="J359" s="254">
        <f>IF(VLOOKUP($D359,$C$5:$AU$519,3,)=0,0,(VLOOKUP($D359,$C$5:$AU$519,8,)/VLOOKUP($D359,$C$5:$AU$519,3,))*$E359)</f>
        <v>-64280.202335543327</v>
      </c>
      <c r="K359" s="65">
        <f>IF(VLOOKUP($D359,$C$5:$AU$519,3,)=0,0,(VLOOKUP($D359,$C$5:$AU$519,9,)/VLOOKUP($D359,$C$5:$AU$519,3,))*$E359)</f>
        <v>-44590.620876912006</v>
      </c>
      <c r="L359" s="65">
        <f>IF(VLOOKUP($D359,$C$5:$AU$519,3,)=0,0,(VLOOKUP($D359,$C$5:$AU$519,10,)/VLOOKUP($D359,$C$5:$AU$519,3,))*$E359)</f>
        <v>-4609.1550016142382</v>
      </c>
      <c r="M359" s="65">
        <f>IF(VLOOKUP($D359,$C$5:$AU$519,3,)=0,0,(VLOOKUP($D359,$C$5:$AU$519,11,)/VLOOKUP($D359,$C$5:$AU$519,3,))*$E359)</f>
        <v>0</v>
      </c>
      <c r="N359" s="65">
        <f>IF(VLOOKUP($D359,$C$5:$AU$519,3,)=0,0,(VLOOKUP($D359,$C$5:$AU$519,12,)/VLOOKUP($D359,$C$5:$AU$519,3,))*$E359)</f>
        <v>0</v>
      </c>
      <c r="O359" s="65">
        <f>IF(VLOOKUP($D359,$C$5:$AU$519,3,)=0,0,(VLOOKUP($D359,$C$5:$AU$519,13,)/VLOOKUP($D359,$C$5:$AU$519,3,))*$E359)</f>
        <v>0</v>
      </c>
      <c r="P359" s="65">
        <f>IF(VLOOKUP($D359,$C$5:$AU$519,3,)=0,0,(VLOOKUP($D359,$C$5:$AU$519,14,)/VLOOKUP($D359,$C$5:$AU$519,3,))*$E359)</f>
        <v>0</v>
      </c>
      <c r="Q359" s="65">
        <f>IF(VLOOKUP($D359,$C$5:$AU$519,3,)=0,0,(VLOOKUP($D359,$C$5:$AU$519,15,)/VLOOKUP($D359,$C$5:$AU$519,3,))*$E359)</f>
        <v>0</v>
      </c>
      <c r="R359" s="65">
        <f>IF(VLOOKUP($D359,$C$5:$AU$519,3,)=0,0,(VLOOKUP($D359,$C$5:$AU$519,16,)/VLOOKUP($D359,$C$5:$AU$519,3,))*$E359)</f>
        <v>0</v>
      </c>
      <c r="S359" s="65">
        <f>IF(VLOOKUP($D359,$C$5:$AU$519,3,)=0,0,(VLOOKUP($D359,$C$5:$AU$519,17,)/VLOOKUP($D359,$C$5:$AU$519,3,))*$E359)</f>
        <v>0</v>
      </c>
      <c r="T359" s="65">
        <f>IF(VLOOKUP($D359,$C$5:$AU$519,3,)=0,0,(VLOOKUP($D359,$C$5:$AU$519,18,)/VLOOKUP($D359,$C$5:$AU$519,3,))*$E359)</f>
        <v>0</v>
      </c>
      <c r="U359" s="65">
        <f>IF(VLOOKUP($D359,$C$5:$AU$519,3,)=0,0,(VLOOKUP($D359,$C$5:$AU$519,19,)/VLOOKUP($D359,$C$5:$AU$519,3,))*$E359)</f>
        <v>0</v>
      </c>
      <c r="V359" s="65">
        <f>IF(VLOOKUP($D359,$C$5:$AU$519,3,)=0,0,(VLOOKUP($D359,$C$5:$AU$519,20,)/VLOOKUP($D359,$C$5:$AU$519,3,))*$E359)</f>
        <v>0</v>
      </c>
      <c r="W359" s="65">
        <f>IF(VLOOKUP($D359,$C$5:$AU$519,3,)=0,0,(VLOOKUP($D359,$C$5:$AU$519,21,)/VLOOKUP($D359,$C$5:$AU$519,3,))*$E359)</f>
        <v>0</v>
      </c>
      <c r="X359" s="65">
        <f>IF(VLOOKUP($D359,$C$5:$AU$519,3,)=0,0,(VLOOKUP($D359,$C$5:$AU$519,22,)/VLOOKUP($D359,$C$5:$AU$519,3,))*$E359)</f>
        <v>0</v>
      </c>
      <c r="Y359" s="65">
        <f>IF(VLOOKUP($D359,$C$5:$AU$519,3,)=0,0,(VLOOKUP($D359,$C$5:$AU$519,23,)/VLOOKUP($D359,$C$5:$AU$519,3,))*$E359)</f>
        <v>0</v>
      </c>
      <c r="Z359" s="65">
        <f>IF(VLOOKUP($D359,$C$5:$AU$519,3,)=0,0,(VLOOKUP($D359,$C$5:$AU$519,24,)/VLOOKUP($D359,$C$5:$AU$519,3,))*$E359)</f>
        <v>0</v>
      </c>
      <c r="AA359" s="65">
        <f>IF(VLOOKUP($D359,$C$5:$AU$519,3,)=0,0,(VLOOKUP($D359,$C$5:$AU$519,25,)/VLOOKUP($D359,$C$5:$AU$519,3,))*$E359)</f>
        <v>0</v>
      </c>
      <c r="AB359" s="65">
        <f>IF(VLOOKUP($D359,$C$5:$AU$519,3,)=0,0,(VLOOKUP($D359,$C$5:$AU$519,26,)/VLOOKUP($D359,$C$5:$AU$519,3,))*$E359)</f>
        <v>0</v>
      </c>
      <c r="AC359" s="65">
        <f>IF(VLOOKUP($D359,$C$5:$AU$519,3,)=0,0,(VLOOKUP($D359,$C$5:$AU$519,27,)/VLOOKUP($D359,$C$5:$AU$519,3,))*$E359)</f>
        <v>0</v>
      </c>
      <c r="AD359" s="65">
        <f>IF(VLOOKUP($D359,$C$5:$AU$519,3,)=0,0,(VLOOKUP($D359,$C$5:$AU$519,28,)/VLOOKUP($D359,$C$5:$AU$519,3,))*$E359)</f>
        <v>0</v>
      </c>
      <c r="AE359" s="65">
        <f>IF(VLOOKUP($D359,$C$5:$AU$519,3,)=0,0,(VLOOKUP($D359,$C$5:$AU$519,29,)/VLOOKUP($D359,$C$5:$AU$519,3,))*$E359)</f>
        <v>0</v>
      </c>
      <c r="AF359" s="65">
        <f>IF(VLOOKUP($D359,$C$5:$AU$519,3,)=0,0,(VLOOKUP($D359,$C$5:$AU$519,30,)/VLOOKUP($D359,$C$5:$AU$519,3,))*$E359)</f>
        <v>0</v>
      </c>
      <c r="AG359" s="90">
        <f t="shared" si="120"/>
        <v>-3236541.4</v>
      </c>
      <c r="AH359" s="29" t="str">
        <f t="shared" si="121"/>
        <v>ok</v>
      </c>
    </row>
    <row r="360" spans="1:34" x14ac:dyDescent="0.2">
      <c r="A360" s="14">
        <v>1.03</v>
      </c>
      <c r="B360" s="14" t="s">
        <v>1131</v>
      </c>
      <c r="D360" s="14" t="s">
        <v>1166</v>
      </c>
      <c r="E360" s="265">
        <v>1668084.41</v>
      </c>
      <c r="F360" s="254">
        <f>IF(VLOOKUP($D360,$C$5:$AU$519,3,)=0,0,(VLOOKUP($D360,$C$5:$AU$519,4,)/VLOOKUP($D360,$C$5:$AU$519,3,))*$E360)</f>
        <v>590152.1579521168</v>
      </c>
      <c r="G360" s="254">
        <f>IF(VLOOKUP($D360,$C$5:$AU$519,3,)=0,0,(VLOOKUP($D360,$C$5:$AU$519,5,)/VLOOKUP($D360,$C$5:$AU$519,3,))*$E360)</f>
        <v>45878.030452448649</v>
      </c>
      <c r="H360" s="254">
        <f>IF(VLOOKUP($D360,$C$5:$AU$519,3,)=0,0,(VLOOKUP($D360,$C$5:$AU$519,6,)/VLOOKUP($D360,$C$5:$AU$519,3,))*$E360)</f>
        <v>112833.76862388483</v>
      </c>
      <c r="I360" s="254">
        <f>IF(VLOOKUP($D360,$C$5:$AU$519,3,)=0,0,(VLOOKUP($D360,$C$5:$AU$519,7,)/VLOOKUP($D360,$C$5:$AU$519,3,))*$E360)</f>
        <v>1518.4279950479936</v>
      </c>
      <c r="J360" s="254">
        <f>IF(VLOOKUP($D360,$C$5:$AU$519,3,)=0,0,(VLOOKUP($D360,$C$5:$AU$519,8,)/VLOOKUP($D360,$C$5:$AU$519,3,))*$E360)</f>
        <v>12008.811847172065</v>
      </c>
      <c r="K360" s="65">
        <f>IF(VLOOKUP($D360,$C$5:$AU$519,3,)=0,0,(VLOOKUP($D360,$C$5:$AU$519,9,)/VLOOKUP($D360,$C$5:$AU$519,3,))*$E360)</f>
        <v>17019.290960700717</v>
      </c>
      <c r="L360" s="65">
        <f>IF(VLOOKUP($D360,$C$5:$AU$519,3,)=0,0,(VLOOKUP($D360,$C$5:$AU$519,10,)/VLOOKUP($D360,$C$5:$AU$519,3,))*$E360)</f>
        <v>1765.9543892470924</v>
      </c>
      <c r="M360" s="65">
        <f>IF(VLOOKUP($D360,$C$5:$AU$519,3,)=0,0,(VLOOKUP($D360,$C$5:$AU$519,11,)/VLOOKUP($D360,$C$5:$AU$519,3,))*$E360)</f>
        <v>886907.9677793819</v>
      </c>
      <c r="N360" s="65">
        <f>IF(VLOOKUP($D360,$C$5:$AU$519,3,)=0,0,(VLOOKUP($D360,$C$5:$AU$519,12,)/VLOOKUP($D360,$C$5:$AU$519,3,))*$E360)</f>
        <v>0</v>
      </c>
      <c r="O360" s="65">
        <f>IF(VLOOKUP($D360,$C$5:$AU$519,3,)=0,0,(VLOOKUP($D360,$C$5:$AU$519,13,)/VLOOKUP($D360,$C$5:$AU$519,3,))*$E360)</f>
        <v>0</v>
      </c>
      <c r="P360" s="65">
        <f>IF(VLOOKUP($D360,$C$5:$AU$519,3,)=0,0,(VLOOKUP($D360,$C$5:$AU$519,14,)/VLOOKUP($D360,$C$5:$AU$519,3,))*$E360)</f>
        <v>0</v>
      </c>
      <c r="Q360" s="65">
        <f>IF(VLOOKUP($D360,$C$5:$AU$519,3,)=0,0,(VLOOKUP($D360,$C$5:$AU$519,15,)/VLOOKUP($D360,$C$5:$AU$519,3,))*$E360)</f>
        <v>0</v>
      </c>
      <c r="R360" s="65">
        <f>IF(VLOOKUP($D360,$C$5:$AU$519,3,)=0,0,(VLOOKUP($D360,$C$5:$AU$519,16,)/VLOOKUP($D360,$C$5:$AU$519,3,))*$E360)</f>
        <v>0</v>
      </c>
      <c r="S360" s="65">
        <f>IF(VLOOKUP($D360,$C$5:$AU$519,3,)=0,0,(VLOOKUP($D360,$C$5:$AU$519,17,)/VLOOKUP($D360,$C$5:$AU$519,3,))*$E360)</f>
        <v>0</v>
      </c>
      <c r="T360" s="65">
        <f>IF(VLOOKUP($D360,$C$5:$AU$519,3,)=0,0,(VLOOKUP($D360,$C$5:$AU$519,18,)/VLOOKUP($D360,$C$5:$AU$519,3,))*$E360)</f>
        <v>0</v>
      </c>
      <c r="U360" s="65">
        <f>IF(VLOOKUP($D360,$C$5:$AU$519,3,)=0,0,(VLOOKUP($D360,$C$5:$AU$519,19,)/VLOOKUP($D360,$C$5:$AU$519,3,))*$E360)</f>
        <v>0</v>
      </c>
      <c r="V360" s="65">
        <f>IF(VLOOKUP($D360,$C$5:$AU$519,3,)=0,0,(VLOOKUP($D360,$C$5:$AU$519,20,)/VLOOKUP($D360,$C$5:$AU$519,3,))*$E360)</f>
        <v>0</v>
      </c>
      <c r="W360" s="65">
        <f>IF(VLOOKUP($D360,$C$5:$AU$519,3,)=0,0,(VLOOKUP($D360,$C$5:$AU$519,21,)/VLOOKUP($D360,$C$5:$AU$519,3,))*$E360)</f>
        <v>0</v>
      </c>
      <c r="X360" s="65">
        <f>IF(VLOOKUP($D360,$C$5:$AU$519,3,)=0,0,(VLOOKUP($D360,$C$5:$AU$519,22,)/VLOOKUP($D360,$C$5:$AU$519,3,))*$E360)</f>
        <v>0</v>
      </c>
      <c r="Y360" s="65">
        <f>IF(VLOOKUP($D360,$C$5:$AU$519,3,)=0,0,(VLOOKUP($D360,$C$5:$AU$519,23,)/VLOOKUP($D360,$C$5:$AU$519,3,))*$E360)</f>
        <v>0</v>
      </c>
      <c r="Z360" s="65">
        <f>IF(VLOOKUP($D360,$C$5:$AU$519,3,)=0,0,(VLOOKUP($D360,$C$5:$AU$519,24,)/VLOOKUP($D360,$C$5:$AU$519,3,))*$E360)</f>
        <v>0</v>
      </c>
      <c r="AA360" s="65">
        <f>IF(VLOOKUP($D360,$C$5:$AU$519,3,)=0,0,(VLOOKUP($D360,$C$5:$AU$519,25,)/VLOOKUP($D360,$C$5:$AU$519,3,))*$E360)</f>
        <v>0</v>
      </c>
      <c r="AB360" s="65">
        <f>IF(VLOOKUP($D360,$C$5:$AU$519,3,)=0,0,(VLOOKUP($D360,$C$5:$AU$519,26,)/VLOOKUP($D360,$C$5:$AU$519,3,))*$E360)</f>
        <v>0</v>
      </c>
      <c r="AC360" s="65">
        <f>IF(VLOOKUP($D360,$C$5:$AU$519,3,)=0,0,(VLOOKUP($D360,$C$5:$AU$519,27,)/VLOOKUP($D360,$C$5:$AU$519,3,))*$E360)</f>
        <v>0</v>
      </c>
      <c r="AD360" s="65">
        <f>IF(VLOOKUP($D360,$C$5:$AU$519,3,)=0,0,(VLOOKUP($D360,$C$5:$AU$519,28,)/VLOOKUP($D360,$C$5:$AU$519,3,))*$E360)</f>
        <v>0</v>
      </c>
      <c r="AE360" s="65">
        <f>IF(VLOOKUP($D360,$C$5:$AU$519,3,)=0,0,(VLOOKUP($D360,$C$5:$AU$519,29,)/VLOOKUP($D360,$C$5:$AU$519,3,))*$E360)</f>
        <v>0</v>
      </c>
      <c r="AF360" s="65">
        <f>IF(VLOOKUP($D360,$C$5:$AU$519,3,)=0,0,(VLOOKUP($D360,$C$5:$AU$519,30,)/VLOOKUP($D360,$C$5:$AU$519,3,))*$E360)</f>
        <v>0</v>
      </c>
      <c r="AG360" s="90">
        <f t="shared" ref="AG360" si="122">SUM(F360:AF360)</f>
        <v>1668084.4100000001</v>
      </c>
      <c r="AH360" s="29" t="str">
        <f t="shared" ref="AH360" si="123">IF(ABS(E360-AG360)&lt;0.01,"ok","err")</f>
        <v>ok</v>
      </c>
    </row>
    <row r="361" spans="1:34" x14ac:dyDescent="0.2">
      <c r="A361" s="14">
        <v>1.04</v>
      </c>
      <c r="B361" s="14" t="s">
        <v>1132</v>
      </c>
      <c r="D361" s="14" t="s">
        <v>1167</v>
      </c>
      <c r="E361" s="265">
        <v>-3173128.14</v>
      </c>
      <c r="F361" s="254">
        <f>IF(VLOOKUP($D361,$C$5:$AU$519,3,)=0,0,(VLOOKUP($D361,$C$5:$AU$519,4,)/VLOOKUP($D361,$C$5:$AU$519,3,))*$E361)</f>
        <v>-1122622.0975709418</v>
      </c>
      <c r="G361" s="254">
        <f>IF(VLOOKUP($D361,$C$5:$AU$519,3,)=0,0,(VLOOKUP($D361,$C$5:$AU$519,5,)/VLOOKUP($D361,$C$5:$AU$519,3,))*$E361)</f>
        <v>-87271.884182672598</v>
      </c>
      <c r="H361" s="254">
        <f>IF(VLOOKUP($D361,$C$5:$AU$519,3,)=0,0,(VLOOKUP($D361,$C$5:$AU$519,6,)/VLOOKUP($D361,$C$5:$AU$519,3,))*$E361)</f>
        <v>-214639.02199211734</v>
      </c>
      <c r="I361" s="254">
        <f>IF(VLOOKUP($D361,$C$5:$AU$519,3,)=0,0,(VLOOKUP($D361,$C$5:$AU$519,7,)/VLOOKUP($D361,$C$5:$AU$519,3,))*$E361)</f>
        <v>-2888.442917376447</v>
      </c>
      <c r="J361" s="254">
        <f>IF(VLOOKUP($D361,$C$5:$AU$519,3,)=0,0,(VLOOKUP($D361,$C$5:$AU$519,8,)/VLOOKUP($D361,$C$5:$AU$519,3,))*$E361)</f>
        <v>-22843.867235847531</v>
      </c>
      <c r="K361" s="65">
        <f>IF(VLOOKUP($D361,$C$5:$AU$519,3,)=0,0,(VLOOKUP($D361,$C$5:$AU$519,9,)/VLOOKUP($D361,$C$5:$AU$519,3,))*$E361)</f>
        <v>-32375.094897174346</v>
      </c>
      <c r="L361" s="65">
        <f>IF(VLOOKUP($D361,$C$5:$AU$519,3,)=0,0,(VLOOKUP($D361,$C$5:$AU$519,10,)/VLOOKUP($D361,$C$5:$AU$519,3,))*$E361)</f>
        <v>-3359.3021629381828</v>
      </c>
      <c r="M361" s="65">
        <f>IF(VLOOKUP($D361,$C$5:$AU$519,3,)=0,0,(VLOOKUP($D361,$C$5:$AU$519,11,)/VLOOKUP($D361,$C$5:$AU$519,3,))*$E361)</f>
        <v>-1687128.4290409321</v>
      </c>
      <c r="N361" s="65">
        <f>IF(VLOOKUP($D361,$C$5:$AU$519,3,)=0,0,(VLOOKUP($D361,$C$5:$AU$519,12,)/VLOOKUP($D361,$C$5:$AU$519,3,))*$E361)</f>
        <v>0</v>
      </c>
      <c r="O361" s="65">
        <f>IF(VLOOKUP($D361,$C$5:$AU$519,3,)=0,0,(VLOOKUP($D361,$C$5:$AU$519,13,)/VLOOKUP($D361,$C$5:$AU$519,3,))*$E361)</f>
        <v>0</v>
      </c>
      <c r="P361" s="65">
        <f>IF(VLOOKUP($D361,$C$5:$AU$519,3,)=0,0,(VLOOKUP($D361,$C$5:$AU$519,14,)/VLOOKUP($D361,$C$5:$AU$519,3,))*$E361)</f>
        <v>0</v>
      </c>
      <c r="Q361" s="65">
        <f>IF(VLOOKUP($D361,$C$5:$AU$519,3,)=0,0,(VLOOKUP($D361,$C$5:$AU$519,15,)/VLOOKUP($D361,$C$5:$AU$519,3,))*$E361)</f>
        <v>0</v>
      </c>
      <c r="R361" s="65">
        <f>IF(VLOOKUP($D361,$C$5:$AU$519,3,)=0,0,(VLOOKUP($D361,$C$5:$AU$519,16,)/VLOOKUP($D361,$C$5:$AU$519,3,))*$E361)</f>
        <v>0</v>
      </c>
      <c r="S361" s="65">
        <f>IF(VLOOKUP($D361,$C$5:$AU$519,3,)=0,0,(VLOOKUP($D361,$C$5:$AU$519,17,)/VLOOKUP($D361,$C$5:$AU$519,3,))*$E361)</f>
        <v>0</v>
      </c>
      <c r="T361" s="65">
        <f>IF(VLOOKUP($D361,$C$5:$AU$519,3,)=0,0,(VLOOKUP($D361,$C$5:$AU$519,18,)/VLOOKUP($D361,$C$5:$AU$519,3,))*$E361)</f>
        <v>0</v>
      </c>
      <c r="U361" s="65">
        <f>IF(VLOOKUP($D361,$C$5:$AU$519,3,)=0,0,(VLOOKUP($D361,$C$5:$AU$519,19,)/VLOOKUP($D361,$C$5:$AU$519,3,))*$E361)</f>
        <v>0</v>
      </c>
      <c r="V361" s="65">
        <f>IF(VLOOKUP($D361,$C$5:$AU$519,3,)=0,0,(VLOOKUP($D361,$C$5:$AU$519,20,)/VLOOKUP($D361,$C$5:$AU$519,3,))*$E361)</f>
        <v>0</v>
      </c>
      <c r="W361" s="65">
        <f>IF(VLOOKUP($D361,$C$5:$AU$519,3,)=0,0,(VLOOKUP($D361,$C$5:$AU$519,21,)/VLOOKUP($D361,$C$5:$AU$519,3,))*$E361)</f>
        <v>0</v>
      </c>
      <c r="X361" s="65">
        <f>IF(VLOOKUP($D361,$C$5:$AU$519,3,)=0,0,(VLOOKUP($D361,$C$5:$AU$519,22,)/VLOOKUP($D361,$C$5:$AU$519,3,))*$E361)</f>
        <v>0</v>
      </c>
      <c r="Y361" s="65">
        <f>IF(VLOOKUP($D361,$C$5:$AU$519,3,)=0,0,(VLOOKUP($D361,$C$5:$AU$519,23,)/VLOOKUP($D361,$C$5:$AU$519,3,))*$E361)</f>
        <v>0</v>
      </c>
      <c r="Z361" s="65">
        <f>IF(VLOOKUP($D361,$C$5:$AU$519,3,)=0,0,(VLOOKUP($D361,$C$5:$AU$519,24,)/VLOOKUP($D361,$C$5:$AU$519,3,))*$E361)</f>
        <v>0</v>
      </c>
      <c r="AA361" s="65">
        <f>IF(VLOOKUP($D361,$C$5:$AU$519,3,)=0,0,(VLOOKUP($D361,$C$5:$AU$519,25,)/VLOOKUP($D361,$C$5:$AU$519,3,))*$E361)</f>
        <v>0</v>
      </c>
      <c r="AB361" s="65">
        <f>IF(VLOOKUP($D361,$C$5:$AU$519,3,)=0,0,(VLOOKUP($D361,$C$5:$AU$519,26,)/VLOOKUP($D361,$C$5:$AU$519,3,))*$E361)</f>
        <v>0</v>
      </c>
      <c r="AC361" s="65">
        <f>IF(VLOOKUP($D361,$C$5:$AU$519,3,)=0,0,(VLOOKUP($D361,$C$5:$AU$519,27,)/VLOOKUP($D361,$C$5:$AU$519,3,))*$E361)</f>
        <v>0</v>
      </c>
      <c r="AD361" s="65">
        <f>IF(VLOOKUP($D361,$C$5:$AU$519,3,)=0,0,(VLOOKUP($D361,$C$5:$AU$519,28,)/VLOOKUP($D361,$C$5:$AU$519,3,))*$E361)</f>
        <v>0</v>
      </c>
      <c r="AE361" s="65">
        <f>IF(VLOOKUP($D361,$C$5:$AU$519,3,)=0,0,(VLOOKUP($D361,$C$5:$AU$519,29,)/VLOOKUP($D361,$C$5:$AU$519,3,))*$E361)</f>
        <v>0</v>
      </c>
      <c r="AF361" s="65">
        <f>IF(VLOOKUP($D361,$C$5:$AU$519,3,)=0,0,(VLOOKUP($D361,$C$5:$AU$519,30,)/VLOOKUP($D361,$C$5:$AU$519,3,))*$E361)</f>
        <v>0</v>
      </c>
      <c r="AG361" s="90">
        <f t="shared" si="120"/>
        <v>-3173128.1400000006</v>
      </c>
      <c r="AH361" s="29" t="str">
        <f t="shared" si="121"/>
        <v>ok</v>
      </c>
    </row>
    <row r="362" spans="1:34" x14ac:dyDescent="0.2">
      <c r="A362" s="14">
        <v>1.05</v>
      </c>
      <c r="B362" s="14" t="s">
        <v>944</v>
      </c>
      <c r="D362" s="14" t="s">
        <v>261</v>
      </c>
      <c r="E362" s="265">
        <v>38333.33</v>
      </c>
      <c r="F362" s="254">
        <f>IF(VLOOKUP($D362,$C$5:$AU$519,3,)=0,0,(VLOOKUP($D362,$C$5:$AU$519,4,)/VLOOKUP($D362,$C$5:$AU$519,3,))*$E362)</f>
        <v>32246.950213616754</v>
      </c>
      <c r="G362" s="254">
        <f>IF(VLOOKUP($D362,$C$5:$AU$519,3,)=0,0,(VLOOKUP($D362,$C$5:$AU$519,5,)/VLOOKUP($D362,$C$5:$AU$519,3,))*$E362)</f>
        <v>2144.173640251166</v>
      </c>
      <c r="H362" s="254">
        <f>IF(VLOOKUP($D362,$C$5:$AU$519,3,)=0,0,(VLOOKUP($D362,$C$5:$AU$519,6,)/VLOOKUP($D362,$C$5:$AU$519,3,))*$E362)</f>
        <v>2027.2465377092485</v>
      </c>
      <c r="I362" s="254">
        <f>IF(VLOOKUP($D362,$C$5:$AU$519,3,)=0,0,(VLOOKUP($D362,$C$5:$AU$519,7,)/VLOOKUP($D362,$C$5:$AU$519,3,))*$E362)</f>
        <v>38.672760750186278</v>
      </c>
      <c r="J362" s="254">
        <f>IF(VLOOKUP($D362,$C$5:$AU$519,3,)=0,0,(VLOOKUP($D362,$C$5:$AU$519,8,)/VLOOKUP($D362,$C$5:$AU$519,3,))*$E362)</f>
        <v>267.81991983102068</v>
      </c>
      <c r="K362" s="65">
        <f>IF(VLOOKUP($D362,$C$5:$AU$519,3,)=0,0,(VLOOKUP($D362,$C$5:$AU$519,9,)/VLOOKUP($D362,$C$5:$AU$519,3,))*$E362)</f>
        <v>1457.021944053648</v>
      </c>
      <c r="L362" s="65">
        <f>IF(VLOOKUP($D362,$C$5:$AU$519,3,)=0,0,(VLOOKUP($D362,$C$5:$AU$519,10,)/VLOOKUP($D362,$C$5:$AU$519,3,))*$E362)</f>
        <v>151.44498378797616</v>
      </c>
      <c r="M362" s="65">
        <f>IF(VLOOKUP($D362,$C$5:$AU$519,3,)=0,0,(VLOOKUP($D362,$C$5:$AU$519,11,)/VLOOKUP($D362,$C$5:$AU$519,3,))*$E362)</f>
        <v>0</v>
      </c>
      <c r="N362" s="65">
        <f>IF(VLOOKUP($D362,$C$5:$AU$519,3,)=0,0,(VLOOKUP($D362,$C$5:$AU$519,12,)/VLOOKUP($D362,$C$5:$AU$519,3,))*$E362)</f>
        <v>0</v>
      </c>
      <c r="O362" s="65">
        <f>IF(VLOOKUP($D362,$C$5:$AU$519,3,)=0,0,(VLOOKUP($D362,$C$5:$AU$519,13,)/VLOOKUP($D362,$C$5:$AU$519,3,))*$E362)</f>
        <v>0</v>
      </c>
      <c r="P362" s="65">
        <f>IF(VLOOKUP($D362,$C$5:$AU$519,3,)=0,0,(VLOOKUP($D362,$C$5:$AU$519,14,)/VLOOKUP($D362,$C$5:$AU$519,3,))*$E362)</f>
        <v>0</v>
      </c>
      <c r="Q362" s="65">
        <f>IF(VLOOKUP($D362,$C$5:$AU$519,3,)=0,0,(VLOOKUP($D362,$C$5:$AU$519,15,)/VLOOKUP($D362,$C$5:$AU$519,3,))*$E362)</f>
        <v>0</v>
      </c>
      <c r="R362" s="65">
        <f>IF(VLOOKUP($D362,$C$5:$AU$519,3,)=0,0,(VLOOKUP($D362,$C$5:$AU$519,16,)/VLOOKUP($D362,$C$5:$AU$519,3,))*$E362)</f>
        <v>0</v>
      </c>
      <c r="S362" s="65">
        <f>IF(VLOOKUP($D362,$C$5:$AU$519,3,)=0,0,(VLOOKUP($D362,$C$5:$AU$519,17,)/VLOOKUP($D362,$C$5:$AU$519,3,))*$E362)</f>
        <v>0</v>
      </c>
      <c r="T362" s="65">
        <f>IF(VLOOKUP($D362,$C$5:$AU$519,3,)=0,0,(VLOOKUP($D362,$C$5:$AU$519,18,)/VLOOKUP($D362,$C$5:$AU$519,3,))*$E362)</f>
        <v>0</v>
      </c>
      <c r="U362" s="65">
        <f>IF(VLOOKUP($D362,$C$5:$AU$519,3,)=0,0,(VLOOKUP($D362,$C$5:$AU$519,19,)/VLOOKUP($D362,$C$5:$AU$519,3,))*$E362)</f>
        <v>0</v>
      </c>
      <c r="V362" s="65">
        <f>IF(VLOOKUP($D362,$C$5:$AU$519,3,)=0,0,(VLOOKUP($D362,$C$5:$AU$519,20,)/VLOOKUP($D362,$C$5:$AU$519,3,))*$E362)</f>
        <v>0</v>
      </c>
      <c r="W362" s="65">
        <f>IF(VLOOKUP($D362,$C$5:$AU$519,3,)=0,0,(VLOOKUP($D362,$C$5:$AU$519,21,)/VLOOKUP($D362,$C$5:$AU$519,3,))*$E362)</f>
        <v>0</v>
      </c>
      <c r="X362" s="65">
        <f>IF(VLOOKUP($D362,$C$5:$AU$519,3,)=0,0,(VLOOKUP($D362,$C$5:$AU$519,22,)/VLOOKUP($D362,$C$5:$AU$519,3,))*$E362)</f>
        <v>0</v>
      </c>
      <c r="Y362" s="65">
        <f>IF(VLOOKUP($D362,$C$5:$AU$519,3,)=0,0,(VLOOKUP($D362,$C$5:$AU$519,23,)/VLOOKUP($D362,$C$5:$AU$519,3,))*$E362)</f>
        <v>0</v>
      </c>
      <c r="Z362" s="65">
        <f>IF(VLOOKUP($D362,$C$5:$AU$519,3,)=0,0,(VLOOKUP($D362,$C$5:$AU$519,24,)/VLOOKUP($D362,$C$5:$AU$519,3,))*$E362)</f>
        <v>0</v>
      </c>
      <c r="AA362" s="65">
        <f>IF(VLOOKUP($D362,$C$5:$AU$519,3,)=0,0,(VLOOKUP($D362,$C$5:$AU$519,25,)/VLOOKUP($D362,$C$5:$AU$519,3,))*$E362)</f>
        <v>0</v>
      </c>
      <c r="AB362" s="65">
        <f>IF(VLOOKUP($D362,$C$5:$AU$519,3,)=0,0,(VLOOKUP($D362,$C$5:$AU$519,26,)/VLOOKUP($D362,$C$5:$AU$519,3,))*$E362)</f>
        <v>0</v>
      </c>
      <c r="AC362" s="65">
        <f>IF(VLOOKUP($D362,$C$5:$AU$519,3,)=0,0,(VLOOKUP($D362,$C$5:$AU$519,27,)/VLOOKUP($D362,$C$5:$AU$519,3,))*$E362)</f>
        <v>0</v>
      </c>
      <c r="AD362" s="65">
        <f>IF(VLOOKUP($D362,$C$5:$AU$519,3,)=0,0,(VLOOKUP($D362,$C$5:$AU$519,28,)/VLOOKUP($D362,$C$5:$AU$519,3,))*$E362)</f>
        <v>0</v>
      </c>
      <c r="AE362" s="65">
        <f>IF(VLOOKUP($D362,$C$5:$AU$519,3,)=0,0,(VLOOKUP($D362,$C$5:$AU$519,29,)/VLOOKUP($D362,$C$5:$AU$519,3,))*$E362)</f>
        <v>0</v>
      </c>
      <c r="AF362" s="65">
        <f>IF(VLOOKUP($D362,$C$5:$AU$519,3,)=0,0,(VLOOKUP($D362,$C$5:$AU$519,30,)/VLOOKUP($D362,$C$5:$AU$519,3,))*$E362)</f>
        <v>0</v>
      </c>
      <c r="AG362" s="90">
        <f t="shared" si="120"/>
        <v>38333.329999999987</v>
      </c>
      <c r="AH362" s="29" t="str">
        <f t="shared" si="121"/>
        <v>ok</v>
      </c>
    </row>
    <row r="363" spans="1:34" x14ac:dyDescent="0.2">
      <c r="A363" s="14">
        <v>1.06</v>
      </c>
      <c r="B363" s="14" t="s">
        <v>1133</v>
      </c>
      <c r="E363" s="265">
        <v>214905.01</v>
      </c>
      <c r="F363" s="254">
        <v>155475.68083257083</v>
      </c>
      <c r="G363" s="254">
        <v>-12365.973802308938</v>
      </c>
      <c r="H363" s="254">
        <v>24380.760927308675</v>
      </c>
      <c r="I363" s="254">
        <v>47414.54363415268</v>
      </c>
      <c r="J363" s="254">
        <v>0</v>
      </c>
      <c r="K363" s="65">
        <v>0</v>
      </c>
      <c r="L363" s="65">
        <v>0</v>
      </c>
      <c r="M363" s="65">
        <v>0</v>
      </c>
      <c r="N363" s="65">
        <v>0</v>
      </c>
      <c r="O363" s="65">
        <v>0</v>
      </c>
      <c r="P363" s="65">
        <v>0</v>
      </c>
      <c r="Q363" s="65">
        <v>0</v>
      </c>
      <c r="R363" s="65">
        <v>0</v>
      </c>
      <c r="S363" s="65">
        <v>0</v>
      </c>
      <c r="T363" s="65">
        <v>0</v>
      </c>
      <c r="U363" s="65">
        <v>0</v>
      </c>
      <c r="V363" s="65">
        <v>0</v>
      </c>
      <c r="W363" s="65">
        <v>0</v>
      </c>
      <c r="X363" s="65">
        <v>0</v>
      </c>
      <c r="Y363" s="65">
        <v>0</v>
      </c>
      <c r="Z363" s="65">
        <v>0</v>
      </c>
      <c r="AA363" s="65">
        <v>0</v>
      </c>
      <c r="AB363" s="65">
        <v>0</v>
      </c>
      <c r="AC363" s="65">
        <v>0</v>
      </c>
      <c r="AD363" s="65">
        <v>0</v>
      </c>
      <c r="AE363" s="65">
        <v>0</v>
      </c>
      <c r="AF363" s="65">
        <v>0</v>
      </c>
      <c r="AG363" s="90">
        <f t="shared" si="120"/>
        <v>214905.01159172325</v>
      </c>
      <c r="AH363" s="29" t="str">
        <f t="shared" si="121"/>
        <v>ok</v>
      </c>
    </row>
    <row r="364" spans="1:34" x14ac:dyDescent="0.2">
      <c r="A364" s="14">
        <v>1.07</v>
      </c>
      <c r="B364" s="14" t="s">
        <v>1134</v>
      </c>
      <c r="C364" s="49"/>
      <c r="D364" s="14" t="s">
        <v>297</v>
      </c>
      <c r="E364" s="265">
        <v>-52787.66000000108</v>
      </c>
      <c r="F364" s="254">
        <f t="shared" ref="F364:F381" si="124">IF(VLOOKUP($D364,$C$5:$AU$519,3,)=0,0,(VLOOKUP($D364,$C$5:$AU$519,4,)/VLOOKUP($D364,$C$5:$AU$519,3,))*$E364)</f>
        <v>-44386.889676258805</v>
      </c>
      <c r="G364" s="254">
        <f t="shared" ref="G364:G381" si="125">IF(VLOOKUP($D364,$C$5:$AU$519,3,)=0,0,(VLOOKUP($D364,$C$5:$AU$519,5,)/VLOOKUP($D364,$C$5:$AU$519,3,))*$E364)</f>
        <v>-2952.1596131850588</v>
      </c>
      <c r="H364" s="254">
        <f t="shared" ref="H364:H381" si="126">IF(VLOOKUP($D364,$C$5:$AU$519,3,)=0,0,(VLOOKUP($D364,$C$5:$AU$519,6,)/VLOOKUP($D364,$C$5:$AU$519,3,))*$E364)</f>
        <v>-2796.706396769036</v>
      </c>
      <c r="I364" s="254">
        <f t="shared" ref="I364:I381" si="127">IF(VLOOKUP($D364,$C$5:$AU$519,3,)=0,0,(VLOOKUP($D364,$C$5:$AU$519,7,)/VLOOKUP($D364,$C$5:$AU$519,3,))*$E364)</f>
        <v>-53.303971121218893</v>
      </c>
      <c r="J364" s="254">
        <f t="shared" ref="J364:J381" si="128">IF(VLOOKUP($D364,$C$5:$AU$519,3,)=0,0,(VLOOKUP($D364,$C$5:$AU$519,8,)/VLOOKUP($D364,$C$5:$AU$519,3,))*$E364)</f>
        <v>-369.64705127428903</v>
      </c>
      <c r="K364" s="65">
        <f t="shared" ref="K364:K381" si="129">IF(VLOOKUP($D364,$C$5:$AU$519,3,)=0,0,(VLOOKUP($D364,$C$5:$AU$519,9,)/VLOOKUP($D364,$C$5:$AU$519,3,))*$E364)</f>
        <v>-2019.1020809175329</v>
      </c>
      <c r="L364" s="65">
        <f t="shared" ref="L364:L381" si="130">IF(VLOOKUP($D364,$C$5:$AU$519,3,)=0,0,(VLOOKUP($D364,$C$5:$AU$519,10,)/VLOOKUP($D364,$C$5:$AU$519,3,))*$E364)</f>
        <v>-209.85121047514053</v>
      </c>
      <c r="M364" s="65">
        <f t="shared" ref="M364:M381" si="131">IF(VLOOKUP($D364,$C$5:$AU$519,3,)=0,0,(VLOOKUP($D364,$C$5:$AU$519,11,)/VLOOKUP($D364,$C$5:$AU$519,3,))*$E364)</f>
        <v>0</v>
      </c>
      <c r="N364" s="65">
        <f t="shared" ref="N364:N381" si="132">IF(VLOOKUP($D364,$C$5:$AU$519,3,)=0,0,(VLOOKUP($D364,$C$5:$AU$519,12,)/VLOOKUP($D364,$C$5:$AU$519,3,))*$E364)</f>
        <v>0</v>
      </c>
      <c r="O364" s="65">
        <f t="shared" ref="O364:O381" si="133">IF(VLOOKUP($D364,$C$5:$AU$519,3,)=0,0,(VLOOKUP($D364,$C$5:$AU$519,13,)/VLOOKUP($D364,$C$5:$AU$519,3,))*$E364)</f>
        <v>0</v>
      </c>
      <c r="P364" s="65">
        <f t="shared" ref="P364:P381" si="134">IF(VLOOKUP($D364,$C$5:$AU$519,3,)=0,0,(VLOOKUP($D364,$C$5:$AU$519,14,)/VLOOKUP($D364,$C$5:$AU$519,3,))*$E364)</f>
        <v>0</v>
      </c>
      <c r="Q364" s="65">
        <f t="shared" ref="Q364:Q381" si="135">IF(VLOOKUP($D364,$C$5:$AU$519,3,)=0,0,(VLOOKUP($D364,$C$5:$AU$519,15,)/VLOOKUP($D364,$C$5:$AU$519,3,))*$E364)</f>
        <v>0</v>
      </c>
      <c r="R364" s="65">
        <f t="shared" ref="R364:R381" si="136">IF(VLOOKUP($D364,$C$5:$AU$519,3,)=0,0,(VLOOKUP($D364,$C$5:$AU$519,16,)/VLOOKUP($D364,$C$5:$AU$519,3,))*$E364)</f>
        <v>0</v>
      </c>
      <c r="S364" s="65">
        <f t="shared" ref="S364:S381" si="137">IF(VLOOKUP($D364,$C$5:$AU$519,3,)=0,0,(VLOOKUP($D364,$C$5:$AU$519,17,)/VLOOKUP($D364,$C$5:$AU$519,3,))*$E364)</f>
        <v>0</v>
      </c>
      <c r="T364" s="65">
        <f t="shared" ref="T364:T381" si="138">IF(VLOOKUP($D364,$C$5:$AU$519,3,)=0,0,(VLOOKUP($D364,$C$5:$AU$519,18,)/VLOOKUP($D364,$C$5:$AU$519,3,))*$E364)</f>
        <v>0</v>
      </c>
      <c r="U364" s="65">
        <f t="shared" ref="U364:U381" si="139">IF(VLOOKUP($D364,$C$5:$AU$519,3,)=0,0,(VLOOKUP($D364,$C$5:$AU$519,19,)/VLOOKUP($D364,$C$5:$AU$519,3,))*$E364)</f>
        <v>0</v>
      </c>
      <c r="V364" s="65">
        <f t="shared" ref="V364:V381" si="140">IF(VLOOKUP($D364,$C$5:$AU$519,3,)=0,0,(VLOOKUP($D364,$C$5:$AU$519,20,)/VLOOKUP($D364,$C$5:$AU$519,3,))*$E364)</f>
        <v>0</v>
      </c>
      <c r="W364" s="65">
        <f t="shared" ref="W364:W381" si="141">IF(VLOOKUP($D364,$C$5:$AU$519,3,)=0,0,(VLOOKUP($D364,$C$5:$AU$519,21,)/VLOOKUP($D364,$C$5:$AU$519,3,))*$E364)</f>
        <v>0</v>
      </c>
      <c r="X364" s="65">
        <f t="shared" ref="X364:X381" si="142">IF(VLOOKUP($D364,$C$5:$AU$519,3,)=0,0,(VLOOKUP($D364,$C$5:$AU$519,22,)/VLOOKUP($D364,$C$5:$AU$519,3,))*$E364)</f>
        <v>0</v>
      </c>
      <c r="Y364" s="65">
        <f t="shared" ref="Y364:Y381" si="143">IF(VLOOKUP($D364,$C$5:$AU$519,3,)=0,0,(VLOOKUP($D364,$C$5:$AU$519,23,)/VLOOKUP($D364,$C$5:$AU$519,3,))*$E364)</f>
        <v>0</v>
      </c>
      <c r="Z364" s="65">
        <f t="shared" ref="Z364:Z381" si="144">IF(VLOOKUP($D364,$C$5:$AU$519,3,)=0,0,(VLOOKUP($D364,$C$5:$AU$519,24,)/VLOOKUP($D364,$C$5:$AU$519,3,))*$E364)</f>
        <v>0</v>
      </c>
      <c r="AA364" s="65">
        <f t="shared" ref="AA364:AA381" si="145">IF(VLOOKUP($D364,$C$5:$AU$519,3,)=0,0,(VLOOKUP($D364,$C$5:$AU$519,25,)/VLOOKUP($D364,$C$5:$AU$519,3,))*$E364)</f>
        <v>0</v>
      </c>
      <c r="AB364" s="65">
        <f t="shared" ref="AB364:AB381" si="146">IF(VLOOKUP($D364,$C$5:$AU$519,3,)=0,0,(VLOOKUP($D364,$C$5:$AU$519,26,)/VLOOKUP($D364,$C$5:$AU$519,3,))*$E364)</f>
        <v>0</v>
      </c>
      <c r="AC364" s="65">
        <f t="shared" ref="AC364:AC381" si="147">IF(VLOOKUP($D364,$C$5:$AU$519,3,)=0,0,(VLOOKUP($D364,$C$5:$AU$519,27,)/VLOOKUP($D364,$C$5:$AU$519,3,))*$E364)</f>
        <v>0</v>
      </c>
      <c r="AD364" s="65">
        <f t="shared" ref="AD364:AD381" si="148">IF(VLOOKUP($D364,$C$5:$AU$519,3,)=0,0,(VLOOKUP($D364,$C$5:$AU$519,28,)/VLOOKUP($D364,$C$5:$AU$519,3,))*$E364)</f>
        <v>0</v>
      </c>
      <c r="AE364" s="65">
        <f t="shared" ref="AE364:AE381" si="149">IF(VLOOKUP($D364,$C$5:$AU$519,3,)=0,0,(VLOOKUP($D364,$C$5:$AU$519,29,)/VLOOKUP($D364,$C$5:$AU$519,3,))*$E364)</f>
        <v>0</v>
      </c>
      <c r="AF364" s="65">
        <f t="shared" ref="AF364:AF381" si="150">IF(VLOOKUP($D364,$C$5:$AU$519,3,)=0,0,(VLOOKUP($D364,$C$5:$AU$519,30,)/VLOOKUP($D364,$C$5:$AU$519,3,))*$E364)</f>
        <v>0</v>
      </c>
      <c r="AG364" s="90">
        <f t="shared" si="120"/>
        <v>-52787.66000000108</v>
      </c>
      <c r="AH364" s="29" t="str">
        <f t="shared" si="121"/>
        <v>ok</v>
      </c>
    </row>
    <row r="365" spans="1:34" x14ac:dyDescent="0.2">
      <c r="A365" s="14">
        <v>1.08</v>
      </c>
      <c r="B365" s="14" t="s">
        <v>1135</v>
      </c>
      <c r="C365" s="49"/>
      <c r="D365" s="14" t="s">
        <v>261</v>
      </c>
      <c r="E365" s="265">
        <v>-158922.87999999998</v>
      </c>
      <c r="F365" s="254">
        <f t="shared" si="124"/>
        <v>-133689.87769036993</v>
      </c>
      <c r="G365" s="254">
        <f t="shared" si="125"/>
        <v>-8889.3464285205373</v>
      </c>
      <c r="H365" s="254">
        <f t="shared" si="126"/>
        <v>-8404.5883371672207</v>
      </c>
      <c r="I365" s="254">
        <f t="shared" si="127"/>
        <v>-160.33009696706659</v>
      </c>
      <c r="J365" s="254">
        <f t="shared" si="128"/>
        <v>-1110.331739530975</v>
      </c>
      <c r="K365" s="65">
        <f t="shared" si="129"/>
        <v>-6040.542879322109</v>
      </c>
      <c r="L365" s="65">
        <f t="shared" si="130"/>
        <v>-627.86282812211925</v>
      </c>
      <c r="M365" s="65">
        <f t="shared" si="131"/>
        <v>0</v>
      </c>
      <c r="N365" s="65">
        <f t="shared" si="132"/>
        <v>0</v>
      </c>
      <c r="O365" s="65">
        <f t="shared" si="133"/>
        <v>0</v>
      </c>
      <c r="P365" s="65">
        <f t="shared" si="134"/>
        <v>0</v>
      </c>
      <c r="Q365" s="65">
        <f t="shared" si="135"/>
        <v>0</v>
      </c>
      <c r="R365" s="65">
        <f t="shared" si="136"/>
        <v>0</v>
      </c>
      <c r="S365" s="65">
        <f t="shared" si="137"/>
        <v>0</v>
      </c>
      <c r="T365" s="65">
        <f t="shared" si="138"/>
        <v>0</v>
      </c>
      <c r="U365" s="65">
        <f t="shared" si="139"/>
        <v>0</v>
      </c>
      <c r="V365" s="65">
        <f t="shared" si="140"/>
        <v>0</v>
      </c>
      <c r="W365" s="65">
        <f t="shared" si="141"/>
        <v>0</v>
      </c>
      <c r="X365" s="65">
        <f t="shared" si="142"/>
        <v>0</v>
      </c>
      <c r="Y365" s="65">
        <f t="shared" si="143"/>
        <v>0</v>
      </c>
      <c r="Z365" s="65">
        <f t="shared" si="144"/>
        <v>0</v>
      </c>
      <c r="AA365" s="65">
        <f t="shared" si="145"/>
        <v>0</v>
      </c>
      <c r="AB365" s="65">
        <f t="shared" si="146"/>
        <v>0</v>
      </c>
      <c r="AC365" s="65">
        <f t="shared" si="147"/>
        <v>0</v>
      </c>
      <c r="AD365" s="65">
        <f t="shared" si="148"/>
        <v>0</v>
      </c>
      <c r="AE365" s="65">
        <f t="shared" si="149"/>
        <v>0</v>
      </c>
      <c r="AF365" s="65">
        <f t="shared" si="150"/>
        <v>0</v>
      </c>
      <c r="AG365" s="90">
        <f t="shared" si="120"/>
        <v>-158922.87999999998</v>
      </c>
      <c r="AH365" s="29" t="str">
        <f t="shared" si="121"/>
        <v>ok</v>
      </c>
    </row>
    <row r="366" spans="1:34" x14ac:dyDescent="0.2">
      <c r="A366" s="14">
        <v>1.0900000000000001</v>
      </c>
      <c r="B366" s="14" t="s">
        <v>1136</v>
      </c>
      <c r="C366" s="49"/>
      <c r="D366" s="14" t="s">
        <v>285</v>
      </c>
      <c r="E366" s="265">
        <v>-34103.58</v>
      </c>
      <c r="F366" s="254">
        <f t="shared" si="124"/>
        <v>-30019.553678089789</v>
      </c>
      <c r="G366" s="254">
        <f t="shared" si="125"/>
        <v>-1946.6832521895644</v>
      </c>
      <c r="H366" s="254">
        <f t="shared" si="126"/>
        <v>-1433.7146593795799</v>
      </c>
      <c r="I366" s="254">
        <f t="shared" si="127"/>
        <v>-32.427152421655236</v>
      </c>
      <c r="J366" s="254">
        <f t="shared" si="128"/>
        <v>-174.17430166348657</v>
      </c>
      <c r="K366" s="65">
        <f t="shared" si="129"/>
        <v>-448.7117538535154</v>
      </c>
      <c r="L366" s="65">
        <f t="shared" si="130"/>
        <v>-48.315202402405923</v>
      </c>
      <c r="M366" s="65">
        <f t="shared" si="131"/>
        <v>0</v>
      </c>
      <c r="N366" s="65">
        <f t="shared" si="132"/>
        <v>0</v>
      </c>
      <c r="O366" s="65">
        <f t="shared" si="133"/>
        <v>0</v>
      </c>
      <c r="P366" s="65">
        <f t="shared" si="134"/>
        <v>0</v>
      </c>
      <c r="Q366" s="65">
        <f t="shared" si="135"/>
        <v>0</v>
      </c>
      <c r="R366" s="65">
        <f t="shared" si="136"/>
        <v>0</v>
      </c>
      <c r="S366" s="65">
        <f t="shared" si="137"/>
        <v>0</v>
      </c>
      <c r="T366" s="65">
        <f t="shared" si="138"/>
        <v>0</v>
      </c>
      <c r="U366" s="65">
        <f t="shared" si="139"/>
        <v>0</v>
      </c>
      <c r="V366" s="65">
        <f t="shared" si="140"/>
        <v>0</v>
      </c>
      <c r="W366" s="65">
        <f t="shared" si="141"/>
        <v>0</v>
      </c>
      <c r="X366" s="65">
        <f t="shared" si="142"/>
        <v>0</v>
      </c>
      <c r="Y366" s="65">
        <f t="shared" si="143"/>
        <v>0</v>
      </c>
      <c r="Z366" s="65">
        <f t="shared" si="144"/>
        <v>0</v>
      </c>
      <c r="AA366" s="65">
        <f t="shared" si="145"/>
        <v>0</v>
      </c>
      <c r="AB366" s="65">
        <f t="shared" si="146"/>
        <v>0</v>
      </c>
      <c r="AC366" s="65">
        <f t="shared" si="147"/>
        <v>0</v>
      </c>
      <c r="AD366" s="65">
        <f t="shared" si="148"/>
        <v>0</v>
      </c>
      <c r="AE366" s="65">
        <f t="shared" si="149"/>
        <v>0</v>
      </c>
      <c r="AF366" s="65">
        <f t="shared" si="150"/>
        <v>0</v>
      </c>
      <c r="AG366" s="90">
        <f>SUM(F366:AF366)</f>
        <v>-34103.579999999994</v>
      </c>
      <c r="AH366" s="29" t="str">
        <f>IF(ABS(E366-AG366)&lt;0.01,"ok","err")</f>
        <v>ok</v>
      </c>
    </row>
    <row r="367" spans="1:34" x14ac:dyDescent="0.2">
      <c r="A367" s="89">
        <v>1.1000000000000001</v>
      </c>
      <c r="B367" s="14" t="s">
        <v>1137</v>
      </c>
      <c r="C367" s="49"/>
      <c r="D367" s="14" t="s">
        <v>285</v>
      </c>
      <c r="E367" s="265">
        <v>-17027.207634743681</v>
      </c>
      <c r="F367" s="254">
        <f t="shared" si="124"/>
        <v>-14988.138300412103</v>
      </c>
      <c r="G367" s="254">
        <f t="shared" si="125"/>
        <v>-971.93842799230492</v>
      </c>
      <c r="H367" s="254">
        <f t="shared" si="126"/>
        <v>-715.82388694183771</v>
      </c>
      <c r="I367" s="254">
        <f t="shared" si="127"/>
        <v>-16.190202239383815</v>
      </c>
      <c r="J367" s="254">
        <f t="shared" si="128"/>
        <v>-86.961603417021536</v>
      </c>
      <c r="K367" s="65">
        <f t="shared" si="129"/>
        <v>-224.03243885286543</v>
      </c>
      <c r="L367" s="65">
        <f t="shared" si="130"/>
        <v>-24.122774888162247</v>
      </c>
      <c r="M367" s="65">
        <f t="shared" si="131"/>
        <v>0</v>
      </c>
      <c r="N367" s="65">
        <f t="shared" si="132"/>
        <v>0</v>
      </c>
      <c r="O367" s="65">
        <f t="shared" si="133"/>
        <v>0</v>
      </c>
      <c r="P367" s="65">
        <f t="shared" si="134"/>
        <v>0</v>
      </c>
      <c r="Q367" s="65">
        <f t="shared" si="135"/>
        <v>0</v>
      </c>
      <c r="R367" s="65">
        <f t="shared" si="136"/>
        <v>0</v>
      </c>
      <c r="S367" s="65">
        <f t="shared" si="137"/>
        <v>0</v>
      </c>
      <c r="T367" s="65">
        <f t="shared" si="138"/>
        <v>0</v>
      </c>
      <c r="U367" s="65">
        <f t="shared" si="139"/>
        <v>0</v>
      </c>
      <c r="V367" s="65">
        <f t="shared" si="140"/>
        <v>0</v>
      </c>
      <c r="W367" s="65">
        <f t="shared" si="141"/>
        <v>0</v>
      </c>
      <c r="X367" s="65">
        <f t="shared" si="142"/>
        <v>0</v>
      </c>
      <c r="Y367" s="65">
        <f t="shared" si="143"/>
        <v>0</v>
      </c>
      <c r="Z367" s="65">
        <f t="shared" si="144"/>
        <v>0</v>
      </c>
      <c r="AA367" s="65">
        <f t="shared" si="145"/>
        <v>0</v>
      </c>
      <c r="AB367" s="65">
        <f t="shared" si="146"/>
        <v>0</v>
      </c>
      <c r="AC367" s="65">
        <f t="shared" si="147"/>
        <v>0</v>
      </c>
      <c r="AD367" s="65">
        <f t="shared" si="148"/>
        <v>0</v>
      </c>
      <c r="AE367" s="65">
        <f t="shared" si="149"/>
        <v>0</v>
      </c>
      <c r="AF367" s="65">
        <f t="shared" si="150"/>
        <v>0</v>
      </c>
      <c r="AG367" s="90">
        <f>SUM(F367:AF367)</f>
        <v>-17027.207634743678</v>
      </c>
      <c r="AH367" s="29" t="str">
        <f>IF(ABS(E367-AG367)&lt;0.01,"ok","err")</f>
        <v>ok</v>
      </c>
    </row>
    <row r="368" spans="1:34" x14ac:dyDescent="0.2">
      <c r="A368" s="14">
        <v>1.1100000000000001</v>
      </c>
      <c r="B368" s="14" t="s">
        <v>1138</v>
      </c>
      <c r="C368" s="49"/>
      <c r="D368" s="14" t="s">
        <v>285</v>
      </c>
      <c r="E368" s="265">
        <v>-21970.289999999997</v>
      </c>
      <c r="F368" s="254">
        <f t="shared" si="124"/>
        <v>-19339.268779940383</v>
      </c>
      <c r="G368" s="254">
        <f t="shared" si="125"/>
        <v>-1254.0969478496938</v>
      </c>
      <c r="H368" s="254">
        <f t="shared" si="126"/>
        <v>-923.63109221438287</v>
      </c>
      <c r="I368" s="254">
        <f t="shared" si="127"/>
        <v>-20.890297809730463</v>
      </c>
      <c r="J368" s="254">
        <f t="shared" si="128"/>
        <v>-112.20698583826922</v>
      </c>
      <c r="K368" s="65">
        <f t="shared" si="129"/>
        <v>-289.0701609206526</v>
      </c>
      <c r="L368" s="65">
        <f t="shared" si="130"/>
        <v>-31.12573542688347</v>
      </c>
      <c r="M368" s="65">
        <f t="shared" si="131"/>
        <v>0</v>
      </c>
      <c r="N368" s="65">
        <f t="shared" si="132"/>
        <v>0</v>
      </c>
      <c r="O368" s="65">
        <f t="shared" si="133"/>
        <v>0</v>
      </c>
      <c r="P368" s="65">
        <f t="shared" si="134"/>
        <v>0</v>
      </c>
      <c r="Q368" s="65">
        <f t="shared" si="135"/>
        <v>0</v>
      </c>
      <c r="R368" s="65">
        <f t="shared" si="136"/>
        <v>0</v>
      </c>
      <c r="S368" s="65">
        <f t="shared" si="137"/>
        <v>0</v>
      </c>
      <c r="T368" s="65">
        <f t="shared" si="138"/>
        <v>0</v>
      </c>
      <c r="U368" s="65">
        <f t="shared" si="139"/>
        <v>0</v>
      </c>
      <c r="V368" s="65">
        <f t="shared" si="140"/>
        <v>0</v>
      </c>
      <c r="W368" s="65">
        <f t="shared" si="141"/>
        <v>0</v>
      </c>
      <c r="X368" s="65">
        <f t="shared" si="142"/>
        <v>0</v>
      </c>
      <c r="Y368" s="65">
        <f t="shared" si="143"/>
        <v>0</v>
      </c>
      <c r="Z368" s="65">
        <f t="shared" si="144"/>
        <v>0</v>
      </c>
      <c r="AA368" s="65">
        <f t="shared" si="145"/>
        <v>0</v>
      </c>
      <c r="AB368" s="65">
        <f t="shared" si="146"/>
        <v>0</v>
      </c>
      <c r="AC368" s="65">
        <f t="shared" si="147"/>
        <v>0</v>
      </c>
      <c r="AD368" s="65">
        <f t="shared" si="148"/>
        <v>0</v>
      </c>
      <c r="AE368" s="65">
        <f t="shared" si="149"/>
        <v>0</v>
      </c>
      <c r="AF368" s="65">
        <f t="shared" si="150"/>
        <v>0</v>
      </c>
      <c r="AG368" s="90">
        <f t="shared" si="120"/>
        <v>-21970.289999999994</v>
      </c>
      <c r="AH368" s="29" t="str">
        <f t="shared" si="121"/>
        <v>ok</v>
      </c>
    </row>
    <row r="369" spans="1:34" x14ac:dyDescent="0.2">
      <c r="A369" s="14">
        <v>1.1200000000000001</v>
      </c>
      <c r="B369" s="14" t="s">
        <v>1139</v>
      </c>
      <c r="C369" s="49"/>
      <c r="D369" s="14" t="s">
        <v>285</v>
      </c>
      <c r="E369" s="265">
        <v>-35535.451799999901</v>
      </c>
      <c r="F369" s="254">
        <f t="shared" si="124"/>
        <v>-31279.9536818501</v>
      </c>
      <c r="G369" s="254">
        <f t="shared" si="125"/>
        <v>-2028.4166318623827</v>
      </c>
      <c r="H369" s="254">
        <f t="shared" si="126"/>
        <v>-1493.9105564089264</v>
      </c>
      <c r="I369" s="254">
        <f t="shared" si="127"/>
        <v>-33.78863778790906</v>
      </c>
      <c r="J369" s="254">
        <f t="shared" si="128"/>
        <v>-181.48717822473384</v>
      </c>
      <c r="K369" s="65">
        <f t="shared" si="129"/>
        <v>-467.55135094776017</v>
      </c>
      <c r="L369" s="65">
        <f t="shared" si="130"/>
        <v>-50.3437629180847</v>
      </c>
      <c r="M369" s="65">
        <f t="shared" si="131"/>
        <v>0</v>
      </c>
      <c r="N369" s="65">
        <f t="shared" si="132"/>
        <v>0</v>
      </c>
      <c r="O369" s="65">
        <f t="shared" si="133"/>
        <v>0</v>
      </c>
      <c r="P369" s="65">
        <f t="shared" si="134"/>
        <v>0</v>
      </c>
      <c r="Q369" s="65">
        <f t="shared" si="135"/>
        <v>0</v>
      </c>
      <c r="R369" s="65">
        <f t="shared" si="136"/>
        <v>0</v>
      </c>
      <c r="S369" s="65">
        <f t="shared" si="137"/>
        <v>0</v>
      </c>
      <c r="T369" s="65">
        <f t="shared" si="138"/>
        <v>0</v>
      </c>
      <c r="U369" s="65">
        <f t="shared" si="139"/>
        <v>0</v>
      </c>
      <c r="V369" s="65">
        <f t="shared" si="140"/>
        <v>0</v>
      </c>
      <c r="W369" s="65">
        <f t="shared" si="141"/>
        <v>0</v>
      </c>
      <c r="X369" s="65">
        <f t="shared" si="142"/>
        <v>0</v>
      </c>
      <c r="Y369" s="65">
        <f t="shared" si="143"/>
        <v>0</v>
      </c>
      <c r="Z369" s="65">
        <f t="shared" si="144"/>
        <v>0</v>
      </c>
      <c r="AA369" s="65">
        <f t="shared" si="145"/>
        <v>0</v>
      </c>
      <c r="AB369" s="65">
        <f t="shared" si="146"/>
        <v>0</v>
      </c>
      <c r="AC369" s="65">
        <f t="shared" si="147"/>
        <v>0</v>
      </c>
      <c r="AD369" s="65">
        <f t="shared" si="148"/>
        <v>0</v>
      </c>
      <c r="AE369" s="65">
        <f t="shared" si="149"/>
        <v>0</v>
      </c>
      <c r="AF369" s="65">
        <f t="shared" si="150"/>
        <v>0</v>
      </c>
      <c r="AG369" s="90">
        <f t="shared" si="120"/>
        <v>-35535.451799999901</v>
      </c>
      <c r="AH369" s="29" t="str">
        <f t="shared" si="121"/>
        <v>ok</v>
      </c>
    </row>
    <row r="370" spans="1:34" x14ac:dyDescent="0.2">
      <c r="A370" s="14">
        <v>1.1299999999999999</v>
      </c>
      <c r="B370" s="14" t="s">
        <v>1027</v>
      </c>
      <c r="C370" s="49"/>
      <c r="D370" s="14" t="s">
        <v>285</v>
      </c>
      <c r="E370" s="265">
        <v>402393.97324999946</v>
      </c>
      <c r="F370" s="254">
        <f t="shared" si="124"/>
        <v>354205.84817541693</v>
      </c>
      <c r="G370" s="254">
        <f t="shared" si="125"/>
        <v>22969.248639227597</v>
      </c>
      <c r="H370" s="254">
        <f t="shared" si="126"/>
        <v>16916.64447821955</v>
      </c>
      <c r="I370" s="254">
        <f t="shared" si="127"/>
        <v>382.61351752904505</v>
      </c>
      <c r="J370" s="254">
        <f t="shared" si="128"/>
        <v>2055.1123748420059</v>
      </c>
      <c r="K370" s="65">
        <f t="shared" si="129"/>
        <v>5294.4267281350467</v>
      </c>
      <c r="L370" s="65">
        <f t="shared" si="130"/>
        <v>570.07933662923472</v>
      </c>
      <c r="M370" s="65">
        <f t="shared" si="131"/>
        <v>0</v>
      </c>
      <c r="N370" s="65">
        <f t="shared" si="132"/>
        <v>0</v>
      </c>
      <c r="O370" s="65">
        <f t="shared" si="133"/>
        <v>0</v>
      </c>
      <c r="P370" s="65">
        <f t="shared" si="134"/>
        <v>0</v>
      </c>
      <c r="Q370" s="65">
        <f t="shared" si="135"/>
        <v>0</v>
      </c>
      <c r="R370" s="65">
        <f t="shared" si="136"/>
        <v>0</v>
      </c>
      <c r="S370" s="65">
        <f t="shared" si="137"/>
        <v>0</v>
      </c>
      <c r="T370" s="65">
        <f t="shared" si="138"/>
        <v>0</v>
      </c>
      <c r="U370" s="65">
        <f t="shared" si="139"/>
        <v>0</v>
      </c>
      <c r="V370" s="65">
        <f t="shared" si="140"/>
        <v>0</v>
      </c>
      <c r="W370" s="65">
        <f t="shared" si="141"/>
        <v>0</v>
      </c>
      <c r="X370" s="65">
        <f t="shared" si="142"/>
        <v>0</v>
      </c>
      <c r="Y370" s="65">
        <f t="shared" si="143"/>
        <v>0</v>
      </c>
      <c r="Z370" s="65">
        <f t="shared" si="144"/>
        <v>0</v>
      </c>
      <c r="AA370" s="65">
        <f t="shared" si="145"/>
        <v>0</v>
      </c>
      <c r="AB370" s="65">
        <f t="shared" si="146"/>
        <v>0</v>
      </c>
      <c r="AC370" s="65">
        <f t="shared" si="147"/>
        <v>0</v>
      </c>
      <c r="AD370" s="65">
        <f t="shared" si="148"/>
        <v>0</v>
      </c>
      <c r="AE370" s="65">
        <f t="shared" si="149"/>
        <v>0</v>
      </c>
      <c r="AF370" s="65">
        <f t="shared" si="150"/>
        <v>0</v>
      </c>
      <c r="AG370" s="90">
        <f t="shared" si="120"/>
        <v>402393.9732499994</v>
      </c>
      <c r="AH370" s="29" t="str">
        <f t="shared" si="121"/>
        <v>ok</v>
      </c>
    </row>
    <row r="371" spans="1:34" x14ac:dyDescent="0.2">
      <c r="A371" s="14">
        <v>1.1399999999999999</v>
      </c>
      <c r="B371" s="14" t="s">
        <v>1162</v>
      </c>
      <c r="C371" s="49"/>
      <c r="D371" s="14" t="s">
        <v>261</v>
      </c>
      <c r="E371" s="265">
        <f>163163.749452055*0</f>
        <v>0</v>
      </c>
      <c r="F371" s="254">
        <f t="shared" si="124"/>
        <v>0</v>
      </c>
      <c r="G371" s="254">
        <f t="shared" si="125"/>
        <v>0</v>
      </c>
      <c r="H371" s="254">
        <f t="shared" si="126"/>
        <v>0</v>
      </c>
      <c r="I371" s="254">
        <f t="shared" si="127"/>
        <v>0</v>
      </c>
      <c r="J371" s="254">
        <f t="shared" si="128"/>
        <v>0</v>
      </c>
      <c r="K371" s="65">
        <f t="shared" si="129"/>
        <v>0</v>
      </c>
      <c r="L371" s="65">
        <f t="shared" si="130"/>
        <v>0</v>
      </c>
      <c r="M371" s="65">
        <f t="shared" si="131"/>
        <v>0</v>
      </c>
      <c r="N371" s="65">
        <f t="shared" si="132"/>
        <v>0</v>
      </c>
      <c r="O371" s="65">
        <f t="shared" si="133"/>
        <v>0</v>
      </c>
      <c r="P371" s="65">
        <f t="shared" si="134"/>
        <v>0</v>
      </c>
      <c r="Q371" s="65">
        <f t="shared" si="135"/>
        <v>0</v>
      </c>
      <c r="R371" s="65">
        <f t="shared" si="136"/>
        <v>0</v>
      </c>
      <c r="S371" s="65">
        <f t="shared" si="137"/>
        <v>0</v>
      </c>
      <c r="T371" s="65">
        <f t="shared" si="138"/>
        <v>0</v>
      </c>
      <c r="U371" s="65">
        <f t="shared" si="139"/>
        <v>0</v>
      </c>
      <c r="V371" s="65">
        <f t="shared" si="140"/>
        <v>0</v>
      </c>
      <c r="W371" s="65">
        <f t="shared" si="141"/>
        <v>0</v>
      </c>
      <c r="X371" s="65">
        <f t="shared" si="142"/>
        <v>0</v>
      </c>
      <c r="Y371" s="65">
        <f t="shared" si="143"/>
        <v>0</v>
      </c>
      <c r="Z371" s="65">
        <f t="shared" si="144"/>
        <v>0</v>
      </c>
      <c r="AA371" s="65">
        <f t="shared" si="145"/>
        <v>0</v>
      </c>
      <c r="AB371" s="65">
        <f t="shared" si="146"/>
        <v>0</v>
      </c>
      <c r="AC371" s="65">
        <f t="shared" si="147"/>
        <v>0</v>
      </c>
      <c r="AD371" s="65">
        <f t="shared" si="148"/>
        <v>0</v>
      </c>
      <c r="AE371" s="65">
        <f t="shared" si="149"/>
        <v>0</v>
      </c>
      <c r="AF371" s="65">
        <f t="shared" si="150"/>
        <v>0</v>
      </c>
      <c r="AG371" s="90">
        <f t="shared" si="120"/>
        <v>0</v>
      </c>
      <c r="AH371" s="29" t="str">
        <f t="shared" si="121"/>
        <v>ok</v>
      </c>
    </row>
    <row r="372" spans="1:34" hidden="1" x14ac:dyDescent="0.2">
      <c r="B372" s="14" t="s">
        <v>1026</v>
      </c>
      <c r="C372" s="49"/>
      <c r="D372" s="14" t="s">
        <v>261</v>
      </c>
      <c r="E372" s="256">
        <v>0</v>
      </c>
      <c r="F372" s="65">
        <f t="shared" si="124"/>
        <v>0</v>
      </c>
      <c r="G372" s="65">
        <f t="shared" si="125"/>
        <v>0</v>
      </c>
      <c r="H372" s="65">
        <f t="shared" si="126"/>
        <v>0</v>
      </c>
      <c r="I372" s="65">
        <f t="shared" si="127"/>
        <v>0</v>
      </c>
      <c r="J372" s="65">
        <f t="shared" si="128"/>
        <v>0</v>
      </c>
      <c r="K372" s="65">
        <f t="shared" si="129"/>
        <v>0</v>
      </c>
      <c r="L372" s="65">
        <f t="shared" si="130"/>
        <v>0</v>
      </c>
      <c r="M372" s="65">
        <f t="shared" si="131"/>
        <v>0</v>
      </c>
      <c r="N372" s="65">
        <f t="shared" si="132"/>
        <v>0</v>
      </c>
      <c r="O372" s="65">
        <f t="shared" si="133"/>
        <v>0</v>
      </c>
      <c r="P372" s="65">
        <f t="shared" si="134"/>
        <v>0</v>
      </c>
      <c r="Q372" s="65">
        <f t="shared" si="135"/>
        <v>0</v>
      </c>
      <c r="R372" s="65">
        <f t="shared" si="136"/>
        <v>0</v>
      </c>
      <c r="S372" s="65">
        <f t="shared" si="137"/>
        <v>0</v>
      </c>
      <c r="T372" s="65">
        <f t="shared" si="138"/>
        <v>0</v>
      </c>
      <c r="U372" s="65">
        <f t="shared" si="139"/>
        <v>0</v>
      </c>
      <c r="V372" s="65">
        <f t="shared" si="140"/>
        <v>0</v>
      </c>
      <c r="W372" s="65">
        <f t="shared" si="141"/>
        <v>0</v>
      </c>
      <c r="X372" s="65">
        <f t="shared" si="142"/>
        <v>0</v>
      </c>
      <c r="Y372" s="65">
        <f t="shared" si="143"/>
        <v>0</v>
      </c>
      <c r="Z372" s="65">
        <f t="shared" si="144"/>
        <v>0</v>
      </c>
      <c r="AA372" s="65">
        <f t="shared" si="145"/>
        <v>0</v>
      </c>
      <c r="AB372" s="65">
        <f t="shared" si="146"/>
        <v>0</v>
      </c>
      <c r="AC372" s="65">
        <f t="shared" si="147"/>
        <v>0</v>
      </c>
      <c r="AD372" s="65">
        <f t="shared" si="148"/>
        <v>0</v>
      </c>
      <c r="AE372" s="65">
        <f t="shared" si="149"/>
        <v>0</v>
      </c>
      <c r="AF372" s="65">
        <f t="shared" si="150"/>
        <v>0</v>
      </c>
      <c r="AG372" s="90">
        <f t="shared" ref="AG372" si="151">SUM(F372:AF372)</f>
        <v>0</v>
      </c>
      <c r="AH372" s="29" t="str">
        <f t="shared" ref="AH372" si="152">IF(ABS(E372-AG372)&lt;0.01,"ok","err")</f>
        <v>ok</v>
      </c>
    </row>
    <row r="373" spans="1:34" hidden="1" x14ac:dyDescent="0.2">
      <c r="B373" s="14" t="s">
        <v>1026</v>
      </c>
      <c r="C373" s="49"/>
      <c r="D373" s="14" t="s">
        <v>261</v>
      </c>
      <c r="E373" s="256">
        <v>0</v>
      </c>
      <c r="F373" s="65">
        <f t="shared" si="124"/>
        <v>0</v>
      </c>
      <c r="G373" s="65">
        <f t="shared" si="125"/>
        <v>0</v>
      </c>
      <c r="H373" s="65">
        <f t="shared" si="126"/>
        <v>0</v>
      </c>
      <c r="I373" s="65">
        <f t="shared" si="127"/>
        <v>0</v>
      </c>
      <c r="J373" s="65">
        <f t="shared" si="128"/>
        <v>0</v>
      </c>
      <c r="K373" s="65">
        <f t="shared" si="129"/>
        <v>0</v>
      </c>
      <c r="L373" s="65">
        <f t="shared" si="130"/>
        <v>0</v>
      </c>
      <c r="M373" s="65">
        <f t="shared" si="131"/>
        <v>0</v>
      </c>
      <c r="N373" s="65">
        <f t="shared" si="132"/>
        <v>0</v>
      </c>
      <c r="O373" s="65">
        <f t="shared" si="133"/>
        <v>0</v>
      </c>
      <c r="P373" s="65">
        <f t="shared" si="134"/>
        <v>0</v>
      </c>
      <c r="Q373" s="65">
        <f t="shared" si="135"/>
        <v>0</v>
      </c>
      <c r="R373" s="65">
        <f t="shared" si="136"/>
        <v>0</v>
      </c>
      <c r="S373" s="65">
        <f t="shared" si="137"/>
        <v>0</v>
      </c>
      <c r="T373" s="65">
        <f t="shared" si="138"/>
        <v>0</v>
      </c>
      <c r="U373" s="65">
        <f t="shared" si="139"/>
        <v>0</v>
      </c>
      <c r="V373" s="65">
        <f t="shared" si="140"/>
        <v>0</v>
      </c>
      <c r="W373" s="65">
        <f t="shared" si="141"/>
        <v>0</v>
      </c>
      <c r="X373" s="65">
        <f t="shared" si="142"/>
        <v>0</v>
      </c>
      <c r="Y373" s="65">
        <f t="shared" si="143"/>
        <v>0</v>
      </c>
      <c r="Z373" s="65">
        <f t="shared" si="144"/>
        <v>0</v>
      </c>
      <c r="AA373" s="65">
        <f t="shared" si="145"/>
        <v>0</v>
      </c>
      <c r="AB373" s="65">
        <f t="shared" si="146"/>
        <v>0</v>
      </c>
      <c r="AC373" s="65">
        <f t="shared" si="147"/>
        <v>0</v>
      </c>
      <c r="AD373" s="65">
        <f t="shared" si="148"/>
        <v>0</v>
      </c>
      <c r="AE373" s="65">
        <f t="shared" si="149"/>
        <v>0</v>
      </c>
      <c r="AF373" s="65">
        <f t="shared" si="150"/>
        <v>0</v>
      </c>
      <c r="AG373" s="90">
        <f>SUM(F373:AF373)</f>
        <v>0</v>
      </c>
      <c r="AH373" s="29" t="str">
        <f>IF(ABS(E373-AG373)&lt;0.01,"ok","err")</f>
        <v>ok</v>
      </c>
    </row>
    <row r="374" spans="1:34" hidden="1" x14ac:dyDescent="0.2">
      <c r="B374" s="14" t="s">
        <v>1026</v>
      </c>
      <c r="C374" s="49"/>
      <c r="D374" s="14" t="s">
        <v>261</v>
      </c>
      <c r="E374" s="256">
        <v>0</v>
      </c>
      <c r="F374" s="65">
        <f t="shared" si="124"/>
        <v>0</v>
      </c>
      <c r="G374" s="65">
        <f t="shared" si="125"/>
        <v>0</v>
      </c>
      <c r="H374" s="65">
        <f t="shared" si="126"/>
        <v>0</v>
      </c>
      <c r="I374" s="65">
        <f t="shared" si="127"/>
        <v>0</v>
      </c>
      <c r="J374" s="65">
        <f t="shared" si="128"/>
        <v>0</v>
      </c>
      <c r="K374" s="65">
        <f t="shared" si="129"/>
        <v>0</v>
      </c>
      <c r="L374" s="65">
        <f t="shared" si="130"/>
        <v>0</v>
      </c>
      <c r="M374" s="65">
        <f t="shared" si="131"/>
        <v>0</v>
      </c>
      <c r="N374" s="65">
        <f t="shared" si="132"/>
        <v>0</v>
      </c>
      <c r="O374" s="65">
        <f t="shared" si="133"/>
        <v>0</v>
      </c>
      <c r="P374" s="65">
        <f t="shared" si="134"/>
        <v>0</v>
      </c>
      <c r="Q374" s="65">
        <f t="shared" si="135"/>
        <v>0</v>
      </c>
      <c r="R374" s="65">
        <f t="shared" si="136"/>
        <v>0</v>
      </c>
      <c r="S374" s="65">
        <f t="shared" si="137"/>
        <v>0</v>
      </c>
      <c r="T374" s="65">
        <f t="shared" si="138"/>
        <v>0</v>
      </c>
      <c r="U374" s="65">
        <f t="shared" si="139"/>
        <v>0</v>
      </c>
      <c r="V374" s="65">
        <f t="shared" si="140"/>
        <v>0</v>
      </c>
      <c r="W374" s="65">
        <f t="shared" si="141"/>
        <v>0</v>
      </c>
      <c r="X374" s="65">
        <f t="shared" si="142"/>
        <v>0</v>
      </c>
      <c r="Y374" s="65">
        <f t="shared" si="143"/>
        <v>0</v>
      </c>
      <c r="Z374" s="65">
        <f t="shared" si="144"/>
        <v>0</v>
      </c>
      <c r="AA374" s="65">
        <f t="shared" si="145"/>
        <v>0</v>
      </c>
      <c r="AB374" s="65">
        <f t="shared" si="146"/>
        <v>0</v>
      </c>
      <c r="AC374" s="65">
        <f t="shared" si="147"/>
        <v>0</v>
      </c>
      <c r="AD374" s="65">
        <f t="shared" si="148"/>
        <v>0</v>
      </c>
      <c r="AE374" s="65">
        <f t="shared" si="149"/>
        <v>0</v>
      </c>
      <c r="AF374" s="65">
        <f t="shared" si="150"/>
        <v>0</v>
      </c>
      <c r="AG374" s="90">
        <f t="shared" ref="AG374:AG377" si="153">SUM(F374:AF374)</f>
        <v>0</v>
      </c>
      <c r="AH374" s="29" t="str">
        <f t="shared" ref="AH374:AH377" si="154">IF(ABS(E374-AG374)&lt;0.01,"ok","err")</f>
        <v>ok</v>
      </c>
    </row>
    <row r="375" spans="1:34" hidden="1" x14ac:dyDescent="0.2">
      <c r="A375" s="14">
        <v>18</v>
      </c>
      <c r="D375" s="14" t="s">
        <v>261</v>
      </c>
      <c r="E375" s="254">
        <v>0</v>
      </c>
      <c r="F375" s="65">
        <f t="shared" si="124"/>
        <v>0</v>
      </c>
      <c r="G375" s="65">
        <f t="shared" si="125"/>
        <v>0</v>
      </c>
      <c r="H375" s="65">
        <f t="shared" si="126"/>
        <v>0</v>
      </c>
      <c r="I375" s="65">
        <f t="shared" si="127"/>
        <v>0</v>
      </c>
      <c r="J375" s="65">
        <f t="shared" si="128"/>
        <v>0</v>
      </c>
      <c r="K375" s="65">
        <f t="shared" si="129"/>
        <v>0</v>
      </c>
      <c r="L375" s="65">
        <f t="shared" si="130"/>
        <v>0</v>
      </c>
      <c r="M375" s="65">
        <f t="shared" si="131"/>
        <v>0</v>
      </c>
      <c r="N375" s="65">
        <f t="shared" si="132"/>
        <v>0</v>
      </c>
      <c r="O375" s="65">
        <f t="shared" si="133"/>
        <v>0</v>
      </c>
      <c r="P375" s="65">
        <f t="shared" si="134"/>
        <v>0</v>
      </c>
      <c r="Q375" s="65">
        <f t="shared" si="135"/>
        <v>0</v>
      </c>
      <c r="R375" s="65">
        <f t="shared" si="136"/>
        <v>0</v>
      </c>
      <c r="S375" s="65">
        <f t="shared" si="137"/>
        <v>0</v>
      </c>
      <c r="T375" s="65">
        <f t="shared" si="138"/>
        <v>0</v>
      </c>
      <c r="U375" s="65">
        <f t="shared" si="139"/>
        <v>0</v>
      </c>
      <c r="V375" s="65">
        <f t="shared" si="140"/>
        <v>0</v>
      </c>
      <c r="W375" s="65">
        <f t="shared" si="141"/>
        <v>0</v>
      </c>
      <c r="X375" s="65">
        <f t="shared" si="142"/>
        <v>0</v>
      </c>
      <c r="Y375" s="65">
        <f t="shared" si="143"/>
        <v>0</v>
      </c>
      <c r="Z375" s="65">
        <f t="shared" si="144"/>
        <v>0</v>
      </c>
      <c r="AA375" s="65">
        <f t="shared" si="145"/>
        <v>0</v>
      </c>
      <c r="AB375" s="65">
        <f t="shared" si="146"/>
        <v>0</v>
      </c>
      <c r="AC375" s="65">
        <f t="shared" si="147"/>
        <v>0</v>
      </c>
      <c r="AD375" s="65">
        <f t="shared" si="148"/>
        <v>0</v>
      </c>
      <c r="AE375" s="65">
        <f t="shared" si="149"/>
        <v>0</v>
      </c>
      <c r="AF375" s="65">
        <f t="shared" si="150"/>
        <v>0</v>
      </c>
      <c r="AG375" s="90">
        <f t="shared" si="153"/>
        <v>0</v>
      </c>
      <c r="AH375" s="29" t="str">
        <f t="shared" si="154"/>
        <v>ok</v>
      </c>
    </row>
    <row r="376" spans="1:34" hidden="1" x14ac:dyDescent="0.2">
      <c r="A376" s="14">
        <v>19</v>
      </c>
      <c r="D376" s="14" t="s">
        <v>261</v>
      </c>
      <c r="E376" s="254">
        <v>0</v>
      </c>
      <c r="F376" s="65">
        <f t="shared" si="124"/>
        <v>0</v>
      </c>
      <c r="G376" s="65">
        <f t="shared" si="125"/>
        <v>0</v>
      </c>
      <c r="H376" s="65">
        <f t="shared" si="126"/>
        <v>0</v>
      </c>
      <c r="I376" s="65">
        <f t="shared" si="127"/>
        <v>0</v>
      </c>
      <c r="J376" s="65">
        <f t="shared" si="128"/>
        <v>0</v>
      </c>
      <c r="K376" s="65">
        <f t="shared" si="129"/>
        <v>0</v>
      </c>
      <c r="L376" s="65">
        <f t="shared" si="130"/>
        <v>0</v>
      </c>
      <c r="M376" s="65">
        <f t="shared" si="131"/>
        <v>0</v>
      </c>
      <c r="N376" s="65">
        <f t="shared" si="132"/>
        <v>0</v>
      </c>
      <c r="O376" s="65">
        <f t="shared" si="133"/>
        <v>0</v>
      </c>
      <c r="P376" s="65">
        <f t="shared" si="134"/>
        <v>0</v>
      </c>
      <c r="Q376" s="65">
        <f t="shared" si="135"/>
        <v>0</v>
      </c>
      <c r="R376" s="65">
        <f t="shared" si="136"/>
        <v>0</v>
      </c>
      <c r="S376" s="65">
        <f t="shared" si="137"/>
        <v>0</v>
      </c>
      <c r="T376" s="65">
        <f t="shared" si="138"/>
        <v>0</v>
      </c>
      <c r="U376" s="65">
        <f t="shared" si="139"/>
        <v>0</v>
      </c>
      <c r="V376" s="65">
        <f t="shared" si="140"/>
        <v>0</v>
      </c>
      <c r="W376" s="65">
        <f t="shared" si="141"/>
        <v>0</v>
      </c>
      <c r="X376" s="65">
        <f t="shared" si="142"/>
        <v>0</v>
      </c>
      <c r="Y376" s="65">
        <f t="shared" si="143"/>
        <v>0</v>
      </c>
      <c r="Z376" s="65">
        <f t="shared" si="144"/>
        <v>0</v>
      </c>
      <c r="AA376" s="65">
        <f t="shared" si="145"/>
        <v>0</v>
      </c>
      <c r="AB376" s="65">
        <f t="shared" si="146"/>
        <v>0</v>
      </c>
      <c r="AC376" s="65">
        <f t="shared" si="147"/>
        <v>0</v>
      </c>
      <c r="AD376" s="65">
        <f t="shared" si="148"/>
        <v>0</v>
      </c>
      <c r="AE376" s="65">
        <f t="shared" si="149"/>
        <v>0</v>
      </c>
      <c r="AF376" s="65">
        <f t="shared" si="150"/>
        <v>0</v>
      </c>
      <c r="AG376" s="90">
        <f t="shared" si="153"/>
        <v>0</v>
      </c>
      <c r="AH376" s="29" t="str">
        <f t="shared" si="154"/>
        <v>ok</v>
      </c>
    </row>
    <row r="377" spans="1:34" hidden="1" x14ac:dyDescent="0.2">
      <c r="A377" s="14">
        <v>20</v>
      </c>
      <c r="D377" s="14" t="s">
        <v>261</v>
      </c>
      <c r="E377" s="254">
        <v>0</v>
      </c>
      <c r="F377" s="65">
        <f t="shared" si="124"/>
        <v>0</v>
      </c>
      <c r="G377" s="65">
        <f t="shared" si="125"/>
        <v>0</v>
      </c>
      <c r="H377" s="65">
        <f t="shared" si="126"/>
        <v>0</v>
      </c>
      <c r="I377" s="65">
        <f t="shared" si="127"/>
        <v>0</v>
      </c>
      <c r="J377" s="65">
        <f t="shared" si="128"/>
        <v>0</v>
      </c>
      <c r="K377" s="65">
        <f t="shared" si="129"/>
        <v>0</v>
      </c>
      <c r="L377" s="65">
        <f t="shared" si="130"/>
        <v>0</v>
      </c>
      <c r="M377" s="65">
        <f t="shared" si="131"/>
        <v>0</v>
      </c>
      <c r="N377" s="65">
        <f t="shared" si="132"/>
        <v>0</v>
      </c>
      <c r="O377" s="65">
        <f t="shared" si="133"/>
        <v>0</v>
      </c>
      <c r="P377" s="65">
        <f t="shared" si="134"/>
        <v>0</v>
      </c>
      <c r="Q377" s="65">
        <f t="shared" si="135"/>
        <v>0</v>
      </c>
      <c r="R377" s="65">
        <f t="shared" si="136"/>
        <v>0</v>
      </c>
      <c r="S377" s="65">
        <f t="shared" si="137"/>
        <v>0</v>
      </c>
      <c r="T377" s="65">
        <f t="shared" si="138"/>
        <v>0</v>
      </c>
      <c r="U377" s="65">
        <f t="shared" si="139"/>
        <v>0</v>
      </c>
      <c r="V377" s="65">
        <f t="shared" si="140"/>
        <v>0</v>
      </c>
      <c r="W377" s="65">
        <f t="shared" si="141"/>
        <v>0</v>
      </c>
      <c r="X377" s="65">
        <f t="shared" si="142"/>
        <v>0</v>
      </c>
      <c r="Y377" s="65">
        <f t="shared" si="143"/>
        <v>0</v>
      </c>
      <c r="Z377" s="65">
        <f t="shared" si="144"/>
        <v>0</v>
      </c>
      <c r="AA377" s="65">
        <f t="shared" si="145"/>
        <v>0</v>
      </c>
      <c r="AB377" s="65">
        <f t="shared" si="146"/>
        <v>0</v>
      </c>
      <c r="AC377" s="65">
        <f t="shared" si="147"/>
        <v>0</v>
      </c>
      <c r="AD377" s="65">
        <f t="shared" si="148"/>
        <v>0</v>
      </c>
      <c r="AE377" s="65">
        <f t="shared" si="149"/>
        <v>0</v>
      </c>
      <c r="AF377" s="65">
        <f t="shared" si="150"/>
        <v>0</v>
      </c>
      <c r="AG377" s="90">
        <f t="shared" si="153"/>
        <v>0</v>
      </c>
      <c r="AH377" s="29" t="str">
        <f t="shared" si="154"/>
        <v>ok</v>
      </c>
    </row>
    <row r="378" spans="1:34" hidden="1" x14ac:dyDescent="0.2">
      <c r="A378" s="14">
        <v>21</v>
      </c>
      <c r="D378" s="14" t="s">
        <v>261</v>
      </c>
      <c r="E378" s="254">
        <v>0</v>
      </c>
      <c r="F378" s="65">
        <f t="shared" si="124"/>
        <v>0</v>
      </c>
      <c r="G378" s="65">
        <f t="shared" si="125"/>
        <v>0</v>
      </c>
      <c r="H378" s="65">
        <f t="shared" si="126"/>
        <v>0</v>
      </c>
      <c r="I378" s="65">
        <f t="shared" si="127"/>
        <v>0</v>
      </c>
      <c r="J378" s="65">
        <f t="shared" si="128"/>
        <v>0</v>
      </c>
      <c r="K378" s="65">
        <f t="shared" si="129"/>
        <v>0</v>
      </c>
      <c r="L378" s="65">
        <f t="shared" si="130"/>
        <v>0</v>
      </c>
      <c r="M378" s="65">
        <f t="shared" si="131"/>
        <v>0</v>
      </c>
      <c r="N378" s="65">
        <f t="shared" si="132"/>
        <v>0</v>
      </c>
      <c r="O378" s="65">
        <f t="shared" si="133"/>
        <v>0</v>
      </c>
      <c r="P378" s="65">
        <f t="shared" si="134"/>
        <v>0</v>
      </c>
      <c r="Q378" s="65">
        <f t="shared" si="135"/>
        <v>0</v>
      </c>
      <c r="R378" s="65">
        <f t="shared" si="136"/>
        <v>0</v>
      </c>
      <c r="S378" s="65">
        <f t="shared" si="137"/>
        <v>0</v>
      </c>
      <c r="T378" s="65">
        <f t="shared" si="138"/>
        <v>0</v>
      </c>
      <c r="U378" s="65">
        <f t="shared" si="139"/>
        <v>0</v>
      </c>
      <c r="V378" s="65">
        <f t="shared" si="140"/>
        <v>0</v>
      </c>
      <c r="W378" s="65">
        <f t="shared" si="141"/>
        <v>0</v>
      </c>
      <c r="X378" s="65">
        <f t="shared" si="142"/>
        <v>0</v>
      </c>
      <c r="Y378" s="65">
        <f t="shared" si="143"/>
        <v>0</v>
      </c>
      <c r="Z378" s="65">
        <f t="shared" si="144"/>
        <v>0</v>
      </c>
      <c r="AA378" s="65">
        <f t="shared" si="145"/>
        <v>0</v>
      </c>
      <c r="AB378" s="65">
        <f t="shared" si="146"/>
        <v>0</v>
      </c>
      <c r="AC378" s="65">
        <f t="shared" si="147"/>
        <v>0</v>
      </c>
      <c r="AD378" s="65">
        <f t="shared" si="148"/>
        <v>0</v>
      </c>
      <c r="AE378" s="65">
        <f t="shared" si="149"/>
        <v>0</v>
      </c>
      <c r="AF378" s="65">
        <f t="shared" si="150"/>
        <v>0</v>
      </c>
      <c r="AG378" s="90">
        <f t="shared" ref="AG378:AG379" si="155">SUM(F378:AF378)</f>
        <v>0</v>
      </c>
      <c r="AH378" s="29" t="str">
        <f t="shared" ref="AH378:AH379" si="156">IF(ABS(E378-AG378)&lt;0.01,"ok","err")</f>
        <v>ok</v>
      </c>
    </row>
    <row r="379" spans="1:34" hidden="1" x14ac:dyDescent="0.2">
      <c r="A379" s="14">
        <v>22</v>
      </c>
      <c r="D379" s="14" t="s">
        <v>261</v>
      </c>
      <c r="E379" s="254">
        <v>0</v>
      </c>
      <c r="F379" s="65">
        <f t="shared" si="124"/>
        <v>0</v>
      </c>
      <c r="G379" s="65">
        <f t="shared" si="125"/>
        <v>0</v>
      </c>
      <c r="H379" s="65">
        <f t="shared" si="126"/>
        <v>0</v>
      </c>
      <c r="I379" s="65">
        <f t="shared" si="127"/>
        <v>0</v>
      </c>
      <c r="J379" s="65">
        <f t="shared" si="128"/>
        <v>0</v>
      </c>
      <c r="K379" s="65">
        <f t="shared" si="129"/>
        <v>0</v>
      </c>
      <c r="L379" s="65">
        <f t="shared" si="130"/>
        <v>0</v>
      </c>
      <c r="M379" s="65">
        <f t="shared" si="131"/>
        <v>0</v>
      </c>
      <c r="N379" s="65">
        <f t="shared" si="132"/>
        <v>0</v>
      </c>
      <c r="O379" s="65">
        <f t="shared" si="133"/>
        <v>0</v>
      </c>
      <c r="P379" s="65">
        <f t="shared" si="134"/>
        <v>0</v>
      </c>
      <c r="Q379" s="65">
        <f t="shared" si="135"/>
        <v>0</v>
      </c>
      <c r="R379" s="65">
        <f t="shared" si="136"/>
        <v>0</v>
      </c>
      <c r="S379" s="65">
        <f t="shared" si="137"/>
        <v>0</v>
      </c>
      <c r="T379" s="65">
        <f t="shared" si="138"/>
        <v>0</v>
      </c>
      <c r="U379" s="65">
        <f t="shared" si="139"/>
        <v>0</v>
      </c>
      <c r="V379" s="65">
        <f t="shared" si="140"/>
        <v>0</v>
      </c>
      <c r="W379" s="65">
        <f t="shared" si="141"/>
        <v>0</v>
      </c>
      <c r="X379" s="65">
        <f t="shared" si="142"/>
        <v>0</v>
      </c>
      <c r="Y379" s="65">
        <f t="shared" si="143"/>
        <v>0</v>
      </c>
      <c r="Z379" s="65">
        <f t="shared" si="144"/>
        <v>0</v>
      </c>
      <c r="AA379" s="65">
        <f t="shared" si="145"/>
        <v>0</v>
      </c>
      <c r="AB379" s="65">
        <f t="shared" si="146"/>
        <v>0</v>
      </c>
      <c r="AC379" s="65">
        <f t="shared" si="147"/>
        <v>0</v>
      </c>
      <c r="AD379" s="65">
        <f t="shared" si="148"/>
        <v>0</v>
      </c>
      <c r="AE379" s="65">
        <f t="shared" si="149"/>
        <v>0</v>
      </c>
      <c r="AF379" s="65">
        <f t="shared" si="150"/>
        <v>0</v>
      </c>
      <c r="AG379" s="90">
        <f t="shared" si="155"/>
        <v>0</v>
      </c>
      <c r="AH379" s="29" t="str">
        <f t="shared" si="156"/>
        <v>ok</v>
      </c>
    </row>
    <row r="380" spans="1:34" hidden="1" x14ac:dyDescent="0.2">
      <c r="A380" s="14">
        <v>23</v>
      </c>
      <c r="D380" s="14" t="s">
        <v>261</v>
      </c>
      <c r="E380" s="254">
        <v>0</v>
      </c>
      <c r="F380" s="65">
        <f t="shared" si="124"/>
        <v>0</v>
      </c>
      <c r="G380" s="65">
        <f t="shared" si="125"/>
        <v>0</v>
      </c>
      <c r="H380" s="65">
        <f t="shared" si="126"/>
        <v>0</v>
      </c>
      <c r="I380" s="65">
        <f t="shared" si="127"/>
        <v>0</v>
      </c>
      <c r="J380" s="65">
        <f t="shared" si="128"/>
        <v>0</v>
      </c>
      <c r="K380" s="65">
        <f t="shared" si="129"/>
        <v>0</v>
      </c>
      <c r="L380" s="65">
        <f t="shared" si="130"/>
        <v>0</v>
      </c>
      <c r="M380" s="65">
        <f t="shared" si="131"/>
        <v>0</v>
      </c>
      <c r="N380" s="65">
        <f t="shared" si="132"/>
        <v>0</v>
      </c>
      <c r="O380" s="65">
        <f t="shared" si="133"/>
        <v>0</v>
      </c>
      <c r="P380" s="65">
        <f t="shared" si="134"/>
        <v>0</v>
      </c>
      <c r="Q380" s="65">
        <f t="shared" si="135"/>
        <v>0</v>
      </c>
      <c r="R380" s="65">
        <f t="shared" si="136"/>
        <v>0</v>
      </c>
      <c r="S380" s="65">
        <f t="shared" si="137"/>
        <v>0</v>
      </c>
      <c r="T380" s="65">
        <f t="shared" si="138"/>
        <v>0</v>
      </c>
      <c r="U380" s="65">
        <f t="shared" si="139"/>
        <v>0</v>
      </c>
      <c r="V380" s="65">
        <f t="shared" si="140"/>
        <v>0</v>
      </c>
      <c r="W380" s="65">
        <f t="shared" si="141"/>
        <v>0</v>
      </c>
      <c r="X380" s="65">
        <f t="shared" si="142"/>
        <v>0</v>
      </c>
      <c r="Y380" s="65">
        <f t="shared" si="143"/>
        <v>0</v>
      </c>
      <c r="Z380" s="65">
        <f t="shared" si="144"/>
        <v>0</v>
      </c>
      <c r="AA380" s="65">
        <f t="shared" si="145"/>
        <v>0</v>
      </c>
      <c r="AB380" s="65">
        <f t="shared" si="146"/>
        <v>0</v>
      </c>
      <c r="AC380" s="65">
        <f t="shared" si="147"/>
        <v>0</v>
      </c>
      <c r="AD380" s="65">
        <f t="shared" si="148"/>
        <v>0</v>
      </c>
      <c r="AE380" s="65">
        <f t="shared" si="149"/>
        <v>0</v>
      </c>
      <c r="AF380" s="65">
        <f t="shared" si="150"/>
        <v>0</v>
      </c>
      <c r="AG380" s="90">
        <f t="shared" ref="AG380" si="157">SUM(F380:AF380)</f>
        <v>0</v>
      </c>
      <c r="AH380" s="29" t="str">
        <f t="shared" ref="AH380" si="158">IF(ABS(E380-AG380)&lt;0.01,"ok","err")</f>
        <v>ok</v>
      </c>
    </row>
    <row r="381" spans="1:34" hidden="1" x14ac:dyDescent="0.2">
      <c r="A381" s="14">
        <v>24</v>
      </c>
      <c r="D381" s="14" t="s">
        <v>261</v>
      </c>
      <c r="E381" s="254">
        <v>0</v>
      </c>
      <c r="F381" s="65">
        <f t="shared" si="124"/>
        <v>0</v>
      </c>
      <c r="G381" s="65">
        <f t="shared" si="125"/>
        <v>0</v>
      </c>
      <c r="H381" s="65">
        <f t="shared" si="126"/>
        <v>0</v>
      </c>
      <c r="I381" s="65">
        <f t="shared" si="127"/>
        <v>0</v>
      </c>
      <c r="J381" s="65">
        <f t="shared" si="128"/>
        <v>0</v>
      </c>
      <c r="K381" s="65">
        <f t="shared" si="129"/>
        <v>0</v>
      </c>
      <c r="L381" s="65">
        <f t="shared" si="130"/>
        <v>0</v>
      </c>
      <c r="M381" s="65">
        <f t="shared" si="131"/>
        <v>0</v>
      </c>
      <c r="N381" s="65">
        <f t="shared" si="132"/>
        <v>0</v>
      </c>
      <c r="O381" s="65">
        <f t="shared" si="133"/>
        <v>0</v>
      </c>
      <c r="P381" s="65">
        <f t="shared" si="134"/>
        <v>0</v>
      </c>
      <c r="Q381" s="65">
        <f t="shared" si="135"/>
        <v>0</v>
      </c>
      <c r="R381" s="65">
        <f t="shared" si="136"/>
        <v>0</v>
      </c>
      <c r="S381" s="65">
        <f t="shared" si="137"/>
        <v>0</v>
      </c>
      <c r="T381" s="65">
        <f t="shared" si="138"/>
        <v>0</v>
      </c>
      <c r="U381" s="65">
        <f t="shared" si="139"/>
        <v>0</v>
      </c>
      <c r="V381" s="65">
        <f t="shared" si="140"/>
        <v>0</v>
      </c>
      <c r="W381" s="65">
        <f t="shared" si="141"/>
        <v>0</v>
      </c>
      <c r="X381" s="65">
        <f t="shared" si="142"/>
        <v>0</v>
      </c>
      <c r="Y381" s="65">
        <f t="shared" si="143"/>
        <v>0</v>
      </c>
      <c r="Z381" s="65">
        <f t="shared" si="144"/>
        <v>0</v>
      </c>
      <c r="AA381" s="65">
        <f t="shared" si="145"/>
        <v>0</v>
      </c>
      <c r="AB381" s="65">
        <f t="shared" si="146"/>
        <v>0</v>
      </c>
      <c r="AC381" s="65">
        <f t="shared" si="147"/>
        <v>0</v>
      </c>
      <c r="AD381" s="65">
        <f t="shared" si="148"/>
        <v>0</v>
      </c>
      <c r="AE381" s="65">
        <f t="shared" si="149"/>
        <v>0</v>
      </c>
      <c r="AF381" s="65">
        <f t="shared" si="150"/>
        <v>0</v>
      </c>
      <c r="AG381" s="90">
        <f t="shared" si="120"/>
        <v>0</v>
      </c>
      <c r="AH381" s="29" t="str">
        <f t="shared" si="121"/>
        <v>ok</v>
      </c>
    </row>
    <row r="382" spans="1:34" x14ac:dyDescent="0.2">
      <c r="B382" s="26" t="s">
        <v>903</v>
      </c>
      <c r="E382" s="271">
        <f t="shared" ref="E382:R382" si="159">SUM(E358:E381)</f>
        <v>-9756358.3561847452</v>
      </c>
      <c r="F382" s="101">
        <f t="shared" si="159"/>
        <v>-4609094.7464678539</v>
      </c>
      <c r="G382" s="101">
        <f t="shared" si="159"/>
        <v>-411759.37989495433</v>
      </c>
      <c r="H382" s="101">
        <f t="shared" si="159"/>
        <v>-882916.58025447675</v>
      </c>
      <c r="I382" s="101">
        <f t="shared" si="159"/>
        <v>34968.478789320958</v>
      </c>
      <c r="J382" s="101">
        <f t="shared" si="159"/>
        <v>-113343.07817844873</v>
      </c>
      <c r="K382" s="101">
        <f t="shared" si="159"/>
        <v>-117270.07442353867</v>
      </c>
      <c r="L382" s="101">
        <f t="shared" si="159"/>
        <v>-12136.557489007504</v>
      </c>
      <c r="M382" s="101">
        <f t="shared" si="159"/>
        <v>-3644806.4166740635</v>
      </c>
      <c r="N382" s="101">
        <f t="shared" si="159"/>
        <v>0</v>
      </c>
      <c r="O382" s="101">
        <f t="shared" si="159"/>
        <v>0</v>
      </c>
      <c r="P382" s="101">
        <f t="shared" si="159"/>
        <v>0</v>
      </c>
      <c r="Q382" s="101">
        <f t="shared" si="159"/>
        <v>0</v>
      </c>
      <c r="R382" s="101">
        <f t="shared" si="159"/>
        <v>0</v>
      </c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101">
        <f t="shared" si="120"/>
        <v>-9756358.3545930218</v>
      </c>
      <c r="AH382" s="29" t="str">
        <f t="shared" si="121"/>
        <v>ok</v>
      </c>
    </row>
    <row r="383" spans="1:34" x14ac:dyDescent="0.2">
      <c r="E383" s="256"/>
    </row>
    <row r="384" spans="1:34" x14ac:dyDescent="0.2">
      <c r="A384" s="14" t="s">
        <v>572</v>
      </c>
      <c r="E384" s="256">
        <f t="shared" ref="E384:R384" si="160">E355+E382</f>
        <v>74248674.193815246</v>
      </c>
      <c r="F384" s="90">
        <f t="shared" si="160"/>
        <v>44290739.199762397</v>
      </c>
      <c r="G384" s="90">
        <f t="shared" si="160"/>
        <v>3310698.6749633639</v>
      </c>
      <c r="H384" s="90">
        <f t="shared" si="160"/>
        <v>6395893.075221587</v>
      </c>
      <c r="I384" s="90">
        <f t="shared" si="160"/>
        <v>139790.94260171108</v>
      </c>
      <c r="J384" s="90">
        <f t="shared" si="160"/>
        <v>745774.22228011221</v>
      </c>
      <c r="K384" s="90">
        <f t="shared" si="160"/>
        <v>1156876.4085174014</v>
      </c>
      <c r="L384" s="90">
        <f t="shared" si="160"/>
        <v>120467.23700414094</v>
      </c>
      <c r="M384" s="90">
        <f t="shared" si="160"/>
        <v>18088434.433325939</v>
      </c>
      <c r="N384" s="90">
        <f t="shared" si="160"/>
        <v>0</v>
      </c>
      <c r="O384" s="90">
        <f t="shared" si="160"/>
        <v>0</v>
      </c>
      <c r="P384" s="90">
        <f t="shared" si="160"/>
        <v>0</v>
      </c>
      <c r="Q384" s="90">
        <f t="shared" si="160"/>
        <v>0</v>
      </c>
      <c r="R384" s="90">
        <f t="shared" si="160"/>
        <v>0</v>
      </c>
      <c r="S384" s="90">
        <f t="shared" ref="S384:AF384" si="161">SUM(S355:S383)</f>
        <v>0</v>
      </c>
      <c r="T384" s="90">
        <f t="shared" si="161"/>
        <v>0</v>
      </c>
      <c r="U384" s="90">
        <f t="shared" si="161"/>
        <v>0</v>
      </c>
      <c r="V384" s="90">
        <f t="shared" si="161"/>
        <v>0</v>
      </c>
      <c r="W384" s="90">
        <f t="shared" si="161"/>
        <v>0</v>
      </c>
      <c r="X384" s="90">
        <f t="shared" si="161"/>
        <v>0</v>
      </c>
      <c r="Y384" s="90">
        <f t="shared" si="161"/>
        <v>0</v>
      </c>
      <c r="Z384" s="90">
        <f t="shared" si="161"/>
        <v>0</v>
      </c>
      <c r="AA384" s="90">
        <f t="shared" si="161"/>
        <v>0</v>
      </c>
      <c r="AB384" s="90">
        <f t="shared" si="161"/>
        <v>0</v>
      </c>
      <c r="AC384" s="90">
        <f t="shared" si="161"/>
        <v>0</v>
      </c>
      <c r="AD384" s="90">
        <f t="shared" si="161"/>
        <v>0</v>
      </c>
      <c r="AE384" s="90">
        <f t="shared" si="161"/>
        <v>0</v>
      </c>
      <c r="AF384" s="90">
        <f t="shared" si="161"/>
        <v>0</v>
      </c>
      <c r="AG384" s="90">
        <f>SUM(F384:AF384)</f>
        <v>74248674.193676651</v>
      </c>
      <c r="AH384" s="29" t="str">
        <f>IF(ABS(E384-AG384)&lt;0.01,"ok","err")</f>
        <v>ok</v>
      </c>
    </row>
    <row r="386" spans="1:34" x14ac:dyDescent="0.2">
      <c r="A386" s="13" t="s">
        <v>573</v>
      </c>
      <c r="E386" s="256">
        <f t="shared" ref="E386:AF386" si="162">E351-E384</f>
        <v>2146625.1161847562</v>
      </c>
      <c r="F386" s="90">
        <f t="shared" si="162"/>
        <v>-182744.97661422193</v>
      </c>
      <c r="G386" s="90">
        <f t="shared" si="162"/>
        <v>197040.8144853604</v>
      </c>
      <c r="H386" s="90">
        <f t="shared" si="162"/>
        <v>1649260.0741760135</v>
      </c>
      <c r="I386" s="90">
        <f t="shared" si="162"/>
        <v>47301.712171473308</v>
      </c>
      <c r="J386" s="90">
        <f t="shared" si="162"/>
        <v>203434.9295825751</v>
      </c>
      <c r="K386" s="90">
        <f t="shared" si="162"/>
        <v>219356.59905168554</v>
      </c>
      <c r="L386" s="90">
        <f t="shared" si="162"/>
        <v>12975.966123296326</v>
      </c>
      <c r="M386" s="90">
        <f t="shared" si="162"/>
        <v>0</v>
      </c>
      <c r="N386" s="90">
        <f t="shared" si="162"/>
        <v>0</v>
      </c>
      <c r="O386" s="90">
        <f t="shared" si="162"/>
        <v>0</v>
      </c>
      <c r="P386" s="90">
        <f t="shared" si="162"/>
        <v>0</v>
      </c>
      <c r="Q386" s="90">
        <f t="shared" si="162"/>
        <v>0</v>
      </c>
      <c r="R386" s="90">
        <f t="shared" si="162"/>
        <v>0</v>
      </c>
      <c r="S386" s="90">
        <f t="shared" si="162"/>
        <v>0</v>
      </c>
      <c r="T386" s="90">
        <f t="shared" si="162"/>
        <v>0</v>
      </c>
      <c r="U386" s="90">
        <f t="shared" si="162"/>
        <v>0</v>
      </c>
      <c r="V386" s="90">
        <f t="shared" si="162"/>
        <v>0</v>
      </c>
      <c r="W386" s="90">
        <f t="shared" si="162"/>
        <v>0</v>
      </c>
      <c r="X386" s="90">
        <f t="shared" si="162"/>
        <v>0</v>
      </c>
      <c r="Y386" s="90">
        <f t="shared" si="162"/>
        <v>0</v>
      </c>
      <c r="Z386" s="90">
        <f t="shared" si="162"/>
        <v>0</v>
      </c>
      <c r="AA386" s="90">
        <f t="shared" si="162"/>
        <v>0</v>
      </c>
      <c r="AB386" s="90">
        <f t="shared" si="162"/>
        <v>0</v>
      </c>
      <c r="AC386" s="90">
        <f t="shared" si="162"/>
        <v>0</v>
      </c>
      <c r="AD386" s="90">
        <f t="shared" si="162"/>
        <v>0</v>
      </c>
      <c r="AE386" s="90">
        <f t="shared" si="162"/>
        <v>0</v>
      </c>
      <c r="AF386" s="90">
        <f t="shared" si="162"/>
        <v>0</v>
      </c>
      <c r="AG386" s="90">
        <f>SUM(F386:AF386)</f>
        <v>2146625.1189761823</v>
      </c>
      <c r="AH386" s="29" t="str">
        <f>IF(ABS(E386-AG386)&lt;0.01,"ok","err")</f>
        <v>ok</v>
      </c>
    </row>
    <row r="388" spans="1:34" x14ac:dyDescent="0.2">
      <c r="A388" s="13" t="s">
        <v>249</v>
      </c>
      <c r="E388" s="256">
        <f t="shared" ref="E388:AF388" si="163">E328</f>
        <v>155758951.5371154</v>
      </c>
      <c r="F388" s="90">
        <f t="shared" si="163"/>
        <v>131028302.40791772</v>
      </c>
      <c r="G388" s="90">
        <f t="shared" si="163"/>
        <v>8712372.1867899727</v>
      </c>
      <c r="H388" s="90">
        <f t="shared" si="163"/>
        <v>8237264.9394362504</v>
      </c>
      <c r="I388" s="90">
        <f t="shared" si="163"/>
        <v>157138.15281622345</v>
      </c>
      <c r="J388" s="90">
        <f t="shared" si="163"/>
        <v>1088226.6141145076</v>
      </c>
      <c r="K388" s="90">
        <f t="shared" si="163"/>
        <v>5920284.2636516523</v>
      </c>
      <c r="L388" s="90">
        <f t="shared" si="163"/>
        <v>615362.97238905681</v>
      </c>
      <c r="M388" s="90">
        <f t="shared" si="163"/>
        <v>0</v>
      </c>
      <c r="N388" s="90">
        <f t="shared" si="163"/>
        <v>0</v>
      </c>
      <c r="O388" s="90">
        <f t="shared" si="163"/>
        <v>0</v>
      </c>
      <c r="P388" s="90">
        <f t="shared" si="163"/>
        <v>0</v>
      </c>
      <c r="Q388" s="90">
        <f t="shared" si="163"/>
        <v>0</v>
      </c>
      <c r="R388" s="90">
        <f t="shared" si="163"/>
        <v>0</v>
      </c>
      <c r="S388" s="90">
        <f t="shared" si="163"/>
        <v>0</v>
      </c>
      <c r="T388" s="90">
        <f t="shared" si="163"/>
        <v>0</v>
      </c>
      <c r="U388" s="90">
        <f t="shared" si="163"/>
        <v>0</v>
      </c>
      <c r="V388" s="90">
        <f t="shared" si="163"/>
        <v>0</v>
      </c>
      <c r="W388" s="90">
        <f t="shared" si="163"/>
        <v>0</v>
      </c>
      <c r="X388" s="90">
        <f t="shared" si="163"/>
        <v>0</v>
      </c>
      <c r="Y388" s="90">
        <f t="shared" si="163"/>
        <v>0</v>
      </c>
      <c r="Z388" s="90">
        <f t="shared" si="163"/>
        <v>0</v>
      </c>
      <c r="AA388" s="90">
        <f t="shared" si="163"/>
        <v>0</v>
      </c>
      <c r="AB388" s="90">
        <f t="shared" si="163"/>
        <v>0</v>
      </c>
      <c r="AC388" s="90">
        <f t="shared" si="163"/>
        <v>0</v>
      </c>
      <c r="AD388" s="90">
        <f t="shared" si="163"/>
        <v>0</v>
      </c>
      <c r="AE388" s="90">
        <f t="shared" si="163"/>
        <v>0</v>
      </c>
      <c r="AF388" s="90">
        <f t="shared" si="163"/>
        <v>0</v>
      </c>
      <c r="AG388" s="90">
        <f>SUM(F388:AF388)</f>
        <v>155758951.53711537</v>
      </c>
      <c r="AH388" s="29" t="str">
        <f>IF(ABS(E388-AG388)&lt;0.01,"ok","err")</f>
        <v>ok</v>
      </c>
    </row>
    <row r="389" spans="1:34" x14ac:dyDescent="0.2">
      <c r="A389" s="14" t="s">
        <v>750</v>
      </c>
      <c r="E389" s="256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  <c r="AC389" s="90"/>
      <c r="AD389" s="90"/>
      <c r="AE389" s="90"/>
      <c r="AF389" s="90"/>
      <c r="AG389" s="90"/>
      <c r="AH389" s="29"/>
    </row>
    <row r="390" spans="1:34" x14ac:dyDescent="0.2">
      <c r="A390" s="13"/>
      <c r="B390" s="14" t="s">
        <v>1026</v>
      </c>
      <c r="D390" s="14" t="s">
        <v>261</v>
      </c>
      <c r="E390" s="256">
        <v>0</v>
      </c>
      <c r="F390" s="65">
        <f>IF(VLOOKUP($D390,$C$5:$AU$519,3,)=0,0,(VLOOKUP($D390,$C$5:$AU$519,4,)/VLOOKUP($D390,$C$5:$AU$519,3,))*$E390)</f>
        <v>0</v>
      </c>
      <c r="G390" s="65">
        <f>IF(VLOOKUP($D390,$C$5:$AU$519,3,)=0,0,(VLOOKUP($D390,$C$5:$AU$519,5,)/VLOOKUP($D390,$C$5:$AU$519,3,))*$E390)</f>
        <v>0</v>
      </c>
      <c r="H390" s="65">
        <f>IF(VLOOKUP($D390,$C$5:$AU$519,3,)=0,0,(VLOOKUP($D390,$C$5:$AU$519,6,)/VLOOKUP($D390,$C$5:$AU$519,3,))*$E390)</f>
        <v>0</v>
      </c>
      <c r="I390" s="65">
        <f>IF(VLOOKUP($D390,$C$5:$AU$519,3,)=0,0,(VLOOKUP($D390,$C$5:$AU$519,7,)/VLOOKUP($D390,$C$5:$AU$519,3,))*$E390)</f>
        <v>0</v>
      </c>
      <c r="J390" s="65">
        <f>IF(VLOOKUP($D390,$C$5:$AU$519,3,)=0,0,(VLOOKUP($D390,$C$5:$AU$519,8,)/VLOOKUP($D390,$C$5:$AU$519,3,))*$E390)</f>
        <v>0</v>
      </c>
      <c r="K390" s="65">
        <f>IF(VLOOKUP($D390,$C$5:$AU$519,3,)=0,0,(VLOOKUP($D390,$C$5:$AU$519,9,)/VLOOKUP($D390,$C$5:$AU$519,3,))*$E390)</f>
        <v>0</v>
      </c>
      <c r="L390" s="65">
        <f>IF(VLOOKUP($D390,$C$5:$AU$519,3,)=0,0,(VLOOKUP($D390,$C$5:$AU$519,10,)/VLOOKUP($D390,$C$5:$AU$519,3,))*$E390)</f>
        <v>0</v>
      </c>
      <c r="M390" s="65">
        <f>IF(VLOOKUP($D390,$C$5:$AU$519,3,)=0,0,(VLOOKUP($D390,$C$5:$AU$519,11,)/VLOOKUP($D390,$C$5:$AU$519,3,))*$E390)</f>
        <v>0</v>
      </c>
      <c r="N390" s="65">
        <f>IF(VLOOKUP($D390,$C$5:$AU$519,3,)=0,0,(VLOOKUP($D390,$C$5:$AU$519,12,)/VLOOKUP($D390,$C$5:$AU$519,3,))*$E390)</f>
        <v>0</v>
      </c>
      <c r="O390" s="65">
        <f>IF(VLOOKUP($D390,$C$5:$AU$519,3,)=0,0,(VLOOKUP($D390,$C$5:$AU$519,13,)/VLOOKUP($D390,$C$5:$AU$519,3,))*$E390)</f>
        <v>0</v>
      </c>
      <c r="P390" s="65">
        <f>IF(VLOOKUP($D390,$C$5:$AU$519,3,)=0,0,(VLOOKUP($D390,$C$5:$AU$519,14,)/VLOOKUP($D390,$C$5:$AU$519,3,))*$E390)</f>
        <v>0</v>
      </c>
      <c r="Q390" s="65">
        <f>IF(VLOOKUP($D390,$C$5:$AU$519,3,)=0,0,(VLOOKUP($D390,$C$5:$AU$519,15,)/VLOOKUP($D390,$C$5:$AU$519,3,))*$E390)</f>
        <v>0</v>
      </c>
      <c r="R390" s="65">
        <f>IF(VLOOKUP($D390,$C$5:$AU$519,3,)=0,0,(VLOOKUP($D390,$C$5:$AU$519,16,)/VLOOKUP($D390,$C$5:$AU$519,3,))*$E390)</f>
        <v>0</v>
      </c>
      <c r="S390" s="65">
        <f>IF(VLOOKUP($D390,$C$5:$AU$519,3,)=0,0,(VLOOKUP($D390,$C$5:$AU$519,17,)/VLOOKUP($D390,$C$5:$AU$519,3,))*$E390)</f>
        <v>0</v>
      </c>
      <c r="T390" s="65">
        <f>IF(VLOOKUP($D390,$C$5:$AU$519,3,)=0,0,(VLOOKUP($D390,$C$5:$AU$519,18,)/VLOOKUP($D390,$C$5:$AU$519,3,))*$E390)</f>
        <v>0</v>
      </c>
      <c r="U390" s="65">
        <f>IF(VLOOKUP($D390,$C$5:$AU$519,3,)=0,0,(VLOOKUP($D390,$C$5:$AU$519,19,)/VLOOKUP($D390,$C$5:$AU$519,3,))*$E390)</f>
        <v>0</v>
      </c>
      <c r="V390" s="65">
        <f>IF(VLOOKUP($D390,$C$5:$AU$519,3,)=0,0,(VLOOKUP($D390,$C$5:$AU$519,20,)/VLOOKUP($D390,$C$5:$AU$519,3,))*$E390)</f>
        <v>0</v>
      </c>
      <c r="W390" s="65">
        <f>IF(VLOOKUP($D390,$C$5:$AU$519,3,)=0,0,(VLOOKUP($D390,$C$5:$AU$519,21,)/VLOOKUP($D390,$C$5:$AU$519,3,))*$E390)</f>
        <v>0</v>
      </c>
      <c r="X390" s="65">
        <f>IF(VLOOKUP($D390,$C$5:$AU$519,3,)=0,0,(VLOOKUP($D390,$C$5:$AU$519,22,)/VLOOKUP($D390,$C$5:$AU$519,3,))*$E390)</f>
        <v>0</v>
      </c>
      <c r="Y390" s="65">
        <f>IF(VLOOKUP($D390,$C$5:$AU$519,3,)=0,0,(VLOOKUP($D390,$C$5:$AU$519,23,)/VLOOKUP($D390,$C$5:$AU$519,3,))*$E390)</f>
        <v>0</v>
      </c>
      <c r="Z390" s="65">
        <f>IF(VLOOKUP($D390,$C$5:$AU$519,3,)=0,0,(VLOOKUP($D390,$C$5:$AU$519,24,)/VLOOKUP($D390,$C$5:$AU$519,3,))*$E390)</f>
        <v>0</v>
      </c>
      <c r="AA390" s="65">
        <f>IF(VLOOKUP($D390,$C$5:$AU$519,3,)=0,0,(VLOOKUP($D390,$C$5:$AU$519,25,)/VLOOKUP($D390,$C$5:$AU$519,3,))*$E390)</f>
        <v>0</v>
      </c>
      <c r="AB390" s="65">
        <f>IF(VLOOKUP($D390,$C$5:$AU$519,3,)=0,0,(VLOOKUP($D390,$C$5:$AU$519,26,)/VLOOKUP($D390,$C$5:$AU$519,3,))*$E390)</f>
        <v>0</v>
      </c>
      <c r="AC390" s="65">
        <f>IF(VLOOKUP($D390,$C$5:$AU$519,3,)=0,0,(VLOOKUP($D390,$C$5:$AU$519,27,)/VLOOKUP($D390,$C$5:$AU$519,3,))*$E390)</f>
        <v>0</v>
      </c>
      <c r="AD390" s="65">
        <f>IF(VLOOKUP($D390,$C$5:$AU$519,3,)=0,0,(VLOOKUP($D390,$C$5:$AU$519,28,)/VLOOKUP($D390,$C$5:$AU$519,3,))*$E390)</f>
        <v>0</v>
      </c>
      <c r="AE390" s="65">
        <f>IF(VLOOKUP($D390,$C$5:$AU$519,3,)=0,0,(VLOOKUP($D390,$C$5:$AU$519,29,)/VLOOKUP($D390,$C$5:$AU$519,3,))*$E390)</f>
        <v>0</v>
      </c>
      <c r="AF390" s="65">
        <f>IF(VLOOKUP($D390,$C$5:$AU$519,3,)=0,0,(VLOOKUP($D390,$C$5:$AU$519,30,)/VLOOKUP($D390,$C$5:$AU$519,3,))*$E390)</f>
        <v>0</v>
      </c>
      <c r="AG390" s="90">
        <f>SUM(F390:AF390)</f>
        <v>0</v>
      </c>
      <c r="AH390" s="29" t="str">
        <f>IF(ABS(E390-AG390)&lt;0.01,"ok","err")</f>
        <v>ok</v>
      </c>
    </row>
    <row r="391" spans="1:34" x14ac:dyDescent="0.2">
      <c r="A391" s="13"/>
      <c r="E391" s="256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90"/>
      <c r="AH391" s="29"/>
    </row>
    <row r="392" spans="1:34" x14ac:dyDescent="0.2">
      <c r="A392" s="14" t="s">
        <v>749</v>
      </c>
      <c r="E392" s="256">
        <f>E388+E390</f>
        <v>155758951.5371154</v>
      </c>
      <c r="F392" s="90">
        <f t="shared" ref="F392:U392" si="164">F388+F390</f>
        <v>131028302.40791772</v>
      </c>
      <c r="G392" s="90">
        <f t="shared" si="164"/>
        <v>8712372.1867899727</v>
      </c>
      <c r="H392" s="90">
        <f t="shared" si="164"/>
        <v>8237264.9394362504</v>
      </c>
      <c r="I392" s="90">
        <f t="shared" si="164"/>
        <v>157138.15281622345</v>
      </c>
      <c r="J392" s="90">
        <f t="shared" si="164"/>
        <v>1088226.6141145076</v>
      </c>
      <c r="K392" s="90">
        <f t="shared" si="164"/>
        <v>5920284.2636516523</v>
      </c>
      <c r="L392" s="90">
        <f t="shared" si="164"/>
        <v>615362.97238905681</v>
      </c>
      <c r="M392" s="90">
        <f>M388+M390</f>
        <v>0</v>
      </c>
      <c r="N392" s="90">
        <f t="shared" si="164"/>
        <v>0</v>
      </c>
      <c r="O392" s="90">
        <f t="shared" si="164"/>
        <v>0</v>
      </c>
      <c r="P392" s="90">
        <f>P388+P390</f>
        <v>0</v>
      </c>
      <c r="Q392" s="90">
        <f t="shared" si="164"/>
        <v>0</v>
      </c>
      <c r="R392" s="90">
        <f t="shared" si="164"/>
        <v>0</v>
      </c>
      <c r="S392" s="65">
        <f t="shared" si="164"/>
        <v>0</v>
      </c>
      <c r="T392" s="65">
        <f t="shared" si="164"/>
        <v>0</v>
      </c>
      <c r="U392" s="65">
        <f t="shared" si="164"/>
        <v>0</v>
      </c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90">
        <f>SUM(F392:AF392)</f>
        <v>155758951.53711537</v>
      </c>
      <c r="AH392" s="29" t="str">
        <f>IF(ABS(E392-AG392)&lt;0.01,"ok","err")</f>
        <v>ok</v>
      </c>
    </row>
    <row r="393" spans="1:34" ht="13.5" thickBot="1" x14ac:dyDescent="0.25"/>
    <row r="394" spans="1:34" ht="13.5" thickBot="1" x14ac:dyDescent="0.25">
      <c r="A394" s="173" t="s">
        <v>334</v>
      </c>
      <c r="B394" s="174"/>
      <c r="C394" s="174"/>
      <c r="D394" s="174"/>
      <c r="E394" s="268">
        <f t="shared" ref="E394:R394" si="165">E386/E392</f>
        <v>1.3781712672053024E-2</v>
      </c>
      <c r="F394" s="100">
        <f t="shared" si="165"/>
        <v>-1.3946984983847206E-3</v>
      </c>
      <c r="G394" s="100">
        <f t="shared" si="165"/>
        <v>2.2616207189142024E-2</v>
      </c>
      <c r="H394" s="100">
        <f t="shared" si="165"/>
        <v>0.20021937940591322</v>
      </c>
      <c r="I394" s="100">
        <f t="shared" si="165"/>
        <v>0.30101990715643517</v>
      </c>
      <c r="J394" s="100">
        <f t="shared" si="165"/>
        <v>0.18694169665029794</v>
      </c>
      <c r="K394" s="100">
        <f t="shared" si="165"/>
        <v>3.7051700439192356E-2</v>
      </c>
      <c r="L394" s="100">
        <f t="shared" si="165"/>
        <v>2.1086686566335042E-2</v>
      </c>
      <c r="M394" s="227" t="s">
        <v>1159</v>
      </c>
      <c r="N394" s="100" t="e">
        <f t="shared" si="165"/>
        <v>#DIV/0!</v>
      </c>
      <c r="O394" s="100" t="e">
        <f t="shared" si="165"/>
        <v>#DIV/0!</v>
      </c>
      <c r="P394" s="100" t="e">
        <f t="shared" si="165"/>
        <v>#DIV/0!</v>
      </c>
      <c r="Q394" s="100" t="e">
        <f t="shared" si="165"/>
        <v>#DIV/0!</v>
      </c>
      <c r="R394" s="100" t="e">
        <f t="shared" si="165"/>
        <v>#DIV/0!</v>
      </c>
      <c r="S394" s="100" t="e">
        <f t="shared" ref="S394:AF394" si="166">S386/S388</f>
        <v>#DIV/0!</v>
      </c>
      <c r="T394" s="100" t="e">
        <f t="shared" si="166"/>
        <v>#DIV/0!</v>
      </c>
      <c r="U394" s="100" t="e">
        <f t="shared" si="166"/>
        <v>#DIV/0!</v>
      </c>
      <c r="V394" s="100" t="e">
        <f t="shared" si="166"/>
        <v>#DIV/0!</v>
      </c>
      <c r="W394" s="100" t="e">
        <f t="shared" si="166"/>
        <v>#DIV/0!</v>
      </c>
      <c r="X394" s="100" t="e">
        <f t="shared" si="166"/>
        <v>#DIV/0!</v>
      </c>
      <c r="Y394" s="100" t="e">
        <f t="shared" si="166"/>
        <v>#DIV/0!</v>
      </c>
      <c r="Z394" s="100" t="e">
        <f t="shared" si="166"/>
        <v>#DIV/0!</v>
      </c>
      <c r="AA394" s="100" t="e">
        <f t="shared" si="166"/>
        <v>#DIV/0!</v>
      </c>
      <c r="AB394" s="100" t="e">
        <f t="shared" si="166"/>
        <v>#DIV/0!</v>
      </c>
      <c r="AC394" s="100" t="e">
        <f t="shared" si="166"/>
        <v>#DIV/0!</v>
      </c>
      <c r="AD394" s="100" t="e">
        <f t="shared" si="166"/>
        <v>#DIV/0!</v>
      </c>
      <c r="AE394" s="100" t="e">
        <f t="shared" si="166"/>
        <v>#DIV/0!</v>
      </c>
      <c r="AF394" s="100" t="e">
        <f t="shared" si="166"/>
        <v>#DIV/0!</v>
      </c>
      <c r="AG394" s="90"/>
      <c r="AH394" s="29"/>
    </row>
    <row r="395" spans="1:34" x14ac:dyDescent="0.2">
      <c r="A395" s="13" t="s">
        <v>945</v>
      </c>
      <c r="B395" s="13"/>
      <c r="C395" s="13"/>
      <c r="D395" s="13"/>
      <c r="E395" s="269">
        <f>E394/$E$394</f>
        <v>1</v>
      </c>
      <c r="F395" s="176">
        <f t="shared" ref="F395:AF395" si="167">F394/$E$394</f>
        <v>-0.10119921460943912</v>
      </c>
      <c r="G395" s="176">
        <f t="shared" si="167"/>
        <v>1.6410302353062298</v>
      </c>
      <c r="H395" s="176">
        <f t="shared" si="167"/>
        <v>14.527902603275438</v>
      </c>
      <c r="I395" s="176">
        <f t="shared" si="167"/>
        <v>21.841981059934046</v>
      </c>
      <c r="J395" s="176">
        <f t="shared" si="167"/>
        <v>13.564474974825444</v>
      </c>
      <c r="K395" s="176">
        <f t="shared" si="167"/>
        <v>2.6884685032163613</v>
      </c>
      <c r="L395" s="176">
        <f t="shared" si="167"/>
        <v>1.5300483378307013</v>
      </c>
      <c r="M395" s="52" t="s">
        <v>1159</v>
      </c>
      <c r="N395" s="176" t="e">
        <f t="shared" si="167"/>
        <v>#DIV/0!</v>
      </c>
      <c r="O395" s="176" t="e">
        <f t="shared" si="167"/>
        <v>#DIV/0!</v>
      </c>
      <c r="P395" s="176" t="e">
        <f t="shared" si="167"/>
        <v>#DIV/0!</v>
      </c>
      <c r="Q395" s="176" t="e">
        <f t="shared" si="167"/>
        <v>#DIV/0!</v>
      </c>
      <c r="R395" s="176" t="e">
        <f t="shared" si="167"/>
        <v>#DIV/0!</v>
      </c>
      <c r="S395" s="176" t="e">
        <f t="shared" si="167"/>
        <v>#DIV/0!</v>
      </c>
      <c r="T395" s="176" t="e">
        <f t="shared" si="167"/>
        <v>#DIV/0!</v>
      </c>
      <c r="U395" s="176" t="e">
        <f t="shared" si="167"/>
        <v>#DIV/0!</v>
      </c>
      <c r="V395" s="176" t="e">
        <f t="shared" si="167"/>
        <v>#DIV/0!</v>
      </c>
      <c r="W395" s="176" t="e">
        <f t="shared" si="167"/>
        <v>#DIV/0!</v>
      </c>
      <c r="X395" s="176" t="e">
        <f t="shared" si="167"/>
        <v>#DIV/0!</v>
      </c>
      <c r="Y395" s="176" t="e">
        <f t="shared" si="167"/>
        <v>#DIV/0!</v>
      </c>
      <c r="Z395" s="176" t="e">
        <f t="shared" si="167"/>
        <v>#DIV/0!</v>
      </c>
      <c r="AA395" s="176" t="e">
        <f t="shared" si="167"/>
        <v>#DIV/0!</v>
      </c>
      <c r="AB395" s="176" t="e">
        <f t="shared" si="167"/>
        <v>#DIV/0!</v>
      </c>
      <c r="AC395" s="176" t="e">
        <f t="shared" si="167"/>
        <v>#DIV/0!</v>
      </c>
      <c r="AD395" s="176" t="e">
        <f t="shared" si="167"/>
        <v>#DIV/0!</v>
      </c>
      <c r="AE395" s="176" t="e">
        <f t="shared" si="167"/>
        <v>#DIV/0!</v>
      </c>
      <c r="AF395" s="176" t="e">
        <f t="shared" si="167"/>
        <v>#DIV/0!</v>
      </c>
      <c r="AG395" s="90"/>
      <c r="AH395" s="29"/>
    </row>
    <row r="398" spans="1:34" x14ac:dyDescent="0.2">
      <c r="A398" s="27" t="s">
        <v>567</v>
      </c>
    </row>
    <row r="400" spans="1:34" x14ac:dyDescent="0.2">
      <c r="A400" s="13" t="s">
        <v>335</v>
      </c>
    </row>
    <row r="401" spans="1:34" x14ac:dyDescent="0.2">
      <c r="A401" s="14" t="s">
        <v>336</v>
      </c>
      <c r="C401" s="14" t="s">
        <v>214</v>
      </c>
      <c r="D401" s="14" t="s">
        <v>11</v>
      </c>
      <c r="E401" s="272">
        <v>1</v>
      </c>
      <c r="F401" s="48">
        <f>IF(VLOOKUP($D401,$C$5:$AU$501,3,)=0,0,(VLOOKUP($D401,$C$5:$AU$501,4,)/VLOOKUP($D401,$C$5:$AU$501,3,))*$E401)</f>
        <v>0.35379034442994217</v>
      </c>
      <c r="G401" s="48">
        <f>IF(VLOOKUP($D401,$C$5:$AU$501,3,)=0,0,(VLOOKUP($D401,$C$5:$AU$501,5,)/VLOOKUP($D401,$C$5:$AU$501,3,))*$E401)</f>
        <v>2.7503422595052399E-2</v>
      </c>
      <c r="H401" s="48">
        <f>IF(VLOOKUP($D401,$C$5:$AU$501,3,)=0,0,(VLOOKUP($D401,$C$5:$AU$501,6,)/VLOOKUP($D401,$C$5:$AU$501,3,))*$E401)</f>
        <v>6.7642721164143507E-2</v>
      </c>
      <c r="I401" s="48">
        <f>IF(VLOOKUP($D401,$C$5:$AU$501,3,)=0,0,(VLOOKUP($D401,$C$5:$AU$501,7,)/VLOOKUP($D401,$C$5:$AU$501,3,))*$E401)</f>
        <v>9.1028246888776672E-4</v>
      </c>
      <c r="J401" s="48">
        <f>IF(VLOOKUP($D401,$C$5:$AU$501,3,)=0,0,(VLOOKUP($D401,$C$5:$AU$501,8,)/VLOOKUP($D401,$C$5:$AU$501,3,))*$E401)</f>
        <v>7.1991631689502242E-3</v>
      </c>
      <c r="K401" s="48">
        <f>IF(VLOOKUP($D401,$C$5:$AU$501,3,)=0,0,(VLOOKUP($D401,$C$5:$AU$501,9,)/VLOOKUP($D401,$C$5:$AU$501,3,))*$E401)</f>
        <v>1.020289552415439E-2</v>
      </c>
      <c r="L401" s="48">
        <f>IF(VLOOKUP($D401,$C$5:$AU$501,3,)=0,0,(VLOOKUP($D401,$C$5:$AU$501,10,)/VLOOKUP($D401,$C$5:$AU$501,3,))*$E401)</f>
        <v>1.0586720783794703E-3</v>
      </c>
      <c r="M401" s="48">
        <f>IF(VLOOKUP($D401,$C$5:$AU$501,3,)=0,0,(VLOOKUP($D401,$C$5:$AU$501,11,)/VLOOKUP($D401,$C$5:$AU$501,3,))*$E401)</f>
        <v>0.53169249857049017</v>
      </c>
      <c r="N401" s="48">
        <f>IF(VLOOKUP($D401,$C$5:$AU$501,3,)=0,0,(VLOOKUP($D401,$C$5:$AU$501,12,)/VLOOKUP($D401,$C$5:$AU$501,3,))*$E401)</f>
        <v>0</v>
      </c>
      <c r="O401" s="48">
        <f>IF(VLOOKUP($D401,$C$5:$AU$501,3,)=0,0,(VLOOKUP($D401,$C$5:$AU$501,13,)/VLOOKUP($D401,$C$5:$AU$501,3,))*$E401)</f>
        <v>0</v>
      </c>
      <c r="P401" s="48">
        <f>IF(VLOOKUP($D401,$C$5:$AU$501,3,)=0,0,(VLOOKUP($D401,$C$5:$AU$501,14,)/VLOOKUP($D401,$C$5:$AU$501,3,))*$E401)</f>
        <v>0</v>
      </c>
      <c r="Q401" s="48">
        <f>IF(VLOOKUP($D401,$C$5:$AU$501,3,)=0,0,(VLOOKUP($D401,$C$5:$AU$501,15,)/VLOOKUP($D401,$C$5:$AU$501,3,))*$E401)</f>
        <v>0</v>
      </c>
      <c r="R401" s="48">
        <f>IF(VLOOKUP($D401,$C$5:$AU$501,3,)=0,0,(VLOOKUP($D401,$C$5:$AU$501,16,)/VLOOKUP($D401,$C$5:$AU$501,3,))*$E401)</f>
        <v>0</v>
      </c>
      <c r="S401" s="48">
        <f>IF(VLOOKUP($D401,$C$5:$AU$501,3,)=0,0,(VLOOKUP($D401,$C$5:$AU$501,17,)/VLOOKUP($D401,$C$5:$AU$501,3,))*$E401)</f>
        <v>0</v>
      </c>
      <c r="T401" s="48">
        <f>IF(VLOOKUP($D401,$C$5:$AU$501,3,)=0,0,(VLOOKUP($D401,$C$5:$AU$501,18,)/VLOOKUP($D401,$C$5:$AU$501,3,))*$E401)</f>
        <v>0</v>
      </c>
      <c r="U401" s="48">
        <f>IF(VLOOKUP($D401,$C$5:$AU$501,3,)=0,0,(VLOOKUP($D401,$C$5:$AU$501,19,)/VLOOKUP($D401,$C$5:$AU$501,3,))*$E401)</f>
        <v>0</v>
      </c>
      <c r="V401" s="48">
        <f>IF(VLOOKUP($D401,$C$5:$AU$501,3,)=0,0,(VLOOKUP($D401,$C$5:$AU$501,20,)/VLOOKUP($D401,$C$5:$AU$501,3,))*$E401)</f>
        <v>0</v>
      </c>
      <c r="W401" s="48">
        <f>IF(VLOOKUP($D401,$C$5:$AU$501,3,)=0,0,(VLOOKUP($D401,$C$5:$AU$501,21,)/VLOOKUP($D401,$C$5:$AU$501,3,))*$E401)</f>
        <v>0</v>
      </c>
      <c r="X401" s="48">
        <f>IF(VLOOKUP($D401,$C$5:$AU$501,3,)=0,0,(VLOOKUP($D401,$C$5:$AU$501,22,)/VLOOKUP($D401,$C$5:$AU$501,3,))*$E401)</f>
        <v>0</v>
      </c>
      <c r="Y401" s="48">
        <f>IF(VLOOKUP($D401,$C$5:$AU$501,3,)=0,0,(VLOOKUP($D401,$C$5:$AU$501,23,)/VLOOKUP($D401,$C$5:$AU$501,3,))*$E401)</f>
        <v>0</v>
      </c>
      <c r="Z401" s="48">
        <f>IF(VLOOKUP($D401,$C$5:$AU$501,3,)=0,0,(VLOOKUP($D401,$C$5:$AU$501,24,)/VLOOKUP($D401,$C$5:$AU$501,3,))*$E401)</f>
        <v>0</v>
      </c>
      <c r="AA401" s="48">
        <f>IF(VLOOKUP($D401,$C$5:$AU$501,3,)=0,0,(VLOOKUP($D401,$C$5:$AU$501,25,)/VLOOKUP($D401,$C$5:$AU$501,3,))*$E401)</f>
        <v>0</v>
      </c>
      <c r="AB401" s="48">
        <f>IF(VLOOKUP($D401,$C$5:$AU$501,3,)=0,0,(VLOOKUP($D401,$C$5:$AU$501,26,)/VLOOKUP($D401,$C$5:$AU$501,3,))*$E401)</f>
        <v>0</v>
      </c>
      <c r="AC401" s="48">
        <f>IF(VLOOKUP($D401,$C$5:$AU$501,3,)=0,0,(VLOOKUP($D401,$C$5:$AU$501,27,)/VLOOKUP($D401,$C$5:$AU$501,3,))*$E401)</f>
        <v>0</v>
      </c>
      <c r="AD401" s="48">
        <f>IF(VLOOKUP($D401,$C$5:$AU$501,3,)=0,0,(VLOOKUP($D401,$C$5:$AU$501,28,)/VLOOKUP($D401,$C$5:$AU$501,3,))*$E401)</f>
        <v>0</v>
      </c>
      <c r="AE401" s="48">
        <f>IF(VLOOKUP($D401,$C$5:$AU$501,3,)=0,0,(VLOOKUP($D401,$C$5:$AU$501,29,)/VLOOKUP($D401,$C$5:$AU$501,3,))*$E401)</f>
        <v>0</v>
      </c>
      <c r="AF401" s="48">
        <f>IF(VLOOKUP($D401,$C$5:$AU$501,3,)=0,0,(VLOOKUP($D401,$C$5:$AU$501,30,)/VLOOKUP($D401,$C$5:$AU$501,3,))*$E401)</f>
        <v>0</v>
      </c>
      <c r="AG401" s="48">
        <f>SUM(F401:AF401)</f>
        <v>1</v>
      </c>
      <c r="AH401" s="29" t="str">
        <f>IF(ABS(E401-AG401)&lt;0.01,"ok","err")</f>
        <v>ok</v>
      </c>
    </row>
    <row r="403" spans="1:34" x14ac:dyDescent="0.2">
      <c r="A403" s="13" t="s">
        <v>337</v>
      </c>
    </row>
    <row r="404" spans="1:34" x14ac:dyDescent="0.2">
      <c r="A404" s="14" t="s">
        <v>338</v>
      </c>
      <c r="C404" s="14" t="s">
        <v>211</v>
      </c>
      <c r="D404" s="14" t="s">
        <v>949</v>
      </c>
      <c r="E404" s="257">
        <v>1</v>
      </c>
      <c r="F404" s="48">
        <f>IF(VLOOKUP($D404,$C$5:$AU$501,3,)=0,0,(VLOOKUP($D404,$C$5:$AU$501,4,)/VLOOKUP($D404,$C$5:$AU$501,3,))*$E404)</f>
        <v>0.75761446321745873</v>
      </c>
      <c r="G404" s="48">
        <f>IF(VLOOKUP($D404,$C$5:$AU$501,3,)=0,0,(VLOOKUP($D404,$C$5:$AU$501,5,)/VLOOKUP($D404,$C$5:$AU$501,3,))*$E404)</f>
        <v>6.733280604155141E-2</v>
      </c>
      <c r="H404" s="48">
        <f>IF(VLOOKUP($D404,$C$5:$AU$501,3,)=0,0,(VLOOKUP($D404,$C$5:$AU$501,6,)/VLOOKUP($D404,$C$5:$AU$501,3,))*$E404)</f>
        <v>0.13804090088343274</v>
      </c>
      <c r="I404" s="48">
        <f>IF(VLOOKUP($D404,$C$5:$AU$501,3,)=0,0,(VLOOKUP($D404,$C$5:$AU$501,7,)/VLOOKUP($D404,$C$5:$AU$501,3,))*$E404)</f>
        <v>1.9497175008081256E-3</v>
      </c>
      <c r="J404" s="48">
        <f>IF(VLOOKUP($D404,$C$5:$AU$501,3,)=0,0,(VLOOKUP($D404,$C$5:$AU$501,8,)/VLOOKUP($D404,$C$5:$AU$501,3,))*$E404)</f>
        <v>1.986076938040815E-2</v>
      </c>
      <c r="K404" s="48">
        <f>IF(VLOOKUP($D404,$C$5:$AU$501,3,)=0,0,(VLOOKUP($D404,$C$5:$AU$501,9,)/VLOOKUP($D404,$C$5:$AU$501,3,))*$E404)</f>
        <v>1.3777244090531951E-2</v>
      </c>
      <c r="L404" s="48">
        <f>IF(VLOOKUP($D404,$C$5:$AU$501,3,)=0,0,(VLOOKUP($D404,$C$5:$AU$501,10,)/VLOOKUP($D404,$C$5:$AU$501,3,))*$E404)</f>
        <v>1.424098885808857E-3</v>
      </c>
      <c r="M404" s="48">
        <f>IF(VLOOKUP($D404,$C$5:$AU$501,3,)=0,0,(VLOOKUP($D404,$C$5:$AU$501,11,)/VLOOKUP($D404,$C$5:$AU$501,3,))*$E404)</f>
        <v>0</v>
      </c>
      <c r="N404" s="48">
        <f>IF(VLOOKUP($D404,$C$5:$AU$501,3,)=0,0,(VLOOKUP($D404,$C$5:$AU$501,12,)/VLOOKUP($D404,$C$5:$AU$501,3,))*$E404)</f>
        <v>0</v>
      </c>
      <c r="O404" s="48">
        <f>IF(VLOOKUP($D404,$C$5:$AU$501,3,)=0,0,(VLOOKUP($D404,$C$5:$AU$501,13,)/VLOOKUP($D404,$C$5:$AU$501,3,))*$E404)</f>
        <v>0</v>
      </c>
      <c r="P404" s="48">
        <f>IF(VLOOKUP($D404,$C$5:$AU$501,3,)=0,0,(VLOOKUP($D404,$C$5:$AU$501,14,)/VLOOKUP($D404,$C$5:$AU$501,3,))*$E404)</f>
        <v>0</v>
      </c>
      <c r="Q404" s="48">
        <f>IF(VLOOKUP($D404,$C$5:$AU$501,3,)=0,0,(VLOOKUP($D404,$C$5:$AU$501,15,)/VLOOKUP($D404,$C$5:$AU$501,3,))*$E404)</f>
        <v>0</v>
      </c>
      <c r="R404" s="48">
        <f>IF(VLOOKUP($D404,$C$5:$AU$501,3,)=0,0,(VLOOKUP($D404,$C$5:$AU$501,16,)/VLOOKUP($D404,$C$5:$AU$501,3,))*$E404)</f>
        <v>0</v>
      </c>
      <c r="S404" s="48">
        <f>IF(VLOOKUP($D404,$C$5:$AU$501,3,)=0,0,(VLOOKUP($D404,$C$5:$AU$501,17,)/VLOOKUP($D404,$C$5:$AU$501,3,))*$E404)</f>
        <v>0</v>
      </c>
      <c r="T404" s="48">
        <f>IF(VLOOKUP($D404,$C$5:$AU$501,3,)=0,0,(VLOOKUP($D404,$C$5:$AU$501,18,)/VLOOKUP($D404,$C$5:$AU$501,3,))*$E404)</f>
        <v>0</v>
      </c>
      <c r="U404" s="48">
        <f>IF(VLOOKUP($D404,$C$5:$AU$501,3,)=0,0,(VLOOKUP($D404,$C$5:$AU$501,19,)/VLOOKUP($D404,$C$5:$AU$501,3,))*$E404)</f>
        <v>0</v>
      </c>
      <c r="V404" s="48">
        <f>IF(VLOOKUP($D404,$C$5:$AU$501,3,)=0,0,(VLOOKUP($D404,$C$5:$AU$501,20,)/VLOOKUP($D404,$C$5:$AU$501,3,))*$E404)</f>
        <v>0</v>
      </c>
      <c r="W404" s="48">
        <f>IF(VLOOKUP($D404,$C$5:$AU$501,3,)=0,0,(VLOOKUP($D404,$C$5:$AU$501,21,)/VLOOKUP($D404,$C$5:$AU$501,3,))*$E404)</f>
        <v>0</v>
      </c>
      <c r="X404" s="48">
        <f>IF(VLOOKUP($D404,$C$5:$AU$501,3,)=0,0,(VLOOKUP($D404,$C$5:$AU$501,22,)/VLOOKUP($D404,$C$5:$AU$501,3,))*$E404)</f>
        <v>0</v>
      </c>
      <c r="Y404" s="48">
        <f>IF(VLOOKUP($D404,$C$5:$AU$501,3,)=0,0,(VLOOKUP($D404,$C$5:$AU$501,23,)/VLOOKUP($D404,$C$5:$AU$501,3,))*$E404)</f>
        <v>0</v>
      </c>
      <c r="Z404" s="48">
        <f>IF(VLOOKUP($D404,$C$5:$AU$501,3,)=0,0,(VLOOKUP($D404,$C$5:$AU$501,24,)/VLOOKUP($D404,$C$5:$AU$501,3,))*$E404)</f>
        <v>0</v>
      </c>
      <c r="AA404" s="48">
        <f>IF(VLOOKUP($D404,$C$5:$AU$501,3,)=0,0,(VLOOKUP($D404,$C$5:$AU$501,25,)/VLOOKUP($D404,$C$5:$AU$501,3,))*$E404)</f>
        <v>0</v>
      </c>
      <c r="AB404" s="48">
        <f>IF(VLOOKUP($D404,$C$5:$AU$501,3,)=0,0,(VLOOKUP($D404,$C$5:$AU$501,26,)/VLOOKUP($D404,$C$5:$AU$501,3,))*$E404)</f>
        <v>0</v>
      </c>
      <c r="AC404" s="48">
        <f>IF(VLOOKUP($D404,$C$5:$AU$501,3,)=0,0,(VLOOKUP($D404,$C$5:$AU$501,27,)/VLOOKUP($D404,$C$5:$AU$501,3,))*$E404)</f>
        <v>0</v>
      </c>
      <c r="AD404" s="48">
        <f>IF(VLOOKUP($D404,$C$5:$AU$501,3,)=0,0,(VLOOKUP($D404,$C$5:$AU$501,28,)/VLOOKUP($D404,$C$5:$AU$501,3,))*$E404)</f>
        <v>0</v>
      </c>
      <c r="AE404" s="48">
        <f>IF(VLOOKUP($D404,$C$5:$AU$501,3,)=0,0,(VLOOKUP($D404,$C$5:$AU$501,29,)/VLOOKUP($D404,$C$5:$AU$501,3,))*$E404)</f>
        <v>0</v>
      </c>
      <c r="AF404" s="48">
        <f>IF(VLOOKUP($D404,$C$5:$AU$501,3,)=0,0,(VLOOKUP($D404,$C$5:$AU$501,30,)/VLOOKUP($D404,$C$5:$AU$501,3,))*$E404)</f>
        <v>0</v>
      </c>
      <c r="AG404" s="48">
        <f>SUM(F404:AF404)</f>
        <v>1</v>
      </c>
      <c r="AH404" s="29" t="str">
        <f t="shared" ref="AH404:AH409" si="168">IF(ABS(E404-AG404)&lt;0.01,"ok","err")</f>
        <v>ok</v>
      </c>
    </row>
    <row r="405" spans="1:34" x14ac:dyDescent="0.2">
      <c r="A405" s="14" t="s">
        <v>339</v>
      </c>
      <c r="C405" s="14" t="s">
        <v>218</v>
      </c>
      <c r="D405" s="14" t="s">
        <v>566</v>
      </c>
      <c r="E405" s="257">
        <v>1</v>
      </c>
      <c r="F405" s="48">
        <f>IF(VLOOKUP($D405,$C$5:$AU$501,3,)=0,0,(VLOOKUP($D405,$C$5:$AU$501,4,)/VLOOKUP($D405,$C$5:$AU$501,3,))*$E405)</f>
        <v>0.80021533894788721</v>
      </c>
      <c r="G405" s="48">
        <f>IF(VLOOKUP($D405,$C$5:$AU$501,3,)=0,0,(VLOOKUP($D405,$C$5:$AU$501,5,)/VLOOKUP($D405,$C$5:$AU$501,3,))*$E405)</f>
        <v>5.5090379294065343E-2</v>
      </c>
      <c r="H405" s="48">
        <f>IF(VLOOKUP($D405,$C$5:$AU$501,3,)=0,0,(VLOOKUP($D405,$C$5:$AU$501,6,)/VLOOKUP($D405,$C$5:$AU$501,3,))*$E405)</f>
        <v>0.10875319661166288</v>
      </c>
      <c r="I405" s="48">
        <f>IF(VLOOKUP($D405,$C$5:$AU$501,3,)=0,0,(VLOOKUP($D405,$C$5:$AU$501,7,)/VLOOKUP($D405,$C$5:$AU$501,3,))*$E405)</f>
        <v>1.5536208782584437E-3</v>
      </c>
      <c r="J405" s="48">
        <f>IF(VLOOKUP($D405,$C$5:$AU$501,3,)=0,0,(VLOOKUP($D405,$C$5:$AU$501,8,)/VLOOKUP($D405,$C$5:$AU$501,3,))*$E405)</f>
        <v>1.5882092141715386E-2</v>
      </c>
      <c r="K405" s="48">
        <f>IF(VLOOKUP($D405,$C$5:$AU$501,3,)=0,0,(VLOOKUP($D405,$C$5:$AU$501,9,)/VLOOKUP($D405,$C$5:$AU$501,3,))*$E405)</f>
        <v>1.6767826018897161E-2</v>
      </c>
      <c r="L405" s="48">
        <f>IF(VLOOKUP($D405,$C$5:$AU$501,3,)=0,0,(VLOOKUP($D405,$C$5:$AU$501,10,)/VLOOKUP($D405,$C$5:$AU$501,3,))*$E405)</f>
        <v>1.7375461075136399E-3</v>
      </c>
      <c r="M405" s="48">
        <f>IF(VLOOKUP($D405,$C$5:$AU$501,3,)=0,0,(VLOOKUP($D405,$C$5:$AU$501,11,)/VLOOKUP($D405,$C$5:$AU$501,3,))*$E405)</f>
        <v>0</v>
      </c>
      <c r="N405" s="48">
        <f>IF(VLOOKUP($D405,$C$5:$AU$501,3,)=0,0,(VLOOKUP($D405,$C$5:$AU$501,12,)/VLOOKUP($D405,$C$5:$AU$501,3,))*$E405)</f>
        <v>0</v>
      </c>
      <c r="O405" s="48">
        <f>IF(VLOOKUP($D405,$C$5:$AU$501,3,)=0,0,(VLOOKUP($D405,$C$5:$AU$501,13,)/VLOOKUP($D405,$C$5:$AU$501,3,))*$E405)</f>
        <v>0</v>
      </c>
      <c r="P405" s="48">
        <f>IF(VLOOKUP($D405,$C$5:$AU$501,3,)=0,0,(VLOOKUP($D405,$C$5:$AU$501,14,)/VLOOKUP($D405,$C$5:$AU$501,3,))*$E405)</f>
        <v>0</v>
      </c>
      <c r="Q405" s="48">
        <f>IF(VLOOKUP($D405,$C$5:$AU$501,3,)=0,0,(VLOOKUP($D405,$C$5:$AU$501,15,)/VLOOKUP($D405,$C$5:$AU$501,3,))*$E405)</f>
        <v>0</v>
      </c>
      <c r="R405" s="48">
        <f>IF(VLOOKUP($D405,$C$5:$AU$501,3,)=0,0,(VLOOKUP($D405,$C$5:$AU$501,16,)/VLOOKUP($D405,$C$5:$AU$501,3,))*$E405)</f>
        <v>0</v>
      </c>
      <c r="S405" s="48">
        <f>IF(VLOOKUP($D405,$C$5:$AU$501,3,)=0,0,(VLOOKUP($D405,$C$5:$AU$501,17,)/VLOOKUP($D405,$C$5:$AU$501,3,))*$E405)</f>
        <v>0</v>
      </c>
      <c r="T405" s="48">
        <f>IF(VLOOKUP($D405,$C$5:$AU$501,3,)=0,0,(VLOOKUP($D405,$C$5:$AU$501,18,)/VLOOKUP($D405,$C$5:$AU$501,3,))*$E405)</f>
        <v>0</v>
      </c>
      <c r="U405" s="48">
        <f>IF(VLOOKUP($D405,$C$5:$AU$501,3,)=0,0,(VLOOKUP($D405,$C$5:$AU$501,19,)/VLOOKUP($D405,$C$5:$AU$501,3,))*$E405)</f>
        <v>0</v>
      </c>
      <c r="V405" s="48">
        <f>IF(VLOOKUP($D405,$C$5:$AU$501,3,)=0,0,(VLOOKUP($D405,$C$5:$AU$501,20,)/VLOOKUP($D405,$C$5:$AU$501,3,))*$E405)</f>
        <v>0</v>
      </c>
      <c r="W405" s="48">
        <f>IF(VLOOKUP($D405,$C$5:$AU$501,3,)=0,0,(VLOOKUP($D405,$C$5:$AU$501,21,)/VLOOKUP($D405,$C$5:$AU$501,3,))*$E405)</f>
        <v>0</v>
      </c>
      <c r="X405" s="48">
        <f>IF(VLOOKUP($D405,$C$5:$AU$501,3,)=0,0,(VLOOKUP($D405,$C$5:$AU$501,22,)/VLOOKUP($D405,$C$5:$AU$501,3,))*$E405)</f>
        <v>0</v>
      </c>
      <c r="Y405" s="48">
        <f>IF(VLOOKUP($D405,$C$5:$AU$501,3,)=0,0,(VLOOKUP($D405,$C$5:$AU$501,23,)/VLOOKUP($D405,$C$5:$AU$501,3,))*$E405)</f>
        <v>0</v>
      </c>
      <c r="Z405" s="48">
        <f>IF(VLOOKUP($D405,$C$5:$AU$501,3,)=0,0,(VLOOKUP($D405,$C$5:$AU$501,24,)/VLOOKUP($D405,$C$5:$AU$501,3,))*$E405)</f>
        <v>0</v>
      </c>
      <c r="AA405" s="48">
        <f>IF(VLOOKUP($D405,$C$5:$AU$501,3,)=0,0,(VLOOKUP($D405,$C$5:$AU$501,25,)/VLOOKUP($D405,$C$5:$AU$501,3,))*$E405)</f>
        <v>0</v>
      </c>
      <c r="AB405" s="48">
        <f>IF(VLOOKUP($D405,$C$5:$AU$501,3,)=0,0,(VLOOKUP($D405,$C$5:$AU$501,26,)/VLOOKUP($D405,$C$5:$AU$501,3,))*$E405)</f>
        <v>0</v>
      </c>
      <c r="AC405" s="48">
        <f>IF(VLOOKUP($D405,$C$5:$AU$501,3,)=0,0,(VLOOKUP($D405,$C$5:$AU$501,27,)/VLOOKUP($D405,$C$5:$AU$501,3,))*$E405)</f>
        <v>0</v>
      </c>
      <c r="AD405" s="48">
        <f>IF(VLOOKUP($D405,$C$5:$AU$501,3,)=0,0,(VLOOKUP($D405,$C$5:$AU$501,28,)/VLOOKUP($D405,$C$5:$AU$501,3,))*$E405)</f>
        <v>0</v>
      </c>
      <c r="AE405" s="48">
        <f>IF(VLOOKUP($D405,$C$5:$AU$501,3,)=0,0,(VLOOKUP($D405,$C$5:$AU$501,29,)/VLOOKUP($D405,$C$5:$AU$501,3,))*$E405)</f>
        <v>0</v>
      </c>
      <c r="AF405" s="48">
        <f>IF(VLOOKUP($D405,$C$5:$AU$501,3,)=0,0,(VLOOKUP($D405,$C$5:$AU$501,30,)/VLOOKUP($D405,$C$5:$AU$501,3,))*$E405)</f>
        <v>0</v>
      </c>
      <c r="AG405" s="48">
        <f>SUM(F405:AF405)</f>
        <v>1</v>
      </c>
      <c r="AH405" s="29" t="str">
        <f t="shared" si="168"/>
        <v>ok</v>
      </c>
    </row>
    <row r="406" spans="1:34" x14ac:dyDescent="0.2">
      <c r="A406" s="14" t="s">
        <v>340</v>
      </c>
      <c r="C406" s="14" t="s">
        <v>220</v>
      </c>
      <c r="D406" s="14" t="s">
        <v>566</v>
      </c>
      <c r="E406" s="257">
        <v>1</v>
      </c>
      <c r="F406" s="48">
        <f>IF(VLOOKUP($D406,$C$5:$AU$501,3,)=0,0,(VLOOKUP($D406,$C$5:$AU$501,4,)/VLOOKUP($D406,$C$5:$AU$501,3,))*$E406)</f>
        <v>0.80021533894788721</v>
      </c>
      <c r="G406" s="48">
        <f>IF(VLOOKUP($D406,$C$5:$AU$501,3,)=0,0,(VLOOKUP($D406,$C$5:$AU$501,5,)/VLOOKUP($D406,$C$5:$AU$501,3,))*$E406)</f>
        <v>5.5090379294065343E-2</v>
      </c>
      <c r="H406" s="48">
        <f>IF(VLOOKUP($D406,$C$5:$AU$501,3,)=0,0,(VLOOKUP($D406,$C$5:$AU$501,6,)/VLOOKUP($D406,$C$5:$AU$501,3,))*$E406)</f>
        <v>0.10875319661166288</v>
      </c>
      <c r="I406" s="48">
        <f>IF(VLOOKUP($D406,$C$5:$AU$501,3,)=0,0,(VLOOKUP($D406,$C$5:$AU$501,7,)/VLOOKUP($D406,$C$5:$AU$501,3,))*$E406)</f>
        <v>1.5536208782584437E-3</v>
      </c>
      <c r="J406" s="48">
        <f>IF(VLOOKUP($D406,$C$5:$AU$501,3,)=0,0,(VLOOKUP($D406,$C$5:$AU$501,8,)/VLOOKUP($D406,$C$5:$AU$501,3,))*$E406)</f>
        <v>1.5882092141715386E-2</v>
      </c>
      <c r="K406" s="48">
        <f>IF(VLOOKUP($D406,$C$5:$AU$501,3,)=0,0,(VLOOKUP($D406,$C$5:$AU$501,9,)/VLOOKUP($D406,$C$5:$AU$501,3,))*$E406)</f>
        <v>1.6767826018897161E-2</v>
      </c>
      <c r="L406" s="48">
        <f>IF(VLOOKUP($D406,$C$5:$AU$501,3,)=0,0,(VLOOKUP($D406,$C$5:$AU$501,10,)/VLOOKUP($D406,$C$5:$AU$501,3,))*$E406)</f>
        <v>1.7375461075136399E-3</v>
      </c>
      <c r="M406" s="48">
        <f>IF(VLOOKUP($D406,$C$5:$AU$501,3,)=0,0,(VLOOKUP($D406,$C$5:$AU$501,11,)/VLOOKUP($D406,$C$5:$AU$501,3,))*$E406)</f>
        <v>0</v>
      </c>
      <c r="N406" s="48">
        <f>IF(VLOOKUP($D406,$C$5:$AU$501,3,)=0,0,(VLOOKUP($D406,$C$5:$AU$501,12,)/VLOOKUP($D406,$C$5:$AU$501,3,))*$E406)</f>
        <v>0</v>
      </c>
      <c r="O406" s="48">
        <f>IF(VLOOKUP($D406,$C$5:$AU$501,3,)=0,0,(VLOOKUP($D406,$C$5:$AU$501,13,)/VLOOKUP($D406,$C$5:$AU$501,3,))*$E406)</f>
        <v>0</v>
      </c>
      <c r="P406" s="48">
        <f>IF(VLOOKUP($D406,$C$5:$AU$501,3,)=0,0,(VLOOKUP($D406,$C$5:$AU$501,14,)/VLOOKUP($D406,$C$5:$AU$501,3,))*$E406)</f>
        <v>0</v>
      </c>
      <c r="Q406" s="48">
        <f>IF(VLOOKUP($D406,$C$5:$AU$501,3,)=0,0,(VLOOKUP($D406,$C$5:$AU$501,15,)/VLOOKUP($D406,$C$5:$AU$501,3,))*$E406)</f>
        <v>0</v>
      </c>
      <c r="R406" s="48">
        <f>IF(VLOOKUP($D406,$C$5:$AU$501,3,)=0,0,(VLOOKUP($D406,$C$5:$AU$501,16,)/VLOOKUP($D406,$C$5:$AU$501,3,))*$E406)</f>
        <v>0</v>
      </c>
      <c r="S406" s="48">
        <f>IF(VLOOKUP($D406,$C$5:$AU$501,3,)=0,0,(VLOOKUP($D406,$C$5:$AU$501,17,)/VLOOKUP($D406,$C$5:$AU$501,3,))*$E406)</f>
        <v>0</v>
      </c>
      <c r="T406" s="48">
        <f>IF(VLOOKUP($D406,$C$5:$AU$501,3,)=0,0,(VLOOKUP($D406,$C$5:$AU$501,18,)/VLOOKUP($D406,$C$5:$AU$501,3,))*$E406)</f>
        <v>0</v>
      </c>
      <c r="U406" s="48">
        <f>IF(VLOOKUP($D406,$C$5:$AU$501,3,)=0,0,(VLOOKUP($D406,$C$5:$AU$501,19,)/VLOOKUP($D406,$C$5:$AU$501,3,))*$E406)</f>
        <v>0</v>
      </c>
      <c r="V406" s="48">
        <f>IF(VLOOKUP($D406,$C$5:$AU$501,3,)=0,0,(VLOOKUP($D406,$C$5:$AU$501,20,)/VLOOKUP($D406,$C$5:$AU$501,3,))*$E406)</f>
        <v>0</v>
      </c>
      <c r="W406" s="48">
        <f>IF(VLOOKUP($D406,$C$5:$AU$501,3,)=0,0,(VLOOKUP($D406,$C$5:$AU$501,21,)/VLOOKUP($D406,$C$5:$AU$501,3,))*$E406)</f>
        <v>0</v>
      </c>
      <c r="X406" s="48">
        <f>IF(VLOOKUP($D406,$C$5:$AU$501,3,)=0,0,(VLOOKUP($D406,$C$5:$AU$501,22,)/VLOOKUP($D406,$C$5:$AU$501,3,))*$E406)</f>
        <v>0</v>
      </c>
      <c r="Y406" s="48">
        <f>IF(VLOOKUP($D406,$C$5:$AU$501,3,)=0,0,(VLOOKUP($D406,$C$5:$AU$501,23,)/VLOOKUP($D406,$C$5:$AU$501,3,))*$E406)</f>
        <v>0</v>
      </c>
      <c r="Z406" s="48">
        <f>IF(VLOOKUP($D406,$C$5:$AU$501,3,)=0,0,(VLOOKUP($D406,$C$5:$AU$501,24,)/VLOOKUP($D406,$C$5:$AU$501,3,))*$E406)</f>
        <v>0</v>
      </c>
      <c r="AA406" s="48">
        <f>IF(VLOOKUP($D406,$C$5:$AU$501,3,)=0,0,(VLOOKUP($D406,$C$5:$AU$501,25,)/VLOOKUP($D406,$C$5:$AU$501,3,))*$E406)</f>
        <v>0</v>
      </c>
      <c r="AB406" s="48">
        <f>IF(VLOOKUP($D406,$C$5:$AU$501,3,)=0,0,(VLOOKUP($D406,$C$5:$AU$501,26,)/VLOOKUP($D406,$C$5:$AU$501,3,))*$E406)</f>
        <v>0</v>
      </c>
      <c r="AC406" s="48">
        <f>IF(VLOOKUP($D406,$C$5:$AU$501,3,)=0,0,(VLOOKUP($D406,$C$5:$AU$501,27,)/VLOOKUP($D406,$C$5:$AU$501,3,))*$E406)</f>
        <v>0</v>
      </c>
      <c r="AD406" s="48">
        <f>IF(VLOOKUP($D406,$C$5:$AU$501,3,)=0,0,(VLOOKUP($D406,$C$5:$AU$501,28,)/VLOOKUP($D406,$C$5:$AU$501,3,))*$E406)</f>
        <v>0</v>
      </c>
      <c r="AE406" s="48">
        <f>IF(VLOOKUP($D406,$C$5:$AU$501,3,)=0,0,(VLOOKUP($D406,$C$5:$AU$501,29,)/VLOOKUP($D406,$C$5:$AU$501,3,))*$E406)</f>
        <v>0</v>
      </c>
      <c r="AF406" s="48">
        <f>IF(VLOOKUP($D406,$C$5:$AU$501,3,)=0,0,(VLOOKUP($D406,$C$5:$AU$501,30,)/VLOOKUP($D406,$C$5:$AU$501,3,))*$E406)</f>
        <v>0</v>
      </c>
      <c r="AG406" s="48">
        <f>SUM(F406:AF406)</f>
        <v>1</v>
      </c>
      <c r="AH406" s="29" t="str">
        <f t="shared" si="168"/>
        <v>ok</v>
      </c>
    </row>
    <row r="407" spans="1:34" x14ac:dyDescent="0.2">
      <c r="A407" s="14" t="s">
        <v>700</v>
      </c>
      <c r="C407" s="14" t="s">
        <v>701</v>
      </c>
      <c r="E407" s="257">
        <f>Services!G33</f>
        <v>1</v>
      </c>
      <c r="F407" s="48">
        <f>Services!G6</f>
        <v>0.89578491809128602</v>
      </c>
      <c r="G407" s="48">
        <f>Services!G7</f>
        <v>6.3022181088187981E-2</v>
      </c>
      <c r="H407" s="48">
        <f>Services!G8</f>
        <v>3.9483031336668778E-2</v>
      </c>
      <c r="I407" s="48">
        <f>Services!G9</f>
        <v>3.9286598344944054E-4</v>
      </c>
      <c r="J407" s="48">
        <f>Services!G10</f>
        <v>1.1819522192035626E-3</v>
      </c>
      <c r="K407" s="48">
        <f>Services!G11</f>
        <v>0</v>
      </c>
      <c r="L407" s="48">
        <f>Services!G12</f>
        <v>1.3505128120426497E-4</v>
      </c>
      <c r="M407" s="48">
        <f>Services!G13</f>
        <v>0</v>
      </c>
      <c r="N407" s="48">
        <f>Services!G14</f>
        <v>0</v>
      </c>
      <c r="O407" s="48">
        <f>Services!G15</f>
        <v>0</v>
      </c>
      <c r="P407" s="48">
        <f>Services!G26</f>
        <v>0</v>
      </c>
      <c r="Q407" s="48">
        <f>Services!G28</f>
        <v>0</v>
      </c>
      <c r="R407" s="48">
        <f>Services!G30</f>
        <v>0</v>
      </c>
      <c r="S407" s="48">
        <v>0</v>
      </c>
      <c r="T407" s="48">
        <v>0</v>
      </c>
      <c r="U407" s="48">
        <v>0</v>
      </c>
      <c r="V407" s="48">
        <f>Services!W6</f>
        <v>0</v>
      </c>
      <c r="W407" s="48">
        <f>Services!X6</f>
        <v>0</v>
      </c>
      <c r="X407" s="48">
        <f>Services!Y6</f>
        <v>0</v>
      </c>
      <c r="Y407" s="48">
        <f>Services!Z6</f>
        <v>0</v>
      </c>
      <c r="Z407" s="48">
        <f>Services!AA6</f>
        <v>0</v>
      </c>
      <c r="AA407" s="48">
        <f>Services!AB6</f>
        <v>0</v>
      </c>
      <c r="AB407" s="48">
        <f>Services!AC6</f>
        <v>0</v>
      </c>
      <c r="AC407" s="48">
        <f>Services!AD6</f>
        <v>0</v>
      </c>
      <c r="AD407" s="48">
        <f>Services!AE6</f>
        <v>0</v>
      </c>
      <c r="AE407" s="48">
        <f>Services!AF6</f>
        <v>0</v>
      </c>
      <c r="AF407" s="48">
        <f>Services!AG6</f>
        <v>0</v>
      </c>
      <c r="AG407" s="48">
        <f>SUM(F407:AF407)</f>
        <v>1</v>
      </c>
      <c r="AH407" s="29" t="str">
        <f t="shared" si="168"/>
        <v>ok</v>
      </c>
    </row>
    <row r="408" spans="1:34" x14ac:dyDescent="0.2">
      <c r="A408" s="14" t="s">
        <v>747</v>
      </c>
      <c r="C408" s="14" t="s">
        <v>748</v>
      </c>
      <c r="E408" s="257">
        <v>1</v>
      </c>
      <c r="F408" s="48">
        <f t="shared" ref="F408:AF408" si="169">F407</f>
        <v>0.89578491809128602</v>
      </c>
      <c r="G408" s="48">
        <f t="shared" si="169"/>
        <v>6.3022181088187981E-2</v>
      </c>
      <c r="H408" s="48">
        <f t="shared" si="169"/>
        <v>3.9483031336668778E-2</v>
      </c>
      <c r="I408" s="48">
        <f t="shared" si="169"/>
        <v>3.9286598344944054E-4</v>
      </c>
      <c r="J408" s="48">
        <f t="shared" si="169"/>
        <v>1.1819522192035626E-3</v>
      </c>
      <c r="K408" s="48">
        <f t="shared" si="169"/>
        <v>0</v>
      </c>
      <c r="L408" s="48">
        <f t="shared" si="169"/>
        <v>1.3505128120426497E-4</v>
      </c>
      <c r="M408" s="48">
        <f t="shared" si="169"/>
        <v>0</v>
      </c>
      <c r="N408" s="48">
        <f t="shared" si="169"/>
        <v>0</v>
      </c>
      <c r="O408" s="48">
        <f t="shared" si="169"/>
        <v>0</v>
      </c>
      <c r="P408" s="48">
        <f t="shared" si="169"/>
        <v>0</v>
      </c>
      <c r="Q408" s="48">
        <f t="shared" si="169"/>
        <v>0</v>
      </c>
      <c r="R408" s="48">
        <f t="shared" si="169"/>
        <v>0</v>
      </c>
      <c r="S408" s="48">
        <f t="shared" si="169"/>
        <v>0</v>
      </c>
      <c r="T408" s="48">
        <f t="shared" si="169"/>
        <v>0</v>
      </c>
      <c r="U408" s="48">
        <f t="shared" si="169"/>
        <v>0</v>
      </c>
      <c r="V408" s="48">
        <f t="shared" si="169"/>
        <v>0</v>
      </c>
      <c r="W408" s="48">
        <f t="shared" si="169"/>
        <v>0</v>
      </c>
      <c r="X408" s="48">
        <f t="shared" si="169"/>
        <v>0</v>
      </c>
      <c r="Y408" s="48">
        <f t="shared" si="169"/>
        <v>0</v>
      </c>
      <c r="Z408" s="48">
        <f t="shared" si="169"/>
        <v>0</v>
      </c>
      <c r="AA408" s="48">
        <f t="shared" si="169"/>
        <v>0</v>
      </c>
      <c r="AB408" s="48">
        <f t="shared" si="169"/>
        <v>0</v>
      </c>
      <c r="AC408" s="48">
        <f t="shared" si="169"/>
        <v>0</v>
      </c>
      <c r="AD408" s="48">
        <f t="shared" si="169"/>
        <v>0</v>
      </c>
      <c r="AE408" s="48">
        <f t="shared" si="169"/>
        <v>0</v>
      </c>
      <c r="AF408" s="48">
        <f t="shared" si="169"/>
        <v>0</v>
      </c>
      <c r="AG408" s="48">
        <f>SUM(F408:R408)</f>
        <v>1</v>
      </c>
      <c r="AH408" s="29" t="str">
        <f t="shared" si="168"/>
        <v>ok</v>
      </c>
    </row>
    <row r="409" spans="1:34" x14ac:dyDescent="0.2">
      <c r="A409" s="14" t="s">
        <v>947</v>
      </c>
      <c r="C409" s="14" t="s">
        <v>948</v>
      </c>
      <c r="E409" s="255">
        <f>F409+G409</f>
        <v>51391357.270000003</v>
      </c>
      <c r="F409" s="49">
        <f>F313</f>
        <v>47540629.230000004</v>
      </c>
      <c r="G409" s="49">
        <f>G313</f>
        <v>3850728.04</v>
      </c>
      <c r="H409" s="49">
        <v>0</v>
      </c>
      <c r="I409" s="49">
        <v>0</v>
      </c>
      <c r="J409" s="49">
        <v>0</v>
      </c>
      <c r="K409" s="49">
        <v>0</v>
      </c>
      <c r="L409" s="49">
        <v>0</v>
      </c>
      <c r="M409" s="49">
        <v>0</v>
      </c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9">
        <f>SUM(F409:R409)</f>
        <v>51391357.270000003</v>
      </c>
      <c r="AH409" s="29" t="str">
        <f t="shared" si="168"/>
        <v>ok</v>
      </c>
    </row>
    <row r="410" spans="1:34" x14ac:dyDescent="0.2">
      <c r="F410" s="102"/>
    </row>
    <row r="411" spans="1:34" x14ac:dyDescent="0.2">
      <c r="A411" s="13" t="s">
        <v>341</v>
      </c>
    </row>
    <row r="412" spans="1:34" x14ac:dyDescent="0.2">
      <c r="A412" s="14" t="s">
        <v>342</v>
      </c>
      <c r="C412" s="14" t="s">
        <v>223</v>
      </c>
      <c r="D412" s="14" t="s">
        <v>564</v>
      </c>
      <c r="E412" s="257">
        <v>1</v>
      </c>
      <c r="F412" s="48">
        <f>IF(VLOOKUP($D412,$C$5:$AU$501,3,)=0,0,(VLOOKUP($D412,$C$5:$AU$501,4,)/VLOOKUP($D412,$C$5:$AU$501,3,))*$E412)</f>
        <v>0.92915293579458325</v>
      </c>
      <c r="G412" s="48">
        <f>IF(VLOOKUP($D412,$C$5:$AU$501,3,)=0,0,(VLOOKUP($D412,$C$5:$AU$501,5,)/VLOOKUP($D412,$C$5:$AU$501,3,))*$E412)</f>
        <v>5.778614572655727E-2</v>
      </c>
      <c r="H412" s="48">
        <f>IF(VLOOKUP($D412,$C$5:$AU$501,3,)=0,0,(VLOOKUP($D412,$C$5:$AU$501,6,)/VLOOKUP($D412,$C$5:$AU$501,3,))*$E412)</f>
        <v>1.2770769973653668E-2</v>
      </c>
      <c r="I412" s="48">
        <f>IF(VLOOKUP($D412,$C$5:$AU$501,3,)=0,0,(VLOOKUP($D412,$C$5:$AU$501,7,)/VLOOKUP($D412,$C$5:$AU$501,3,))*$E412)</f>
        <v>1.2707233804630516E-4</v>
      </c>
      <c r="J412" s="48">
        <f>IF(VLOOKUP($D412,$C$5:$AU$501,3,)=0,0,(VLOOKUP($D412,$C$5:$AU$501,8,)/VLOOKUP($D412,$C$5:$AU$501,3,))*$E412)</f>
        <v>1.5884042255788144E-4</v>
      </c>
      <c r="K412" s="48">
        <f>IF(VLOOKUP($D412,$C$5:$AU$501,3,)=0,0,(VLOOKUP($D412,$C$5:$AU$501,9,)/VLOOKUP($D412,$C$5:$AU$501,3,))*$E412)</f>
        <v>0</v>
      </c>
      <c r="L412" s="48">
        <f>IF(VLOOKUP($D412,$C$5:$AU$501,3,)=0,0,(VLOOKUP($D412,$C$5:$AU$501,10,)/VLOOKUP($D412,$C$5:$AU$501,3,))*$E412)</f>
        <v>4.2357446015435049E-6</v>
      </c>
      <c r="M412" s="48">
        <f>IF(VLOOKUP($D412,$C$5:$AU$501,3,)=0,0,(VLOOKUP($D412,$C$5:$AU$501,11,)/VLOOKUP($D412,$C$5:$AU$501,3,))*$E412)</f>
        <v>0</v>
      </c>
      <c r="N412" s="48">
        <f>IF(VLOOKUP($D412,$C$5:$AU$501,3,)=0,0,(VLOOKUP($D412,$C$5:$AU$501,12,)/VLOOKUP($D412,$C$5:$AU$501,3,))*$E412)</f>
        <v>0</v>
      </c>
      <c r="O412" s="48">
        <f>IF(VLOOKUP($D412,$C$5:$AU$501,3,)=0,0,(VLOOKUP($D412,$C$5:$AU$501,13,)/VLOOKUP($D412,$C$5:$AU$501,3,))*$E412)</f>
        <v>0</v>
      </c>
      <c r="P412" s="48">
        <f>IF(VLOOKUP($D412,$C$5:$AU$501,3,)=0,0,(VLOOKUP($D412,$C$5:$AU$501,14,)/VLOOKUP($D412,$C$5:$AU$501,3,))*$E412)</f>
        <v>0</v>
      </c>
      <c r="Q412" s="48">
        <f>IF(VLOOKUP($D412,$C$5:$AU$501,3,)=0,0,(VLOOKUP($D412,$C$5:$AU$501,15,)/VLOOKUP($D412,$C$5:$AU$501,3,))*$E412)</f>
        <v>0</v>
      </c>
      <c r="R412" s="48">
        <f>IF(VLOOKUP($D412,$C$5:$AU$501,3,)=0,0,(VLOOKUP($D412,$C$5:$AU$501,16,)/VLOOKUP($D412,$C$5:$AU$501,3,))*$E412)</f>
        <v>0</v>
      </c>
      <c r="S412" s="48">
        <f>IF(VLOOKUP($D412,$C$5:$AU$501,3,)=0,0,(VLOOKUP($D412,$C$5:$AU$501,17,)/VLOOKUP($D412,$C$5:$AU$501,3,))*$E412)</f>
        <v>0</v>
      </c>
      <c r="T412" s="48">
        <f>IF(VLOOKUP($D412,$C$5:$AU$501,3,)=0,0,(VLOOKUP($D412,$C$5:$AU$501,18,)/VLOOKUP($D412,$C$5:$AU$501,3,))*$E412)</f>
        <v>0</v>
      </c>
      <c r="U412" s="48">
        <f>IF(VLOOKUP($D412,$C$5:$AU$501,3,)=0,0,(VLOOKUP($D412,$C$5:$AU$501,19,)/VLOOKUP($D412,$C$5:$AU$501,3,))*$E412)</f>
        <v>0</v>
      </c>
      <c r="V412" s="48">
        <f>IF(VLOOKUP($D412,$C$5:$AU$501,3,)=0,0,(VLOOKUP($D412,$C$5:$AU$501,20,)/VLOOKUP($D412,$C$5:$AU$501,3,))*$E412)</f>
        <v>0</v>
      </c>
      <c r="W412" s="48">
        <f>IF(VLOOKUP($D412,$C$5:$AU$501,3,)=0,0,(VLOOKUP($D412,$C$5:$AU$501,21,)/VLOOKUP($D412,$C$5:$AU$501,3,))*$E412)</f>
        <v>0</v>
      </c>
      <c r="X412" s="48">
        <f>IF(VLOOKUP($D412,$C$5:$AU$501,3,)=0,0,(VLOOKUP($D412,$C$5:$AU$501,22,)/VLOOKUP($D412,$C$5:$AU$501,3,))*$E412)</f>
        <v>0</v>
      </c>
      <c r="Y412" s="48">
        <f>IF(VLOOKUP($D412,$C$5:$AU$501,3,)=0,0,(VLOOKUP($D412,$C$5:$AU$501,23,)/VLOOKUP($D412,$C$5:$AU$501,3,))*$E412)</f>
        <v>0</v>
      </c>
      <c r="Z412" s="48">
        <f>IF(VLOOKUP($D412,$C$5:$AU$501,3,)=0,0,(VLOOKUP($D412,$C$5:$AU$501,24,)/VLOOKUP($D412,$C$5:$AU$501,3,))*$E412)</f>
        <v>0</v>
      </c>
      <c r="AA412" s="48">
        <f>IF(VLOOKUP($D412,$C$5:$AU$501,3,)=0,0,(VLOOKUP($D412,$C$5:$AU$501,25,)/VLOOKUP($D412,$C$5:$AU$501,3,))*$E412)</f>
        <v>0</v>
      </c>
      <c r="AB412" s="48">
        <f>IF(VLOOKUP($D412,$C$5:$AU$501,3,)=0,0,(VLOOKUP($D412,$C$5:$AU$501,26,)/VLOOKUP($D412,$C$5:$AU$501,3,))*$E412)</f>
        <v>0</v>
      </c>
      <c r="AC412" s="48">
        <f>IF(VLOOKUP($D412,$C$5:$AU$501,3,)=0,0,(VLOOKUP($D412,$C$5:$AU$501,27,)/VLOOKUP($D412,$C$5:$AU$501,3,))*$E412)</f>
        <v>0</v>
      </c>
      <c r="AD412" s="48">
        <f>IF(VLOOKUP($D412,$C$5:$AU$501,3,)=0,0,(VLOOKUP($D412,$C$5:$AU$501,28,)/VLOOKUP($D412,$C$5:$AU$501,3,))*$E412)</f>
        <v>0</v>
      </c>
      <c r="AE412" s="48">
        <f>IF(VLOOKUP($D412,$C$5:$AU$501,3,)=0,0,(VLOOKUP($D412,$C$5:$AU$501,29,)/VLOOKUP($D412,$C$5:$AU$501,3,))*$E412)</f>
        <v>0</v>
      </c>
      <c r="AF412" s="48">
        <f>IF(VLOOKUP($D412,$C$5:$AU$501,3,)=0,0,(VLOOKUP($D412,$C$5:$AU$501,30,)/VLOOKUP($D412,$C$5:$AU$501,3,))*$E412)</f>
        <v>0</v>
      </c>
      <c r="AG412" s="98">
        <f t="shared" ref="AG412:AG417" si="170">SUM(F412:AF412)</f>
        <v>0.99999999999999989</v>
      </c>
      <c r="AH412" s="29" t="str">
        <f t="shared" ref="AH412:AH417" si="171">IF(ABS(E412-AG412)&lt;0.01,"ok","err")</f>
        <v>ok</v>
      </c>
    </row>
    <row r="413" spans="1:34" x14ac:dyDescent="0.2">
      <c r="A413" s="14" t="s">
        <v>343</v>
      </c>
      <c r="C413" s="14" t="s">
        <v>227</v>
      </c>
      <c r="D413" s="14" t="s">
        <v>563</v>
      </c>
      <c r="E413" s="257">
        <v>1</v>
      </c>
      <c r="F413" s="48">
        <f>IF(VLOOKUP($D413,$C$5:$AU$501,3,)=0,0,(VLOOKUP($D413,$C$5:$AU$501,4,)/VLOOKUP($D413,$C$5:$AU$501,3,))*$E413)</f>
        <v>0.92895029379069394</v>
      </c>
      <c r="G413" s="48">
        <f>IF(VLOOKUP($D413,$C$5:$AU$501,3,)=0,0,(VLOOKUP($D413,$C$5:$AU$501,5,)/VLOOKUP($D413,$C$5:$AU$501,3,))*$E413)</f>
        <v>5.7773542956963631E-2</v>
      </c>
      <c r="H413" s="48">
        <f>IF(VLOOKUP($D413,$C$5:$AU$501,3,)=0,0,(VLOOKUP($D413,$C$5:$AU$501,6,)/VLOOKUP($D413,$C$5:$AU$501,3,))*$E413)</f>
        <v>1.2767984754645068E-2</v>
      </c>
      <c r="I413" s="48">
        <f>IF(VLOOKUP($D413,$C$5:$AU$501,3,)=0,0,(VLOOKUP($D413,$C$5:$AU$501,7,)/VLOOKUP($D413,$C$5:$AU$501,3,))*$E413)</f>
        <v>1.2704462442432904E-4</v>
      </c>
      <c r="J413" s="48">
        <f>IF(VLOOKUP($D413,$C$5:$AU$501,3,)=0,0,(VLOOKUP($D413,$C$5:$AU$501,8,)/VLOOKUP($D413,$C$5:$AU$501,3,))*$E413)</f>
        <v>1.5880578053041131E-4</v>
      </c>
      <c r="K413" s="48">
        <f>IF(VLOOKUP($D413,$C$5:$AU$501,3,)=0,0,(VLOOKUP($D413,$C$5:$AU$501,9,)/VLOOKUP($D413,$C$5:$AU$501,3,))*$E413)</f>
        <v>0</v>
      </c>
      <c r="L413" s="48">
        <f>IF(VLOOKUP($D413,$C$5:$AU$501,3,)=0,0,(VLOOKUP($D413,$C$5:$AU$501,10,)/VLOOKUP($D413,$C$5:$AU$501,3,))*$E413)</f>
        <v>1.9056693663649358E-4</v>
      </c>
      <c r="M413" s="48">
        <f>IF(VLOOKUP($D413,$C$5:$AU$501,3,)=0,0,(VLOOKUP($D413,$C$5:$AU$501,11,)/VLOOKUP($D413,$C$5:$AU$501,3,))*$E413)</f>
        <v>3.176115610608226E-5</v>
      </c>
      <c r="N413" s="48">
        <f>IF(VLOOKUP($D413,$C$5:$AU$501,3,)=0,0,(VLOOKUP($D413,$C$5:$AU$501,12,)/VLOOKUP($D413,$C$5:$AU$501,3,))*$E413)</f>
        <v>0</v>
      </c>
      <c r="O413" s="48">
        <f>IF(VLOOKUP($D413,$C$5:$AU$501,3,)=0,0,(VLOOKUP($D413,$C$5:$AU$501,13,)/VLOOKUP($D413,$C$5:$AU$501,3,))*$E413)</f>
        <v>0</v>
      </c>
      <c r="P413" s="48">
        <f>IF(VLOOKUP($D413,$C$5:$AU$501,3,)=0,0,(VLOOKUP($D413,$C$5:$AU$501,14,)/VLOOKUP($D413,$C$5:$AU$501,3,))*$E413)</f>
        <v>0</v>
      </c>
      <c r="Q413" s="48">
        <f>IF(VLOOKUP($D413,$C$5:$AU$501,3,)=0,0,(VLOOKUP($D413,$C$5:$AU$501,15,)/VLOOKUP($D413,$C$5:$AU$501,3,))*$E413)</f>
        <v>0</v>
      </c>
      <c r="R413" s="48">
        <f>IF(VLOOKUP($D413,$C$5:$AU$501,3,)=0,0,(VLOOKUP($D413,$C$5:$AU$501,16,)/VLOOKUP($D413,$C$5:$AU$501,3,))*$E413)</f>
        <v>0</v>
      </c>
      <c r="S413" s="48">
        <f>IF(VLOOKUP($D413,$C$5:$AU$501,3,)=0,0,(VLOOKUP($D413,$C$5:$AU$501,17,)/VLOOKUP($D413,$C$5:$AU$501,3,))*$E413)</f>
        <v>0</v>
      </c>
      <c r="T413" s="48">
        <f>IF(VLOOKUP($D413,$C$5:$AU$501,3,)=0,0,(VLOOKUP($D413,$C$5:$AU$501,18,)/VLOOKUP($D413,$C$5:$AU$501,3,))*$E413)</f>
        <v>0</v>
      </c>
      <c r="U413" s="48">
        <f>IF(VLOOKUP($D413,$C$5:$AU$501,3,)=0,0,(VLOOKUP($D413,$C$5:$AU$501,19,)/VLOOKUP($D413,$C$5:$AU$501,3,))*$E413)</f>
        <v>0</v>
      </c>
      <c r="V413" s="48">
        <f>IF(VLOOKUP($D413,$C$5:$AU$501,3,)=0,0,(VLOOKUP($D413,$C$5:$AU$501,20,)/VLOOKUP($D413,$C$5:$AU$501,3,))*$E413)</f>
        <v>0</v>
      </c>
      <c r="W413" s="48">
        <f>IF(VLOOKUP($D413,$C$5:$AU$501,3,)=0,0,(VLOOKUP($D413,$C$5:$AU$501,21,)/VLOOKUP($D413,$C$5:$AU$501,3,))*$E413)</f>
        <v>0</v>
      </c>
      <c r="X413" s="48">
        <f>IF(VLOOKUP($D413,$C$5:$AU$501,3,)=0,0,(VLOOKUP($D413,$C$5:$AU$501,22,)/VLOOKUP($D413,$C$5:$AU$501,3,))*$E413)</f>
        <v>0</v>
      </c>
      <c r="Y413" s="48">
        <f>IF(VLOOKUP($D413,$C$5:$AU$501,3,)=0,0,(VLOOKUP($D413,$C$5:$AU$501,23,)/VLOOKUP($D413,$C$5:$AU$501,3,))*$E413)</f>
        <v>0</v>
      </c>
      <c r="Z413" s="48">
        <f>IF(VLOOKUP($D413,$C$5:$AU$501,3,)=0,0,(VLOOKUP($D413,$C$5:$AU$501,24,)/VLOOKUP($D413,$C$5:$AU$501,3,))*$E413)</f>
        <v>0</v>
      </c>
      <c r="AA413" s="48">
        <f>IF(VLOOKUP($D413,$C$5:$AU$501,3,)=0,0,(VLOOKUP($D413,$C$5:$AU$501,25,)/VLOOKUP($D413,$C$5:$AU$501,3,))*$E413)</f>
        <v>0</v>
      </c>
      <c r="AB413" s="48">
        <f>IF(VLOOKUP($D413,$C$5:$AU$501,3,)=0,0,(VLOOKUP($D413,$C$5:$AU$501,26,)/VLOOKUP($D413,$C$5:$AU$501,3,))*$E413)</f>
        <v>0</v>
      </c>
      <c r="AC413" s="48">
        <f>IF(VLOOKUP($D413,$C$5:$AU$501,3,)=0,0,(VLOOKUP($D413,$C$5:$AU$501,27,)/VLOOKUP($D413,$C$5:$AU$501,3,))*$E413)</f>
        <v>0</v>
      </c>
      <c r="AD413" s="48">
        <f>IF(VLOOKUP($D413,$C$5:$AU$501,3,)=0,0,(VLOOKUP($D413,$C$5:$AU$501,28,)/VLOOKUP($D413,$C$5:$AU$501,3,))*$E413)</f>
        <v>0</v>
      </c>
      <c r="AE413" s="48">
        <f>IF(VLOOKUP($D413,$C$5:$AU$501,3,)=0,0,(VLOOKUP($D413,$C$5:$AU$501,29,)/VLOOKUP($D413,$C$5:$AU$501,3,))*$E413)</f>
        <v>0</v>
      </c>
      <c r="AF413" s="48">
        <f>IF(VLOOKUP($D413,$C$5:$AU$501,3,)=0,0,(VLOOKUP($D413,$C$5:$AU$501,30,)/VLOOKUP($D413,$C$5:$AU$501,3,))*$E413)</f>
        <v>0</v>
      </c>
      <c r="AG413" s="98">
        <f t="shared" si="170"/>
        <v>0.99999999999999989</v>
      </c>
      <c r="AH413" s="29" t="str">
        <f t="shared" si="171"/>
        <v>ok</v>
      </c>
    </row>
    <row r="414" spans="1:34" x14ac:dyDescent="0.2">
      <c r="A414" s="14" t="s">
        <v>344</v>
      </c>
      <c r="C414" s="14" t="s">
        <v>230</v>
      </c>
      <c r="E414" s="257">
        <f>Meters!$G32</f>
        <v>0.99999999999999978</v>
      </c>
      <c r="F414" s="48">
        <f>Meters!$G6</f>
        <v>0.7738274588366082</v>
      </c>
      <c r="G414" s="48">
        <f>Meters!$G7</f>
        <v>7.5633100330227243E-2</v>
      </c>
      <c r="H414" s="48">
        <f>Meters!$G8</f>
        <v>0.12845679173488139</v>
      </c>
      <c r="I414" s="48">
        <f>Meters!$G9</f>
        <v>9.8145107103480324E-3</v>
      </c>
      <c r="J414" s="48">
        <f>Meters!$G10</f>
        <v>1.226813838793504E-2</v>
      </c>
      <c r="K414" s="48">
        <f>Meters!$G11</f>
        <v>0</v>
      </c>
      <c r="L414" s="48">
        <f>Meters!$G12</f>
        <v>0</v>
      </c>
      <c r="M414" s="48">
        <f>Meters!$G13</f>
        <v>0</v>
      </c>
      <c r="N414" s="48">
        <f>Meters!$G14</f>
        <v>0</v>
      </c>
      <c r="O414" s="48">
        <f>Meters!$G15</f>
        <v>0</v>
      </c>
      <c r="P414" s="48">
        <f>Meters!$G26</f>
        <v>0</v>
      </c>
      <c r="Q414" s="48">
        <f>Meters!$G28</f>
        <v>0</v>
      </c>
      <c r="R414" s="48">
        <f>Meters!$G30</f>
        <v>0</v>
      </c>
      <c r="S414" s="48">
        <v>0</v>
      </c>
      <c r="T414" s="48">
        <v>0</v>
      </c>
      <c r="U414" s="48">
        <v>0</v>
      </c>
      <c r="V414" s="48">
        <f>Meters!X6</f>
        <v>0</v>
      </c>
      <c r="W414" s="48">
        <f>Meters!Y6</f>
        <v>0</v>
      </c>
      <c r="X414" s="48">
        <f>Meters!Z6</f>
        <v>0</v>
      </c>
      <c r="Y414" s="48">
        <f>Meters!AA6</f>
        <v>0</v>
      </c>
      <c r="Z414" s="48">
        <f>Meters!AB6</f>
        <v>0</v>
      </c>
      <c r="AA414" s="48">
        <f>Meters!AC6</f>
        <v>0</v>
      </c>
      <c r="AB414" s="48">
        <f>Meters!AD6</f>
        <v>0</v>
      </c>
      <c r="AC414" s="48">
        <f>Meters!AE6</f>
        <v>0</v>
      </c>
      <c r="AD414" s="48">
        <f>Meters!AF6</f>
        <v>0</v>
      </c>
      <c r="AE414" s="48">
        <f>Meters!AG6</f>
        <v>0</v>
      </c>
      <c r="AF414" s="48">
        <f>Meters!AH6</f>
        <v>0</v>
      </c>
      <c r="AG414" s="98">
        <f t="shared" si="170"/>
        <v>0.99999999999999978</v>
      </c>
      <c r="AH414" s="29" t="str">
        <f t="shared" si="171"/>
        <v>ok</v>
      </c>
    </row>
    <row r="415" spans="1:34" x14ac:dyDescent="0.2">
      <c r="A415" s="14" t="s">
        <v>345</v>
      </c>
      <c r="C415" s="14" t="s">
        <v>232</v>
      </c>
      <c r="D415" s="14" t="s">
        <v>565</v>
      </c>
      <c r="E415" s="257">
        <v>1</v>
      </c>
      <c r="F415" s="48">
        <f>IF(VLOOKUP($D415,$C$5:$AU$501,3,)=0,0,(VLOOKUP($D415,$C$5:$AU$501,4,)/VLOOKUP($D415,$C$5:$AU$501,3,))*$E415)</f>
        <v>0</v>
      </c>
      <c r="G415" s="48">
        <f>IF(VLOOKUP($D415,$C$5:$AU$501,3,)=0,0,(VLOOKUP($D415,$C$5:$AU$501,5,)/VLOOKUP($D415,$C$5:$AU$501,3,))*$E415)</f>
        <v>0</v>
      </c>
      <c r="H415" s="48">
        <f>IF(VLOOKUP($D415,$C$5:$AU$501,3,)=0,0,(VLOOKUP($D415,$C$5:$AU$501,6,)/VLOOKUP($D415,$C$5:$AU$501,3,))*$E415)</f>
        <v>0</v>
      </c>
      <c r="I415" s="48">
        <f>IF(VLOOKUP($D415,$C$5:$AU$501,3,)=0,0,(VLOOKUP($D415,$C$5:$AU$501,7,)/VLOOKUP($D415,$C$5:$AU$501,3,))*$E415)</f>
        <v>0</v>
      </c>
      <c r="J415" s="48">
        <f>IF(VLOOKUP($D415,$C$5:$AU$501,3,)=0,0,(VLOOKUP($D415,$C$5:$AU$501,8,)/VLOOKUP($D415,$C$5:$AU$501,3,))*$E415)</f>
        <v>0</v>
      </c>
      <c r="K415" s="98">
        <f>K423/(K423+L423)</f>
        <v>0.9059924767364298</v>
      </c>
      <c r="L415" s="98">
        <f>L423/(L423+K423)</f>
        <v>9.4007523263570203E-2</v>
      </c>
      <c r="M415" s="48">
        <f>IF(VLOOKUP($D415,$C$5:$AU$501,3,)=0,0,(VLOOKUP($D415,$C$5:$AU$501,11,)/VLOOKUP($D415,$C$5:$AU$501,3,))*$E415)</f>
        <v>0</v>
      </c>
      <c r="N415" s="48">
        <f>IF(VLOOKUP($D415,$C$5:$AU$501,3,)=0,0,(VLOOKUP($D415,$C$5:$AU$501,12,)/VLOOKUP($D415,$C$5:$AU$501,3,))*$E415)</f>
        <v>0</v>
      </c>
      <c r="O415" s="48">
        <f>IF(VLOOKUP($D415,$C$5:$AU$501,3,)=0,0,(VLOOKUP($D415,$C$5:$AU$501,13,)/VLOOKUP($D415,$C$5:$AU$501,3,))*$E415)</f>
        <v>0</v>
      </c>
      <c r="P415" s="48">
        <f>IF(VLOOKUP($D415,$C$5:$AU$501,3,)=0,0,(VLOOKUP($D415,$C$5:$AU$501,14,)/VLOOKUP($D415,$C$5:$AU$501,3,))*$E415)</f>
        <v>0</v>
      </c>
      <c r="Q415" s="48">
        <f>IF(VLOOKUP($D415,$C$5:$AU$501,3,)=0,0,(VLOOKUP($D415,$C$5:$AU$501,15,)/VLOOKUP($D415,$C$5:$AU$501,3,))*$E415)</f>
        <v>0</v>
      </c>
      <c r="R415" s="48">
        <f>IF(VLOOKUP($D415,$C$5:$AU$501,3,)=0,0,(VLOOKUP($D415,$C$5:$AU$501,16,)/VLOOKUP($D415,$C$5:$AU$501,3,))*$E415)</f>
        <v>0</v>
      </c>
      <c r="S415" s="48">
        <f>IF(VLOOKUP($D415,$C$5:$AU$501,3,)=0,0,(VLOOKUP($D415,$C$5:$AU$501,17,)/VLOOKUP($D415,$C$5:$AU$501,3,))*$E415)</f>
        <v>0</v>
      </c>
      <c r="T415" s="48">
        <f>IF(VLOOKUP($D415,$C$5:$AU$501,3,)=0,0,(VLOOKUP($D415,$C$5:$AU$501,18,)/VLOOKUP($D415,$C$5:$AU$501,3,))*$E415)</f>
        <v>0</v>
      </c>
      <c r="U415" s="48">
        <f>IF(VLOOKUP($D415,$C$5:$AU$501,3,)=0,0,(VLOOKUP($D415,$C$5:$AU$501,19,)/VLOOKUP($D415,$C$5:$AU$501,3,))*$E415)</f>
        <v>0</v>
      </c>
      <c r="V415" s="48">
        <f>IF(VLOOKUP($D415,$C$5:$AU$501,3,)=0,0,(VLOOKUP($D415,$C$5:$AU$501,20,)/VLOOKUP($D415,$C$5:$AU$501,3,))*$E415)</f>
        <v>0</v>
      </c>
      <c r="W415" s="48">
        <f>IF(VLOOKUP($D415,$C$5:$AU$501,3,)=0,0,(VLOOKUP($D415,$C$5:$AU$501,21,)/VLOOKUP($D415,$C$5:$AU$501,3,))*$E415)</f>
        <v>0</v>
      </c>
      <c r="X415" s="48">
        <f>IF(VLOOKUP($D415,$C$5:$AU$501,3,)=0,0,(VLOOKUP($D415,$C$5:$AU$501,22,)/VLOOKUP($D415,$C$5:$AU$501,3,))*$E415)</f>
        <v>0</v>
      </c>
      <c r="Y415" s="48">
        <f>IF(VLOOKUP($D415,$C$5:$AU$501,3,)=0,0,(VLOOKUP($D415,$C$5:$AU$501,23,)/VLOOKUP($D415,$C$5:$AU$501,3,))*$E415)</f>
        <v>0</v>
      </c>
      <c r="Z415" s="48">
        <f>IF(VLOOKUP($D415,$C$5:$AU$501,3,)=0,0,(VLOOKUP($D415,$C$5:$AU$501,24,)/VLOOKUP($D415,$C$5:$AU$501,3,))*$E415)</f>
        <v>0</v>
      </c>
      <c r="AA415" s="48">
        <f>IF(VLOOKUP($D415,$C$5:$AU$501,3,)=0,0,(VLOOKUP($D415,$C$5:$AU$501,25,)/VLOOKUP($D415,$C$5:$AU$501,3,))*$E415)</f>
        <v>0</v>
      </c>
      <c r="AB415" s="48">
        <f>IF(VLOOKUP($D415,$C$5:$AU$501,3,)=0,0,(VLOOKUP($D415,$C$5:$AU$501,26,)/VLOOKUP($D415,$C$5:$AU$501,3,))*$E415)</f>
        <v>0</v>
      </c>
      <c r="AC415" s="48">
        <f>IF(VLOOKUP($D415,$C$5:$AU$501,3,)=0,0,(VLOOKUP($D415,$C$5:$AU$501,27,)/VLOOKUP($D415,$C$5:$AU$501,3,))*$E415)</f>
        <v>0</v>
      </c>
      <c r="AD415" s="48">
        <f>IF(VLOOKUP($D415,$C$5:$AU$501,3,)=0,0,(VLOOKUP($D415,$C$5:$AU$501,28,)/VLOOKUP($D415,$C$5:$AU$501,3,))*$E415)</f>
        <v>0</v>
      </c>
      <c r="AE415" s="48">
        <f>IF(VLOOKUP($D415,$C$5:$AU$501,3,)=0,0,(VLOOKUP($D415,$C$5:$AU$501,29,)/VLOOKUP($D415,$C$5:$AU$501,3,))*$E415)</f>
        <v>0</v>
      </c>
      <c r="AF415" s="48">
        <f>IF(VLOOKUP($D415,$C$5:$AU$501,3,)=0,0,(VLOOKUP($D415,$C$5:$AU$501,30,)/VLOOKUP($D415,$C$5:$AU$501,3,))*$E415)</f>
        <v>0</v>
      </c>
      <c r="AG415" s="98">
        <f t="shared" si="170"/>
        <v>1</v>
      </c>
      <c r="AH415" s="29" t="str">
        <f t="shared" si="171"/>
        <v>ok</v>
      </c>
    </row>
    <row r="416" spans="1:34" x14ac:dyDescent="0.2">
      <c r="A416" s="14" t="s">
        <v>346</v>
      </c>
      <c r="C416" s="14" t="s">
        <v>234</v>
      </c>
      <c r="D416" s="14" t="s">
        <v>617</v>
      </c>
      <c r="E416" s="257">
        <v>1</v>
      </c>
      <c r="F416" s="48">
        <f>IF(VLOOKUP($D416,$C$5:$AU$501,3,)=0,0,(VLOOKUP($D416,$C$5:$AU$501,4,)/VLOOKUP($D416,$C$5:$AU$501,3,))*$E416)</f>
        <v>0.9289797992631178</v>
      </c>
      <c r="G416" s="48">
        <f>IF(VLOOKUP($D416,$C$5:$AU$501,3,)=0,0,(VLOOKUP($D416,$C$5:$AU$501,5,)/VLOOKUP($D416,$C$5:$AU$501,3,))*$E416)</f>
        <v>5.7775377969762419E-2</v>
      </c>
      <c r="H416" s="48">
        <f>IF(VLOOKUP($D416,$C$5:$AU$501,3,)=0,0,(VLOOKUP($D416,$C$5:$AU$501,6,)/VLOOKUP($D416,$C$5:$AU$501,3,))*$E416)</f>
        <v>1.2768390293482404E-2</v>
      </c>
      <c r="I416" s="48">
        <f>IF(VLOOKUP($D416,$C$5:$AU$501,3,)=0,0,(VLOOKUP($D416,$C$5:$AU$501,7,)/VLOOKUP($D416,$C$5:$AU$501,3,))*$E416)</f>
        <v>1.2704865963664082E-4</v>
      </c>
      <c r="J416" s="48">
        <f>IF(VLOOKUP($D416,$C$5:$AU$501,3,)=0,0,(VLOOKUP($D416,$C$5:$AU$501,8,)/VLOOKUP($D416,$C$5:$AU$501,3,))*$E416)</f>
        <v>1.5881082454580105E-4</v>
      </c>
      <c r="K416" s="48">
        <f>IF(VLOOKUP($D416,$C$5:$AU$501,3,)=0,0,(VLOOKUP($D416,$C$5:$AU$501,9,)/VLOOKUP($D416,$C$5:$AU$501,3,))*$E416)</f>
        <v>0</v>
      </c>
      <c r="L416" s="48">
        <f>IF(VLOOKUP($D416,$C$5:$AU$501,3,)=0,0,(VLOOKUP($D416,$C$5:$AU$501,10,)/VLOOKUP($D416,$C$5:$AU$501,3,))*$E416)</f>
        <v>1.9057298945496126E-4</v>
      </c>
      <c r="M416" s="48">
        <f>IF(VLOOKUP($D416,$C$5:$AU$501,3,)=0,0,(VLOOKUP($D416,$C$5:$AU$501,11,)/VLOOKUP($D416,$C$5:$AU$501,3,))*$E416)</f>
        <v>0</v>
      </c>
      <c r="N416" s="48">
        <f>IF(VLOOKUP($D416,$C$5:$AU$501,3,)=0,0,(VLOOKUP($D416,$C$5:$AU$501,12,)/VLOOKUP($D416,$C$5:$AU$501,3,))*$E416)</f>
        <v>0</v>
      </c>
      <c r="O416" s="48">
        <f>IF(VLOOKUP($D416,$C$5:$AU$501,3,)=0,0,(VLOOKUP($D416,$C$5:$AU$501,13,)/VLOOKUP($D416,$C$5:$AU$501,3,))*$E416)</f>
        <v>0</v>
      </c>
      <c r="P416" s="48">
        <f>IF(VLOOKUP($D416,$C$5:$AU$501,3,)=0,0,(VLOOKUP($D416,$C$5:$AU$501,14,)/VLOOKUP($D416,$C$5:$AU$501,3,))*$E416)</f>
        <v>0</v>
      </c>
      <c r="Q416" s="48">
        <f>IF(VLOOKUP($D416,$C$5:$AU$501,3,)=0,0,(VLOOKUP($D416,$C$5:$AU$501,15,)/VLOOKUP($D416,$C$5:$AU$501,3,))*$E416)</f>
        <v>0</v>
      </c>
      <c r="R416" s="48">
        <f>IF(VLOOKUP($D416,$C$5:$AU$501,3,)=0,0,(VLOOKUP($D416,$C$5:$AU$501,16,)/VLOOKUP($D416,$C$5:$AU$501,3,))*$E416)</f>
        <v>0</v>
      </c>
      <c r="S416" s="48">
        <f>IF(VLOOKUP($D416,$C$5:$AU$501,3,)=0,0,(VLOOKUP($D416,$C$5:$AU$501,17,)/VLOOKUP($D416,$C$5:$AU$501,3,))*$E416)</f>
        <v>0</v>
      </c>
      <c r="T416" s="48">
        <f>IF(VLOOKUP($D416,$C$5:$AU$501,3,)=0,0,(VLOOKUP($D416,$C$5:$AU$501,18,)/VLOOKUP($D416,$C$5:$AU$501,3,))*$E416)</f>
        <v>0</v>
      </c>
      <c r="U416" s="48">
        <f>IF(VLOOKUP($D416,$C$5:$AU$501,3,)=0,0,(VLOOKUP($D416,$C$5:$AU$501,19,)/VLOOKUP($D416,$C$5:$AU$501,3,))*$E416)</f>
        <v>0</v>
      </c>
      <c r="V416" s="48">
        <f>IF(VLOOKUP($D416,$C$5:$AU$501,3,)=0,0,(VLOOKUP($D416,$C$5:$AU$501,20,)/VLOOKUP($D416,$C$5:$AU$501,3,))*$E416)</f>
        <v>0</v>
      </c>
      <c r="W416" s="48">
        <f>IF(VLOOKUP($D416,$C$5:$AU$501,3,)=0,0,(VLOOKUP($D416,$C$5:$AU$501,21,)/VLOOKUP($D416,$C$5:$AU$501,3,))*$E416)</f>
        <v>0</v>
      </c>
      <c r="X416" s="48">
        <f>IF(VLOOKUP($D416,$C$5:$AU$501,3,)=0,0,(VLOOKUP($D416,$C$5:$AU$501,22,)/VLOOKUP($D416,$C$5:$AU$501,3,))*$E416)</f>
        <v>0</v>
      </c>
      <c r="Y416" s="48">
        <f>IF(VLOOKUP($D416,$C$5:$AU$501,3,)=0,0,(VLOOKUP($D416,$C$5:$AU$501,23,)/VLOOKUP($D416,$C$5:$AU$501,3,))*$E416)</f>
        <v>0</v>
      </c>
      <c r="Z416" s="48">
        <f>IF(VLOOKUP($D416,$C$5:$AU$501,3,)=0,0,(VLOOKUP($D416,$C$5:$AU$501,24,)/VLOOKUP($D416,$C$5:$AU$501,3,))*$E416)</f>
        <v>0</v>
      </c>
      <c r="AA416" s="48">
        <f>IF(VLOOKUP($D416,$C$5:$AU$501,3,)=0,0,(VLOOKUP($D416,$C$5:$AU$501,25,)/VLOOKUP($D416,$C$5:$AU$501,3,))*$E416)</f>
        <v>0</v>
      </c>
      <c r="AB416" s="48">
        <f>IF(VLOOKUP($D416,$C$5:$AU$501,3,)=0,0,(VLOOKUP($D416,$C$5:$AU$501,26,)/VLOOKUP($D416,$C$5:$AU$501,3,))*$E416)</f>
        <v>0</v>
      </c>
      <c r="AC416" s="48">
        <f>IF(VLOOKUP($D416,$C$5:$AU$501,3,)=0,0,(VLOOKUP($D416,$C$5:$AU$501,27,)/VLOOKUP($D416,$C$5:$AU$501,3,))*$E416)</f>
        <v>0</v>
      </c>
      <c r="AD416" s="48">
        <f>IF(VLOOKUP($D416,$C$5:$AU$501,3,)=0,0,(VLOOKUP($D416,$C$5:$AU$501,28,)/VLOOKUP($D416,$C$5:$AU$501,3,))*$E416)</f>
        <v>0</v>
      </c>
      <c r="AE416" s="48">
        <f>IF(VLOOKUP($D416,$C$5:$AU$501,3,)=0,0,(VLOOKUP($D416,$C$5:$AU$501,29,)/VLOOKUP($D416,$C$5:$AU$501,3,))*$E416)</f>
        <v>0</v>
      </c>
      <c r="AF416" s="48">
        <f>IF(VLOOKUP($D416,$C$5:$AU$501,3,)=0,0,(VLOOKUP($D416,$C$5:$AU$501,30,)/VLOOKUP($D416,$C$5:$AU$501,3,))*$E416)</f>
        <v>0</v>
      </c>
      <c r="AG416" s="98">
        <f t="shared" si="170"/>
        <v>1</v>
      </c>
      <c r="AH416" s="29" t="str">
        <f t="shared" si="171"/>
        <v>ok</v>
      </c>
    </row>
    <row r="417" spans="1:34" x14ac:dyDescent="0.2">
      <c r="A417" s="14" t="s">
        <v>470</v>
      </c>
      <c r="C417" s="14" t="s">
        <v>235</v>
      </c>
      <c r="D417" s="14" t="s">
        <v>618</v>
      </c>
      <c r="E417" s="257">
        <v>1</v>
      </c>
      <c r="F417" s="48">
        <f>IF(VLOOKUP($D417,$C$5:$AU$501,3,)=0,0,(VLOOKUP($D417,$C$5:$AU$501,4,)/VLOOKUP($D417,$C$5:$AU$501,3,))*$E417)</f>
        <v>0.92915687146578563</v>
      </c>
      <c r="G417" s="48">
        <f>IF(VLOOKUP($D417,$C$5:$AU$501,3,)=0,0,(VLOOKUP($D417,$C$5:$AU$501,5,)/VLOOKUP($D417,$C$5:$AU$501,3,))*$E417)</f>
        <v>5.7786390494948853E-2</v>
      </c>
      <c r="H417" s="48">
        <f>IF(VLOOKUP($D417,$C$5:$AU$501,3,)=0,0,(VLOOKUP($D417,$C$5:$AU$501,6,)/VLOOKUP($D417,$C$5:$AU$501,3,))*$E417)</f>
        <v>1.2770824067602771E-2</v>
      </c>
      <c r="I417" s="48">
        <f>IF(VLOOKUP($D417,$C$5:$AU$501,3,)=0,0,(VLOOKUP($D417,$C$5:$AU$501,7,)/VLOOKUP($D417,$C$5:$AU$501,3,))*$E417)</f>
        <v>1.2707287629455492E-4</v>
      </c>
      <c r="J417" s="48">
        <f>IF(VLOOKUP($D417,$C$5:$AU$501,3,)=0,0,(VLOOKUP($D417,$C$5:$AU$501,8,)/VLOOKUP($D417,$C$5:$AU$501,3,))*$E417)</f>
        <v>1.5884109536819365E-4</v>
      </c>
      <c r="K417" s="48">
        <f>IF(VLOOKUP($D417,$C$5:$AU$501,3,)=0,0,(VLOOKUP($D417,$C$5:$AU$501,9,)/VLOOKUP($D417,$C$5:$AU$501,3,))*$E417)</f>
        <v>0</v>
      </c>
      <c r="L417" s="48">
        <f>IF(VLOOKUP($D417,$C$5:$AU$501,3,)=0,0,(VLOOKUP($D417,$C$5:$AU$501,10,)/VLOOKUP($D417,$C$5:$AU$501,3,))*$E417)</f>
        <v>0</v>
      </c>
      <c r="M417" s="48">
        <f>IF(VLOOKUP($D417,$C$5:$AU$501,3,)=0,0,(VLOOKUP($D417,$C$5:$AU$501,11,)/VLOOKUP($D417,$C$5:$AU$501,3,))*$E417)</f>
        <v>0</v>
      </c>
      <c r="N417" s="48">
        <f>IF(VLOOKUP($D417,$C$5:$AU$501,3,)=0,0,(VLOOKUP($D417,$C$5:$AU$501,12,)/VLOOKUP($D417,$C$5:$AU$501,3,))*$E417)</f>
        <v>0</v>
      </c>
      <c r="O417" s="48">
        <f>IF(VLOOKUP($D417,$C$5:$AU$501,3,)=0,0,(VLOOKUP($D417,$C$5:$AU$501,13,)/VLOOKUP($D417,$C$5:$AU$501,3,))*$E417)</f>
        <v>0</v>
      </c>
      <c r="P417" s="48">
        <f>IF(VLOOKUP($D417,$C$5:$AU$501,3,)=0,0,(VLOOKUP($D417,$C$5:$AU$501,14,)/VLOOKUP($D417,$C$5:$AU$501,3,))*$E417)</f>
        <v>0</v>
      </c>
      <c r="Q417" s="48">
        <f>IF(VLOOKUP($D417,$C$5:$AU$501,3,)=0,0,(VLOOKUP($D417,$C$5:$AU$501,15,)/VLOOKUP($D417,$C$5:$AU$501,3,))*$E417)</f>
        <v>0</v>
      </c>
      <c r="R417" s="48">
        <f>IF(VLOOKUP($D417,$C$5:$AU$501,3,)=0,0,(VLOOKUP($D417,$C$5:$AU$501,16,)/VLOOKUP($D417,$C$5:$AU$501,3,))*$E417)</f>
        <v>0</v>
      </c>
      <c r="S417" s="48">
        <f>IF(VLOOKUP($D417,$C$5:$AU$501,3,)=0,0,(VLOOKUP($D417,$C$5:$AU$501,17,)/VLOOKUP($D417,$C$5:$AU$501,3,))*$E417)</f>
        <v>0</v>
      </c>
      <c r="T417" s="48">
        <f>IF(VLOOKUP($D417,$C$5:$AU$501,3,)=0,0,(VLOOKUP($D417,$C$5:$AU$501,18,)/VLOOKUP($D417,$C$5:$AU$501,3,))*$E417)</f>
        <v>0</v>
      </c>
      <c r="U417" s="48">
        <f>IF(VLOOKUP($D417,$C$5:$AU$501,3,)=0,0,(VLOOKUP($D417,$C$5:$AU$501,19,)/VLOOKUP($D417,$C$5:$AU$501,3,))*$E417)</f>
        <v>0</v>
      </c>
      <c r="V417" s="48">
        <f>IF(VLOOKUP($D417,$C$5:$AU$501,3,)=0,0,(VLOOKUP($D417,$C$5:$AU$501,20,)/VLOOKUP($D417,$C$5:$AU$501,3,))*$E417)</f>
        <v>0</v>
      </c>
      <c r="W417" s="48">
        <f>IF(VLOOKUP($D417,$C$5:$AU$501,3,)=0,0,(VLOOKUP($D417,$C$5:$AU$501,21,)/VLOOKUP($D417,$C$5:$AU$501,3,))*$E417)</f>
        <v>0</v>
      </c>
      <c r="X417" s="48">
        <f>IF(VLOOKUP($D417,$C$5:$AU$501,3,)=0,0,(VLOOKUP($D417,$C$5:$AU$501,22,)/VLOOKUP($D417,$C$5:$AU$501,3,))*$E417)</f>
        <v>0</v>
      </c>
      <c r="Y417" s="48">
        <f>IF(VLOOKUP($D417,$C$5:$AU$501,3,)=0,0,(VLOOKUP($D417,$C$5:$AU$501,23,)/VLOOKUP($D417,$C$5:$AU$501,3,))*$E417)</f>
        <v>0</v>
      </c>
      <c r="Z417" s="48">
        <f>IF(VLOOKUP($D417,$C$5:$AU$501,3,)=0,0,(VLOOKUP($D417,$C$5:$AU$501,24,)/VLOOKUP($D417,$C$5:$AU$501,3,))*$E417)</f>
        <v>0</v>
      </c>
      <c r="AA417" s="48">
        <f>IF(VLOOKUP($D417,$C$5:$AU$501,3,)=0,0,(VLOOKUP($D417,$C$5:$AU$501,25,)/VLOOKUP($D417,$C$5:$AU$501,3,))*$E417)</f>
        <v>0</v>
      </c>
      <c r="AB417" s="48">
        <f>IF(VLOOKUP($D417,$C$5:$AU$501,3,)=0,0,(VLOOKUP($D417,$C$5:$AU$501,26,)/VLOOKUP($D417,$C$5:$AU$501,3,))*$E417)</f>
        <v>0</v>
      </c>
      <c r="AC417" s="48">
        <f>IF(VLOOKUP($D417,$C$5:$AU$501,3,)=0,0,(VLOOKUP($D417,$C$5:$AU$501,27,)/VLOOKUP($D417,$C$5:$AU$501,3,))*$E417)</f>
        <v>0</v>
      </c>
      <c r="AD417" s="48">
        <f>IF(VLOOKUP($D417,$C$5:$AU$501,3,)=0,0,(VLOOKUP($D417,$C$5:$AU$501,28,)/VLOOKUP($D417,$C$5:$AU$501,3,))*$E417)</f>
        <v>0</v>
      </c>
      <c r="AE417" s="48">
        <f>IF(VLOOKUP($D417,$C$5:$AU$501,3,)=0,0,(VLOOKUP($D417,$C$5:$AU$501,29,)/VLOOKUP($D417,$C$5:$AU$501,3,))*$E417)</f>
        <v>0</v>
      </c>
      <c r="AF417" s="48">
        <f>IF(VLOOKUP($D417,$C$5:$AU$501,3,)=0,0,(VLOOKUP($D417,$C$5:$AU$501,30,)/VLOOKUP($D417,$C$5:$AU$501,3,))*$E417)</f>
        <v>0</v>
      </c>
      <c r="AG417" s="98">
        <f t="shared" si="170"/>
        <v>1</v>
      </c>
      <c r="AH417" s="29" t="str">
        <f t="shared" si="171"/>
        <v>ok</v>
      </c>
    </row>
    <row r="419" spans="1:34" x14ac:dyDescent="0.2">
      <c r="A419" s="13" t="s">
        <v>869</v>
      </c>
      <c r="D419" s="46"/>
    </row>
    <row r="420" spans="1:34" x14ac:dyDescent="0.2">
      <c r="A420" s="14" t="s">
        <v>349</v>
      </c>
      <c r="C420" s="14" t="s">
        <v>561</v>
      </c>
      <c r="E420" s="255">
        <f>'Billing Det'!E25</f>
        <v>84804614.700000003</v>
      </c>
      <c r="F420" s="49">
        <f>'Billing Det'!$E8</f>
        <v>47540629.230000004</v>
      </c>
      <c r="G420" s="49">
        <f>'Billing Det'!$E9</f>
        <v>3850728.04</v>
      </c>
      <c r="H420" s="49">
        <f>'Billing Det'!$E10</f>
        <v>8865790.540000001</v>
      </c>
      <c r="I420" s="49">
        <f>'Billing Det'!$E11</f>
        <v>117069.19</v>
      </c>
      <c r="J420" s="49">
        <f>'Billing Det'!$E12</f>
        <v>1061262.01</v>
      </c>
      <c r="K420" s="49">
        <f>'Billing Det'!$E13</f>
        <v>1490765.52</v>
      </c>
      <c r="L420" s="49">
        <f>'Billing Det'!$E14</f>
        <v>145129.32</v>
      </c>
      <c r="M420" s="49">
        <f>'Billing Det'!$E15</f>
        <v>21733240.850000001</v>
      </c>
      <c r="N420" s="49">
        <f>'Billing Det'!$E16</f>
        <v>0</v>
      </c>
      <c r="O420" s="49">
        <f>'Billing Det'!$E17</f>
        <v>0</v>
      </c>
      <c r="P420" s="49">
        <f>'Billing Det'!$E18</f>
        <v>0</v>
      </c>
      <c r="Q420" s="49">
        <f>'Billing Det'!$E19</f>
        <v>0</v>
      </c>
      <c r="R420" s="49">
        <f>'Billing Det'!$E20</f>
        <v>0</v>
      </c>
      <c r="S420" s="49">
        <f>'Billing Det'!$E21</f>
        <v>0</v>
      </c>
      <c r="T420" s="49">
        <f>'Billing Det'!$E22</f>
        <v>0</v>
      </c>
      <c r="U420" s="49">
        <f>'Billing Det'!$E23</f>
        <v>0</v>
      </c>
      <c r="V420" s="49">
        <v>0</v>
      </c>
      <c r="W420" s="49">
        <v>0</v>
      </c>
      <c r="X420" s="49">
        <v>0</v>
      </c>
      <c r="Y420" s="49">
        <v>0</v>
      </c>
      <c r="Z420" s="49">
        <v>0</v>
      </c>
      <c r="AA420" s="49">
        <v>0</v>
      </c>
      <c r="AB420" s="49">
        <v>0</v>
      </c>
      <c r="AC420" s="49">
        <v>0</v>
      </c>
      <c r="AD420" s="49">
        <v>0</v>
      </c>
      <c r="AE420" s="49"/>
      <c r="AF420" s="49"/>
      <c r="AG420" s="49">
        <f t="shared" ref="AG420:AG430" si="172">SUM(F420:AF420)</f>
        <v>84804614.700000003</v>
      </c>
      <c r="AH420" s="29" t="str">
        <f t="shared" ref="AH420:AH430" si="173">IF(ABS(E420-AG420)&lt;0.01,"ok","err")</f>
        <v>ok</v>
      </c>
    </row>
    <row r="421" spans="1:34" x14ac:dyDescent="0.2">
      <c r="A421" s="14" t="s">
        <v>11</v>
      </c>
      <c r="C421" s="14" t="s">
        <v>214</v>
      </c>
      <c r="E421" s="255">
        <f>'Billing Det'!D25</f>
        <v>972018636</v>
      </c>
      <c r="F421" s="49">
        <f>'Billing Det'!D8</f>
        <v>333689905</v>
      </c>
      <c r="G421" s="49">
        <f>'Billing Det'!D9</f>
        <v>25940828</v>
      </c>
      <c r="H421" s="49">
        <f>'Billing Det'!D10</f>
        <v>65478568</v>
      </c>
      <c r="I421" s="49">
        <f>'Billing Det'!D11</f>
        <v>881159</v>
      </c>
      <c r="J421" s="49">
        <f>'Billing Det'!D12</f>
        <v>6968834</v>
      </c>
      <c r="K421" s="49">
        <f>'Billing Det'!D13</f>
        <v>10129708</v>
      </c>
      <c r="L421" s="49">
        <f>'Billing Det'!D14</f>
        <v>1051078</v>
      </c>
      <c r="M421" s="49">
        <f>'Billing Det'!D15</f>
        <v>527878556</v>
      </c>
      <c r="N421" s="49">
        <f>'Billing Det'!D16</f>
        <v>0</v>
      </c>
      <c r="O421" s="49">
        <f>'Billing Det'!D17</f>
        <v>0</v>
      </c>
      <c r="P421" s="49">
        <f>'Billing Det'!D18</f>
        <v>0</v>
      </c>
      <c r="Q421" s="49">
        <f>'Billing Det'!D19</f>
        <v>0</v>
      </c>
      <c r="R421" s="49">
        <f>'Billing Det'!D20</f>
        <v>0</v>
      </c>
      <c r="S421" s="49">
        <f>'Billing Det'!$D21</f>
        <v>0</v>
      </c>
      <c r="T421" s="49">
        <f>'Billing Det'!$D22</f>
        <v>0</v>
      </c>
      <c r="U421" s="49">
        <f>'Billing Det'!$D23</f>
        <v>0</v>
      </c>
      <c r="V421" s="49">
        <v>0</v>
      </c>
      <c r="W421" s="49">
        <v>0</v>
      </c>
      <c r="X421" s="49">
        <v>0</v>
      </c>
      <c r="Y421" s="49">
        <v>0</v>
      </c>
      <c r="Z421" s="49">
        <v>0</v>
      </c>
      <c r="AA421" s="49">
        <v>0</v>
      </c>
      <c r="AB421" s="49">
        <v>0</v>
      </c>
      <c r="AC421" s="49">
        <v>0</v>
      </c>
      <c r="AD421" s="49">
        <v>0</v>
      </c>
      <c r="AE421" s="49"/>
      <c r="AF421" s="49"/>
      <c r="AG421" s="49">
        <f>SUM(F421:AF421)</f>
        <v>972018636</v>
      </c>
      <c r="AH421" s="29" t="str">
        <f t="shared" si="173"/>
        <v>ok</v>
      </c>
    </row>
    <row r="422" spans="1:34" x14ac:dyDescent="0.2">
      <c r="A422" s="14" t="s">
        <v>744</v>
      </c>
      <c r="E422" s="273"/>
      <c r="F422" s="103">
        <v>0.05</v>
      </c>
      <c r="G422" s="103">
        <v>0.05</v>
      </c>
      <c r="H422" s="103">
        <v>2.5000000000000001E-2</v>
      </c>
      <c r="I422" s="103">
        <v>2.5000000000000001E-2</v>
      </c>
      <c r="J422" s="194">
        <v>2.5000000000000001E-2</v>
      </c>
      <c r="K422" s="194">
        <v>0</v>
      </c>
      <c r="L422" s="49">
        <v>0</v>
      </c>
      <c r="M422" s="103">
        <v>0</v>
      </c>
      <c r="N422" s="103">
        <v>0.05</v>
      </c>
      <c r="O422" s="103">
        <v>0.05</v>
      </c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63"/>
      <c r="AH422" s="29"/>
    </row>
    <row r="423" spans="1:34" x14ac:dyDescent="0.2">
      <c r="A423" s="14" t="s">
        <v>745</v>
      </c>
      <c r="C423" s="14" t="s">
        <v>11</v>
      </c>
      <c r="E423" s="255">
        <v>992826788.82860994</v>
      </c>
      <c r="F423" s="49">
        <f t="shared" ref="F423:AF423" si="174">F421/(1-F422)</f>
        <v>351252531.57894737</v>
      </c>
      <c r="G423" s="49">
        <f t="shared" si="174"/>
        <v>27306134.736842107</v>
      </c>
      <c r="H423" s="49">
        <f t="shared" si="174"/>
        <v>67157505.641025648</v>
      </c>
      <c r="I423" s="49">
        <f t="shared" si="174"/>
        <v>903752.8205128205</v>
      </c>
      <c r="J423" s="49">
        <f t="shared" si="174"/>
        <v>7147522.051282051</v>
      </c>
      <c r="K423" s="49">
        <f t="shared" si="174"/>
        <v>10129708</v>
      </c>
      <c r="L423" s="49">
        <f t="shared" si="174"/>
        <v>1051078</v>
      </c>
      <c r="M423" s="49">
        <f t="shared" si="174"/>
        <v>527878556</v>
      </c>
      <c r="N423" s="49">
        <f t="shared" si="174"/>
        <v>0</v>
      </c>
      <c r="O423" s="49">
        <f t="shared" si="174"/>
        <v>0</v>
      </c>
      <c r="P423" s="49">
        <f t="shared" si="174"/>
        <v>0</v>
      </c>
      <c r="Q423" s="49">
        <f t="shared" si="174"/>
        <v>0</v>
      </c>
      <c r="R423" s="49">
        <f t="shared" si="174"/>
        <v>0</v>
      </c>
      <c r="S423" s="49">
        <f t="shared" si="174"/>
        <v>0</v>
      </c>
      <c r="T423" s="49">
        <f t="shared" si="174"/>
        <v>0</v>
      </c>
      <c r="U423" s="49">
        <f t="shared" si="174"/>
        <v>0</v>
      </c>
      <c r="V423" s="49">
        <f t="shared" si="174"/>
        <v>0</v>
      </c>
      <c r="W423" s="49">
        <f t="shared" si="174"/>
        <v>0</v>
      </c>
      <c r="X423" s="49">
        <f t="shared" si="174"/>
        <v>0</v>
      </c>
      <c r="Y423" s="49">
        <f t="shared" si="174"/>
        <v>0</v>
      </c>
      <c r="Z423" s="49">
        <f t="shared" si="174"/>
        <v>0</v>
      </c>
      <c r="AA423" s="49">
        <f t="shared" si="174"/>
        <v>0</v>
      </c>
      <c r="AB423" s="49">
        <f t="shared" si="174"/>
        <v>0</v>
      </c>
      <c r="AC423" s="49">
        <f t="shared" si="174"/>
        <v>0</v>
      </c>
      <c r="AD423" s="49">
        <f t="shared" si="174"/>
        <v>0</v>
      </c>
      <c r="AE423" s="49">
        <f t="shared" si="174"/>
        <v>0</v>
      </c>
      <c r="AF423" s="49">
        <f t="shared" si="174"/>
        <v>0</v>
      </c>
      <c r="AG423" s="49">
        <f t="shared" si="172"/>
        <v>992826788.82860994</v>
      </c>
      <c r="AH423" s="29" t="str">
        <f t="shared" si="173"/>
        <v>ok</v>
      </c>
    </row>
    <row r="424" spans="1:34" x14ac:dyDescent="0.2">
      <c r="A424" s="14" t="s">
        <v>558</v>
      </c>
      <c r="E424" s="255">
        <f>'Billing Det'!C25*12</f>
        <v>377820</v>
      </c>
      <c r="F424" s="49">
        <f>'Billing Det'!$C8*12</f>
        <v>350976</v>
      </c>
      <c r="G424" s="49">
        <f>'Billing Det'!$C9*12</f>
        <v>21828</v>
      </c>
      <c r="H424" s="49">
        <f>'Billing Det'!$C10*12</f>
        <v>4824</v>
      </c>
      <c r="I424" s="49">
        <f>'Billing Det'!$C11*12</f>
        <v>48</v>
      </c>
      <c r="J424" s="49">
        <f>'Billing Det'!$C12*12</f>
        <v>60</v>
      </c>
      <c r="K424" s="49">
        <f>'Billing Det'!$C13*12</f>
        <v>0</v>
      </c>
      <c r="L424" s="49">
        <f>'Billing Det'!$C14*12</f>
        <v>72</v>
      </c>
      <c r="M424" s="49">
        <f>'Billing Det'!$C15*12</f>
        <v>12</v>
      </c>
      <c r="N424" s="49">
        <f>'Billing Det'!$C16*12</f>
        <v>0</v>
      </c>
      <c r="O424" s="49">
        <f>'Billing Det'!$C17*12</f>
        <v>0</v>
      </c>
      <c r="P424" s="49">
        <f>'Billing Det'!$C18*12</f>
        <v>0</v>
      </c>
      <c r="Q424" s="49">
        <f>'Billing Det'!$C19*12</f>
        <v>0</v>
      </c>
      <c r="R424" s="49">
        <f>'Billing Det'!$C20*12</f>
        <v>0</v>
      </c>
      <c r="S424" s="49">
        <f>'Billing Det'!$C21*12</f>
        <v>0</v>
      </c>
      <c r="T424" s="49">
        <f>'Billing Det'!$C22*12</f>
        <v>0</v>
      </c>
      <c r="U424" s="49">
        <f>'Billing Det'!$C23*12</f>
        <v>0</v>
      </c>
      <c r="V424" s="49">
        <v>0</v>
      </c>
      <c r="W424" s="49">
        <v>0</v>
      </c>
      <c r="X424" s="49">
        <v>0</v>
      </c>
      <c r="Y424" s="49">
        <v>0</v>
      </c>
      <c r="Z424" s="49">
        <v>0</v>
      </c>
      <c r="AA424" s="49">
        <v>0</v>
      </c>
      <c r="AB424" s="49">
        <v>0</v>
      </c>
      <c r="AC424" s="49">
        <v>0</v>
      </c>
      <c r="AD424" s="49">
        <v>0</v>
      </c>
      <c r="AE424" s="49"/>
      <c r="AF424" s="49"/>
      <c r="AG424" s="49">
        <f t="shared" si="172"/>
        <v>377820</v>
      </c>
      <c r="AH424" s="29" t="str">
        <f t="shared" si="173"/>
        <v>ok</v>
      </c>
    </row>
    <row r="425" spans="1:34" x14ac:dyDescent="0.2">
      <c r="A425" s="14" t="s">
        <v>559</v>
      </c>
      <c r="C425" s="14" t="s">
        <v>562</v>
      </c>
      <c r="E425" s="255">
        <f>'Billing Det'!C25</f>
        <v>31485</v>
      </c>
      <c r="F425" s="49">
        <f>F424/12</f>
        <v>29248</v>
      </c>
      <c r="G425" s="49">
        <f t="shared" ref="G425:AF425" si="175">G424/12</f>
        <v>1819</v>
      </c>
      <c r="H425" s="49">
        <f>H424/12</f>
        <v>402</v>
      </c>
      <c r="I425" s="49">
        <f t="shared" si="175"/>
        <v>4</v>
      </c>
      <c r="J425" s="49">
        <f t="shared" si="175"/>
        <v>5</v>
      </c>
      <c r="K425" s="49">
        <f t="shared" si="175"/>
        <v>0</v>
      </c>
      <c r="L425" s="49">
        <f t="shared" si="175"/>
        <v>6</v>
      </c>
      <c r="M425" s="49">
        <f t="shared" si="175"/>
        <v>1</v>
      </c>
      <c r="N425" s="49">
        <f t="shared" si="175"/>
        <v>0</v>
      </c>
      <c r="O425" s="49">
        <f t="shared" si="175"/>
        <v>0</v>
      </c>
      <c r="P425" s="49">
        <f t="shared" si="175"/>
        <v>0</v>
      </c>
      <c r="Q425" s="49">
        <f t="shared" si="175"/>
        <v>0</v>
      </c>
      <c r="R425" s="49">
        <f t="shared" si="175"/>
        <v>0</v>
      </c>
      <c r="S425" s="49">
        <f t="shared" si="175"/>
        <v>0</v>
      </c>
      <c r="T425" s="49">
        <f t="shared" si="175"/>
        <v>0</v>
      </c>
      <c r="U425" s="49">
        <f t="shared" si="175"/>
        <v>0</v>
      </c>
      <c r="V425" s="49">
        <v>0</v>
      </c>
      <c r="W425" s="49">
        <v>0</v>
      </c>
      <c r="X425" s="49">
        <v>0</v>
      </c>
      <c r="Y425" s="49">
        <v>0</v>
      </c>
      <c r="Z425" s="49">
        <f t="shared" si="175"/>
        <v>0</v>
      </c>
      <c r="AA425" s="49">
        <f t="shared" si="175"/>
        <v>0</v>
      </c>
      <c r="AB425" s="49">
        <f t="shared" si="175"/>
        <v>0</v>
      </c>
      <c r="AC425" s="49">
        <f t="shared" si="175"/>
        <v>0</v>
      </c>
      <c r="AD425" s="49">
        <f t="shared" si="175"/>
        <v>0</v>
      </c>
      <c r="AE425" s="49">
        <f t="shared" si="175"/>
        <v>0</v>
      </c>
      <c r="AF425" s="49">
        <f t="shared" si="175"/>
        <v>0</v>
      </c>
      <c r="AG425" s="49">
        <f t="shared" si="172"/>
        <v>31485</v>
      </c>
      <c r="AH425" s="29" t="str">
        <f t="shared" si="173"/>
        <v>ok</v>
      </c>
    </row>
    <row r="426" spans="1:34" x14ac:dyDescent="0.2">
      <c r="A426" s="14" t="s">
        <v>560</v>
      </c>
      <c r="C426" s="14" t="s">
        <v>563</v>
      </c>
      <c r="E426" s="255">
        <f>E425</f>
        <v>31485</v>
      </c>
      <c r="F426" s="49">
        <f t="shared" ref="F426:O426" si="176">F425</f>
        <v>29248</v>
      </c>
      <c r="G426" s="49">
        <f t="shared" si="176"/>
        <v>1819</v>
      </c>
      <c r="H426" s="49">
        <f t="shared" si="176"/>
        <v>402</v>
      </c>
      <c r="I426" s="49">
        <f t="shared" si="176"/>
        <v>4</v>
      </c>
      <c r="J426" s="49">
        <f t="shared" si="176"/>
        <v>5</v>
      </c>
      <c r="K426" s="49">
        <f t="shared" si="176"/>
        <v>0</v>
      </c>
      <c r="L426" s="49">
        <f t="shared" si="176"/>
        <v>6</v>
      </c>
      <c r="M426" s="49">
        <f t="shared" si="176"/>
        <v>1</v>
      </c>
      <c r="N426" s="49">
        <f t="shared" si="176"/>
        <v>0</v>
      </c>
      <c r="O426" s="49">
        <f t="shared" si="176"/>
        <v>0</v>
      </c>
      <c r="P426" s="49">
        <f t="shared" ref="P426:U426" si="177">P425</f>
        <v>0</v>
      </c>
      <c r="Q426" s="49">
        <f t="shared" si="177"/>
        <v>0</v>
      </c>
      <c r="R426" s="49">
        <f t="shared" si="177"/>
        <v>0</v>
      </c>
      <c r="S426" s="49">
        <f t="shared" si="177"/>
        <v>0</v>
      </c>
      <c r="T426" s="49">
        <f t="shared" si="177"/>
        <v>0</v>
      </c>
      <c r="U426" s="49">
        <f t="shared" si="177"/>
        <v>0</v>
      </c>
      <c r="V426" s="49">
        <v>0</v>
      </c>
      <c r="W426" s="49">
        <v>0</v>
      </c>
      <c r="X426" s="49">
        <v>0</v>
      </c>
      <c r="Y426" s="49">
        <v>0</v>
      </c>
      <c r="Z426" s="35">
        <f t="shared" ref="Z426:AF426" si="178">Z425</f>
        <v>0</v>
      </c>
      <c r="AA426" s="35">
        <f t="shared" si="178"/>
        <v>0</v>
      </c>
      <c r="AB426" s="35">
        <f t="shared" si="178"/>
        <v>0</v>
      </c>
      <c r="AC426" s="35">
        <f t="shared" si="178"/>
        <v>0</v>
      </c>
      <c r="AD426" s="35">
        <f t="shared" si="178"/>
        <v>0</v>
      </c>
      <c r="AE426" s="35">
        <f t="shared" si="178"/>
        <v>0</v>
      </c>
      <c r="AF426" s="35">
        <f t="shared" si="178"/>
        <v>0</v>
      </c>
      <c r="AG426" s="49">
        <f t="shared" si="172"/>
        <v>31485</v>
      </c>
      <c r="AH426" s="29" t="str">
        <f t="shared" si="173"/>
        <v>ok</v>
      </c>
    </row>
    <row r="427" spans="1:34" x14ac:dyDescent="0.2">
      <c r="A427" s="14" t="s">
        <v>904</v>
      </c>
      <c r="C427" s="14" t="s">
        <v>564</v>
      </c>
      <c r="E427" s="255">
        <v>31478.133333333335</v>
      </c>
      <c r="F427" s="35">
        <f>F425</f>
        <v>29248</v>
      </c>
      <c r="G427" s="35">
        <f t="shared" ref="G427:J427" si="179">G425</f>
        <v>1819</v>
      </c>
      <c r="H427" s="35">
        <f t="shared" si="179"/>
        <v>402</v>
      </c>
      <c r="I427" s="35">
        <f t="shared" si="179"/>
        <v>4</v>
      </c>
      <c r="J427" s="35">
        <f t="shared" si="179"/>
        <v>5</v>
      </c>
      <c r="K427" s="35">
        <f t="shared" ref="K427:P427" si="180">K425/45</f>
        <v>0</v>
      </c>
      <c r="L427" s="77">
        <f t="shared" si="180"/>
        <v>0.13333333333333333</v>
      </c>
      <c r="M427" s="35">
        <v>0</v>
      </c>
      <c r="N427" s="35">
        <f t="shared" si="180"/>
        <v>0</v>
      </c>
      <c r="O427" s="35">
        <f t="shared" si="180"/>
        <v>0</v>
      </c>
      <c r="P427" s="35">
        <f t="shared" si="180"/>
        <v>0</v>
      </c>
      <c r="Q427" s="35">
        <f t="shared" ref="Q427:R427" si="181">Q425</f>
        <v>0</v>
      </c>
      <c r="R427" s="35">
        <f t="shared" si="181"/>
        <v>0</v>
      </c>
      <c r="S427" s="49">
        <f>S425</f>
        <v>0</v>
      </c>
      <c r="T427" s="49">
        <f>T425</f>
        <v>0</v>
      </c>
      <c r="U427" s="49">
        <f>U425</f>
        <v>0</v>
      </c>
      <c r="V427" s="49">
        <v>0</v>
      </c>
      <c r="W427" s="49">
        <v>0</v>
      </c>
      <c r="X427" s="49">
        <v>0</v>
      </c>
      <c r="Y427" s="49">
        <v>0</v>
      </c>
      <c r="Z427" s="35">
        <f t="shared" ref="Z427:AF427" si="182">Z425</f>
        <v>0</v>
      </c>
      <c r="AA427" s="35">
        <f t="shared" si="182"/>
        <v>0</v>
      </c>
      <c r="AB427" s="35">
        <f t="shared" si="182"/>
        <v>0</v>
      </c>
      <c r="AC427" s="35">
        <f t="shared" si="182"/>
        <v>0</v>
      </c>
      <c r="AD427" s="35">
        <f t="shared" si="182"/>
        <v>0</v>
      </c>
      <c r="AE427" s="35">
        <f t="shared" si="182"/>
        <v>0</v>
      </c>
      <c r="AF427" s="35">
        <f t="shared" si="182"/>
        <v>0</v>
      </c>
      <c r="AG427" s="49">
        <f>SUM(F427:AF427)</f>
        <v>31478.133333333335</v>
      </c>
      <c r="AH427" s="29" t="str">
        <f t="shared" si="173"/>
        <v>ok</v>
      </c>
    </row>
    <row r="428" spans="1:34" x14ac:dyDescent="0.2">
      <c r="A428" s="14" t="s">
        <v>755</v>
      </c>
      <c r="C428" s="14" t="s">
        <v>565</v>
      </c>
      <c r="E428" s="255">
        <v>2</v>
      </c>
      <c r="F428" s="49">
        <v>0</v>
      </c>
      <c r="G428" s="49">
        <v>0</v>
      </c>
      <c r="H428" s="49">
        <v>0</v>
      </c>
      <c r="I428" s="49">
        <v>0</v>
      </c>
      <c r="J428" s="49">
        <v>0</v>
      </c>
      <c r="K428" s="49">
        <v>1</v>
      </c>
      <c r="L428" s="49">
        <v>1</v>
      </c>
      <c r="M428" s="49">
        <v>0</v>
      </c>
      <c r="N428" s="49">
        <f>N421</f>
        <v>0</v>
      </c>
      <c r="O428" s="49">
        <f>O421</f>
        <v>0</v>
      </c>
      <c r="P428" s="49">
        <f>'Billing Det'!C18</f>
        <v>0</v>
      </c>
      <c r="Q428" s="49">
        <v>0</v>
      </c>
      <c r="R428" s="49">
        <v>0</v>
      </c>
      <c r="S428" s="49">
        <v>0</v>
      </c>
      <c r="T428" s="49">
        <v>0</v>
      </c>
      <c r="U428" s="49">
        <v>0</v>
      </c>
      <c r="V428" s="49">
        <v>0</v>
      </c>
      <c r="W428" s="49">
        <v>0</v>
      </c>
      <c r="X428" s="49">
        <v>0</v>
      </c>
      <c r="Y428" s="49">
        <v>0</v>
      </c>
      <c r="Z428" s="35"/>
      <c r="AA428" s="35"/>
      <c r="AB428" s="35"/>
      <c r="AC428" s="35"/>
      <c r="AD428" s="35"/>
      <c r="AE428" s="35"/>
      <c r="AF428" s="35"/>
      <c r="AG428" s="49">
        <f t="shared" si="172"/>
        <v>2</v>
      </c>
      <c r="AH428" s="29" t="str">
        <f t="shared" si="173"/>
        <v>ok</v>
      </c>
    </row>
    <row r="429" spans="1:34" x14ac:dyDescent="0.2">
      <c r="A429" s="14" t="s">
        <v>616</v>
      </c>
      <c r="C429" s="14" t="s">
        <v>617</v>
      </c>
      <c r="E429" s="255">
        <v>31484</v>
      </c>
      <c r="F429" s="35">
        <f>F425</f>
        <v>29248</v>
      </c>
      <c r="G429" s="35">
        <f t="shared" ref="G429:L429" si="183">G425</f>
        <v>1819</v>
      </c>
      <c r="H429" s="35">
        <f t="shared" si="183"/>
        <v>402</v>
      </c>
      <c r="I429" s="35">
        <f t="shared" si="183"/>
        <v>4</v>
      </c>
      <c r="J429" s="35">
        <f t="shared" si="183"/>
        <v>5</v>
      </c>
      <c r="K429" s="35">
        <f t="shared" si="183"/>
        <v>0</v>
      </c>
      <c r="L429" s="35">
        <f t="shared" si="183"/>
        <v>6</v>
      </c>
      <c r="M429" s="35">
        <f t="shared" ref="M429:O429" si="184">M427</f>
        <v>0</v>
      </c>
      <c r="N429" s="35">
        <f t="shared" si="184"/>
        <v>0</v>
      </c>
      <c r="O429" s="35">
        <f t="shared" si="184"/>
        <v>0</v>
      </c>
      <c r="P429" s="35">
        <f>P427</f>
        <v>0</v>
      </c>
      <c r="Q429" s="49">
        <f>Q424/12*2.11</f>
        <v>0</v>
      </c>
      <c r="R429" s="49">
        <f>R424/12*2.11</f>
        <v>0</v>
      </c>
      <c r="S429" s="49">
        <f>S427</f>
        <v>0</v>
      </c>
      <c r="T429" s="49">
        <f>T427</f>
        <v>0</v>
      </c>
      <c r="U429" s="49">
        <f>U427</f>
        <v>0</v>
      </c>
      <c r="V429" s="49">
        <v>0</v>
      </c>
      <c r="W429" s="49">
        <v>0</v>
      </c>
      <c r="X429" s="49">
        <v>0</v>
      </c>
      <c r="Y429" s="49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0</v>
      </c>
      <c r="AF429" s="35">
        <v>0</v>
      </c>
      <c r="AG429" s="49">
        <f t="shared" si="172"/>
        <v>31484</v>
      </c>
      <c r="AH429" s="29" t="str">
        <f t="shared" si="173"/>
        <v>ok</v>
      </c>
    </row>
    <row r="430" spans="1:34" x14ac:dyDescent="0.2">
      <c r="A430" s="14" t="s">
        <v>470</v>
      </c>
      <c r="C430" s="14" t="s">
        <v>618</v>
      </c>
      <c r="E430" s="255">
        <v>31478</v>
      </c>
      <c r="F430" s="35">
        <f>F427</f>
        <v>29248</v>
      </c>
      <c r="G430" s="35">
        <f t="shared" ref="G430:J430" si="185">G427</f>
        <v>1819</v>
      </c>
      <c r="H430" s="35">
        <f t="shared" si="185"/>
        <v>402</v>
      </c>
      <c r="I430" s="35">
        <f t="shared" si="185"/>
        <v>4</v>
      </c>
      <c r="J430" s="35">
        <f t="shared" si="185"/>
        <v>5</v>
      </c>
      <c r="K430" s="35">
        <v>0</v>
      </c>
      <c r="L430" s="35">
        <v>0</v>
      </c>
      <c r="M430" s="35">
        <v>0</v>
      </c>
      <c r="N430" s="35">
        <f t="shared" ref="N430:O430" si="186">N426</f>
        <v>0</v>
      </c>
      <c r="O430" s="35">
        <f t="shared" si="186"/>
        <v>0</v>
      </c>
      <c r="P430" s="35">
        <f t="shared" ref="P430:Q430" si="187">P426</f>
        <v>0</v>
      </c>
      <c r="Q430" s="35">
        <f t="shared" si="187"/>
        <v>0</v>
      </c>
      <c r="R430" s="35">
        <f>R426</f>
        <v>0</v>
      </c>
      <c r="S430" s="49">
        <f>S426</f>
        <v>0</v>
      </c>
      <c r="T430" s="49">
        <v>0</v>
      </c>
      <c r="U430" s="49">
        <v>0</v>
      </c>
      <c r="V430" s="49">
        <v>0</v>
      </c>
      <c r="W430" s="49">
        <v>0</v>
      </c>
      <c r="X430" s="49">
        <v>0</v>
      </c>
      <c r="Y430" s="49">
        <v>0</v>
      </c>
      <c r="Z430" s="35"/>
      <c r="AA430" s="35"/>
      <c r="AB430" s="35"/>
      <c r="AC430" s="35"/>
      <c r="AD430" s="35"/>
      <c r="AE430" s="35"/>
      <c r="AF430" s="35"/>
      <c r="AG430" s="49">
        <f t="shared" si="172"/>
        <v>31478</v>
      </c>
      <c r="AH430" s="29" t="str">
        <f t="shared" si="173"/>
        <v>ok</v>
      </c>
    </row>
    <row r="432" spans="1:34" x14ac:dyDescent="0.2">
      <c r="A432" s="14" t="s">
        <v>691</v>
      </c>
      <c r="C432" s="14" t="s">
        <v>950</v>
      </c>
      <c r="E432" s="255">
        <f>'Billing Det'!$K$25</f>
        <v>736506.00063888484</v>
      </c>
      <c r="F432" s="49">
        <f>'Billing Det'!$K$8</f>
        <v>556308.05700356979</v>
      </c>
      <c r="G432" s="49">
        <f>'Billing Det'!$K$9</f>
        <v>47134.373958862881</v>
      </c>
      <c r="H432" s="49">
        <f>'Billing Det'!$K$10</f>
        <v>101480.12827157958</v>
      </c>
      <c r="I432" s="49">
        <f>'Billing Det'!$K$11</f>
        <v>1484.7496515634853</v>
      </c>
      <c r="J432" s="49">
        <f>'Billing Det'!$K$12</f>
        <v>14904.508599187193</v>
      </c>
      <c r="K432" s="49">
        <f>'Billing Det'!$K$13</f>
        <v>13770.755017921148</v>
      </c>
      <c r="L432" s="49">
        <f>'Billing Det'!$K$14</f>
        <v>1423.4281362007168</v>
      </c>
      <c r="M432" s="49">
        <f>'Billing Det'!$K$15</f>
        <v>0</v>
      </c>
      <c r="N432" s="49">
        <f>'Billing Det'!$K$16</f>
        <v>0</v>
      </c>
      <c r="O432" s="49">
        <f>'Billing Det'!$K$17</f>
        <v>0</v>
      </c>
      <c r="P432" s="49">
        <f>'Billing Det'!$K$18</f>
        <v>0</v>
      </c>
      <c r="Q432" s="49">
        <f>'Billing Det'!$K$19</f>
        <v>0</v>
      </c>
      <c r="R432" s="49">
        <f>'Billing Det'!$K$20</f>
        <v>0</v>
      </c>
      <c r="S432" s="49">
        <f>'Billing Det'!$K$21</f>
        <v>0</v>
      </c>
      <c r="T432" s="49">
        <f>'Billing Det'!$K$22</f>
        <v>0</v>
      </c>
      <c r="U432" s="49">
        <f>'Billing Det'!$K$23</f>
        <v>0</v>
      </c>
      <c r="V432" s="49">
        <v>0</v>
      </c>
      <c r="W432" s="49">
        <v>0</v>
      </c>
      <c r="X432" s="49">
        <v>0</v>
      </c>
      <c r="Y432" s="49">
        <v>0</v>
      </c>
      <c r="Z432" s="49">
        <v>0</v>
      </c>
      <c r="AA432" s="49">
        <v>0</v>
      </c>
      <c r="AB432" s="49">
        <v>0</v>
      </c>
      <c r="AC432" s="49">
        <v>0</v>
      </c>
      <c r="AD432" s="49">
        <v>0</v>
      </c>
      <c r="AE432" s="49"/>
      <c r="AF432" s="49"/>
      <c r="AG432" s="90">
        <f>SUM(F432:AF432)</f>
        <v>736506.00063888484</v>
      </c>
      <c r="AH432" s="29" t="str">
        <f>IF(ABS(E432-AG432)&lt;0.01,"ok","err")</f>
        <v>ok</v>
      </c>
    </row>
    <row r="433" spans="1:34" x14ac:dyDescent="0.2">
      <c r="A433" s="14" t="s">
        <v>692</v>
      </c>
      <c r="C433" s="14" t="s">
        <v>951</v>
      </c>
      <c r="E433" s="255">
        <f>'Billing Det'!$J$25</f>
        <v>263023.00004019419</v>
      </c>
      <c r="F433" s="49">
        <f>'Billing Det'!$J$8</f>
        <v>200949.57031619363</v>
      </c>
      <c r="G433" s="49">
        <f>'Billing Det'!$J$9</f>
        <v>20166.718376767254</v>
      </c>
      <c r="H433" s="49">
        <f>'Billing Det'!$J$10</f>
        <v>36495.755441277739</v>
      </c>
      <c r="I433" s="49">
        <f>'Billing Det'!$J$11</f>
        <v>464.04953362577203</v>
      </c>
      <c r="J433" s="49">
        <f>'Billing Det'!$J$12</f>
        <v>4946.9063723298168</v>
      </c>
      <c r="K433" s="49">
        <f>'Billing Det'!$J$13</f>
        <v>0</v>
      </c>
      <c r="L433" s="49">
        <f>'Billing Det'!$J$14</f>
        <v>0</v>
      </c>
      <c r="M433" s="49">
        <f>'Billing Det'!$J$15</f>
        <v>0</v>
      </c>
      <c r="N433" s="49">
        <f>'Billing Det'!$J$16</f>
        <v>0</v>
      </c>
      <c r="O433" s="49">
        <f>'Billing Det'!$J$17</f>
        <v>0</v>
      </c>
      <c r="P433" s="49">
        <f>'Billing Det'!$J$18</f>
        <v>0</v>
      </c>
      <c r="Q433" s="49">
        <f>'Billing Det'!$J$19</f>
        <v>0</v>
      </c>
      <c r="R433" s="49">
        <f>'Billing Det'!$J$20</f>
        <v>0</v>
      </c>
      <c r="S433" s="49">
        <f>'Billing Det'!$J$21</f>
        <v>0</v>
      </c>
      <c r="T433" s="49">
        <f>'Billing Det'!$J$22</f>
        <v>0</v>
      </c>
      <c r="U433" s="49">
        <f>'Billing Det'!$J$23</f>
        <v>0</v>
      </c>
      <c r="V433" s="49">
        <v>0</v>
      </c>
      <c r="W433" s="49">
        <v>0</v>
      </c>
      <c r="X433" s="49">
        <v>0</v>
      </c>
      <c r="Y433" s="49">
        <v>0</v>
      </c>
      <c r="Z433" s="49">
        <v>0</v>
      </c>
      <c r="AA433" s="49">
        <v>0</v>
      </c>
      <c r="AB433" s="49">
        <v>0</v>
      </c>
      <c r="AC433" s="49">
        <v>0</v>
      </c>
      <c r="AD433" s="49">
        <v>0</v>
      </c>
      <c r="AE433" s="49"/>
      <c r="AF433" s="49"/>
      <c r="AG433" s="90">
        <f>SUM(F433:AF433)</f>
        <v>263023.00004019419</v>
      </c>
      <c r="AH433" s="29" t="str">
        <f>IF(ABS(E433-AG433)&lt;0.01,"ok","err")</f>
        <v>ok</v>
      </c>
    </row>
    <row r="434" spans="1:34" x14ac:dyDescent="0.2">
      <c r="A434" s="14" t="s">
        <v>893</v>
      </c>
      <c r="C434" s="14" t="s">
        <v>949</v>
      </c>
      <c r="E434" s="255">
        <f>'Billing Det'!$I$25</f>
        <v>999529.00067907909</v>
      </c>
      <c r="F434" s="49">
        <f>'Billing Det'!$I$8</f>
        <v>757257.62731976341</v>
      </c>
      <c r="G434" s="49">
        <f>'Billing Det'!$I$9</f>
        <v>67301.092335630135</v>
      </c>
      <c r="H434" s="49">
        <f>'Billing Det'!$I$10</f>
        <v>137975.88371285732</v>
      </c>
      <c r="I434" s="49">
        <f>'Billing Det'!$I$11</f>
        <v>1948.7991851892573</v>
      </c>
      <c r="J434" s="49">
        <f>'Billing Det'!$I$12</f>
        <v>19851.41497151701</v>
      </c>
      <c r="K434" s="49">
        <f>'Billing Det'!$I$13</f>
        <v>13770.755017921148</v>
      </c>
      <c r="L434" s="49">
        <f>'Billing Det'!$I$14</f>
        <v>1423.4281362007168</v>
      </c>
      <c r="M434" s="49">
        <f>'Billing Det'!$I$15</f>
        <v>0</v>
      </c>
      <c r="N434" s="49">
        <f>'Billing Det'!$I$16</f>
        <v>0</v>
      </c>
      <c r="O434" s="49">
        <f>'Billing Det'!$I$17</f>
        <v>0</v>
      </c>
      <c r="P434" s="49">
        <f>'Billing Det'!$I$18</f>
        <v>0</v>
      </c>
      <c r="Q434" s="49">
        <f>'Billing Det'!$I$19</f>
        <v>0</v>
      </c>
      <c r="R434" s="49">
        <f>'Billing Det'!$I$20</f>
        <v>0</v>
      </c>
      <c r="S434" s="49">
        <f>'Billing Det'!$I$21</f>
        <v>0</v>
      </c>
      <c r="T434" s="49">
        <f>'Billing Det'!$I$22</f>
        <v>0</v>
      </c>
      <c r="U434" s="49">
        <f>'Billing Det'!$I$23</f>
        <v>0</v>
      </c>
      <c r="V434" s="49">
        <v>0</v>
      </c>
      <c r="W434" s="49">
        <v>0</v>
      </c>
      <c r="X434" s="49">
        <v>0</v>
      </c>
      <c r="Y434" s="49">
        <v>0</v>
      </c>
      <c r="Z434" s="49">
        <v>0</v>
      </c>
      <c r="AA434" s="49">
        <v>0</v>
      </c>
      <c r="AB434" s="49">
        <v>0</v>
      </c>
      <c r="AC434" s="49">
        <v>0</v>
      </c>
      <c r="AD434" s="49">
        <v>0</v>
      </c>
      <c r="AE434" s="49"/>
      <c r="AF434" s="49"/>
      <c r="AG434" s="90">
        <f>SUM(F434:AF434)</f>
        <v>999529.00067907909</v>
      </c>
      <c r="AH434" s="29" t="str">
        <f>IF(ABS(E434-AG434)&lt;0.01,"ok","err")</f>
        <v>ok</v>
      </c>
    </row>
    <row r="435" spans="1:34" x14ac:dyDescent="0.2">
      <c r="A435" s="14" t="s">
        <v>693</v>
      </c>
      <c r="C435" s="14" t="s">
        <v>566</v>
      </c>
      <c r="E435" s="255">
        <f>'Billing Det'!$H$25</f>
        <v>149961.76220229064</v>
      </c>
      <c r="F435" s="49">
        <f>'Billing Det'!$H$8</f>
        <v>120001.70236992848</v>
      </c>
      <c r="G435" s="49">
        <f>'Billing Det'!$H$9</f>
        <v>8261.4503593306235</v>
      </c>
      <c r="H435" s="49">
        <f>'Billing Det'!$H$10</f>
        <v>16308.821009017151</v>
      </c>
      <c r="I435" s="49">
        <f>'Billing Det'!$H$11</f>
        <v>232.98372469790669</v>
      </c>
      <c r="J435" s="49">
        <f>'Billing Det'!$H$12</f>
        <v>2381.7065250307919</v>
      </c>
      <c r="K435" s="49">
        <f>'Billing Det'!$H$13</f>
        <v>2514.5327380952381</v>
      </c>
      <c r="L435" s="49">
        <f>'Billing Det'!$H$14</f>
        <v>260.5654761904762</v>
      </c>
      <c r="M435" s="49">
        <f>'Billing Det'!$H$15</f>
        <v>0</v>
      </c>
      <c r="N435" s="49">
        <f>'Billing Det'!$H$16</f>
        <v>0</v>
      </c>
      <c r="O435" s="49">
        <f>'Billing Det'!$H$17</f>
        <v>0</v>
      </c>
      <c r="P435" s="49">
        <f>'Billing Det'!$H$18</f>
        <v>0</v>
      </c>
      <c r="Q435" s="49">
        <f>'Billing Det'!$H$19</f>
        <v>0</v>
      </c>
      <c r="R435" s="49">
        <f>'Billing Det'!$H$20</f>
        <v>0</v>
      </c>
      <c r="S435" s="49">
        <f>'Billing Det'!$H$21</f>
        <v>0</v>
      </c>
      <c r="T435" s="49">
        <f>'Billing Det'!$H$22</f>
        <v>0</v>
      </c>
      <c r="U435" s="49">
        <f>'Billing Det'!$H$23</f>
        <v>0</v>
      </c>
      <c r="V435" s="49">
        <v>0</v>
      </c>
      <c r="W435" s="49">
        <v>0</v>
      </c>
      <c r="X435" s="49">
        <v>0</v>
      </c>
      <c r="Y435" s="49">
        <v>0</v>
      </c>
      <c r="Z435" s="49">
        <v>0</v>
      </c>
      <c r="AA435" s="49">
        <v>0</v>
      </c>
      <c r="AB435" s="49">
        <v>0</v>
      </c>
      <c r="AC435" s="49">
        <v>0</v>
      </c>
      <c r="AD435" s="49">
        <v>0</v>
      </c>
      <c r="AE435" s="49"/>
      <c r="AF435" s="49"/>
      <c r="AG435" s="90">
        <f>SUM(F435:AF435)</f>
        <v>149961.76220229064</v>
      </c>
      <c r="AH435" s="29" t="str">
        <f>IF(ABS(E435-AG435)&lt;0.01,"ok","err")</f>
        <v>ok</v>
      </c>
    </row>
    <row r="436" spans="1:34" x14ac:dyDescent="0.2">
      <c r="A436" s="14" t="s">
        <v>746</v>
      </c>
      <c r="C436" s="14" t="s">
        <v>894</v>
      </c>
      <c r="E436" s="255">
        <f>'Billing Det'!$F$25</f>
        <v>4463224.939082155</v>
      </c>
      <c r="F436" s="49">
        <f>'Billing Det'!$F$8</f>
        <v>2541647.5840587132</v>
      </c>
      <c r="G436" s="49">
        <f>'Billing Det'!$F$9</f>
        <v>154822.64135165518</v>
      </c>
      <c r="H436" s="49">
        <f>'Billing Det'!$F$10</f>
        <v>244529.37700000001</v>
      </c>
      <c r="I436" s="49">
        <f>'Billing Det'!$F$11</f>
        <v>3333.04</v>
      </c>
      <c r="J436" s="49">
        <f>'Billing Det'!$F$12</f>
        <v>41545.899999999994</v>
      </c>
      <c r="K436" s="49">
        <f>'Billing Det'!$F$13</f>
        <v>27776.216340245777</v>
      </c>
      <c r="L436" s="49">
        <f>'Billing Det'!$F$14</f>
        <v>2882.3221966205838</v>
      </c>
      <c r="M436" s="49">
        <f>'Billing Det'!$F$15</f>
        <v>1446687.8581349205</v>
      </c>
      <c r="N436" s="49">
        <f>'Billing Det'!$F$16</f>
        <v>0</v>
      </c>
      <c r="O436" s="49">
        <f>'Billing Det'!$F$17</f>
        <v>0</v>
      </c>
      <c r="P436" s="49">
        <f>'Billing Det'!$F$18</f>
        <v>0</v>
      </c>
      <c r="Q436" s="49">
        <f>'Billing Det'!$F$19</f>
        <v>0</v>
      </c>
      <c r="R436" s="49">
        <f>'Billing Det'!$F$20</f>
        <v>0</v>
      </c>
      <c r="S436" s="49">
        <f>'Billing Det'!$F$21</f>
        <v>0</v>
      </c>
      <c r="T436" s="49">
        <f>'Billing Det'!$F$22</f>
        <v>0</v>
      </c>
      <c r="U436" s="49">
        <f>'Billing Det'!$F$23</f>
        <v>0</v>
      </c>
      <c r="V436" s="49">
        <v>0</v>
      </c>
      <c r="W436" s="49">
        <v>0</v>
      </c>
      <c r="X436" s="49">
        <v>0</v>
      </c>
      <c r="Y436" s="49">
        <v>0</v>
      </c>
      <c r="Z436" s="49">
        <v>0</v>
      </c>
      <c r="AA436" s="49">
        <v>0</v>
      </c>
      <c r="AB436" s="49">
        <v>0</v>
      </c>
      <c r="AC436" s="49">
        <v>0</v>
      </c>
      <c r="AD436" s="49">
        <v>0</v>
      </c>
      <c r="AE436" s="49"/>
      <c r="AF436" s="49"/>
      <c r="AG436" s="90">
        <f>SUM(F436:AF436)</f>
        <v>4463224.939082155</v>
      </c>
      <c r="AH436" s="29" t="str">
        <f>IF(ABS(E436-AG436)&lt;0.01,"ok","err")</f>
        <v>ok</v>
      </c>
    </row>
    <row r="438" spans="1:34" x14ac:dyDescent="0.2">
      <c r="A438" s="27" t="s">
        <v>905</v>
      </c>
    </row>
    <row r="439" spans="1:34" x14ac:dyDescent="0.2">
      <c r="E439" s="255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29"/>
    </row>
    <row r="440" spans="1:34" x14ac:dyDescent="0.2">
      <c r="A440" s="14" t="s">
        <v>597</v>
      </c>
      <c r="C440" s="14" t="s">
        <v>598</v>
      </c>
      <c r="E440" s="255">
        <f>E434</f>
        <v>999529.00067907909</v>
      </c>
      <c r="F440" s="49">
        <f t="shared" ref="F440:AF440" si="188">F434</f>
        <v>757257.62731976341</v>
      </c>
      <c r="G440" s="49">
        <f t="shared" si="188"/>
        <v>67301.092335630135</v>
      </c>
      <c r="H440" s="49">
        <f t="shared" si="188"/>
        <v>137975.88371285732</v>
      </c>
      <c r="I440" s="49">
        <f t="shared" si="188"/>
        <v>1948.7991851892573</v>
      </c>
      <c r="J440" s="49">
        <f t="shared" si="188"/>
        <v>19851.41497151701</v>
      </c>
      <c r="K440" s="49">
        <f t="shared" si="188"/>
        <v>13770.755017921148</v>
      </c>
      <c r="L440" s="49">
        <f t="shared" si="188"/>
        <v>1423.4281362007168</v>
      </c>
      <c r="M440" s="49">
        <f t="shared" si="188"/>
        <v>0</v>
      </c>
      <c r="N440" s="49">
        <f t="shared" si="188"/>
        <v>0</v>
      </c>
      <c r="O440" s="49">
        <f t="shared" si="188"/>
        <v>0</v>
      </c>
      <c r="P440" s="49">
        <f t="shared" si="188"/>
        <v>0</v>
      </c>
      <c r="Q440" s="49">
        <f t="shared" si="188"/>
        <v>0</v>
      </c>
      <c r="R440" s="49">
        <f t="shared" si="188"/>
        <v>0</v>
      </c>
      <c r="S440" s="49">
        <f t="shared" si="188"/>
        <v>0</v>
      </c>
      <c r="T440" s="49">
        <f t="shared" si="188"/>
        <v>0</v>
      </c>
      <c r="U440" s="49">
        <f t="shared" si="188"/>
        <v>0</v>
      </c>
      <c r="V440" s="49">
        <f t="shared" si="188"/>
        <v>0</v>
      </c>
      <c r="W440" s="49">
        <f t="shared" si="188"/>
        <v>0</v>
      </c>
      <c r="X440" s="49">
        <f t="shared" si="188"/>
        <v>0</v>
      </c>
      <c r="Y440" s="49">
        <f t="shared" si="188"/>
        <v>0</v>
      </c>
      <c r="Z440" s="49">
        <f t="shared" si="188"/>
        <v>0</v>
      </c>
      <c r="AA440" s="49">
        <f t="shared" si="188"/>
        <v>0</v>
      </c>
      <c r="AB440" s="49">
        <f t="shared" si="188"/>
        <v>0</v>
      </c>
      <c r="AC440" s="49">
        <f t="shared" si="188"/>
        <v>0</v>
      </c>
      <c r="AD440" s="49">
        <f t="shared" si="188"/>
        <v>0</v>
      </c>
      <c r="AE440" s="49">
        <f t="shared" si="188"/>
        <v>0</v>
      </c>
      <c r="AF440" s="49">
        <f t="shared" si="188"/>
        <v>0</v>
      </c>
      <c r="AG440" s="49">
        <f>SUM(F440:AF440)</f>
        <v>999529.00067907909</v>
      </c>
      <c r="AH440" s="29" t="str">
        <f t="shared" ref="AH440:AH445" si="189">IF(ABS(E440-AG440)&lt;0.01,"ok","err")</f>
        <v>ok</v>
      </c>
    </row>
    <row r="441" spans="1:34" x14ac:dyDescent="0.2">
      <c r="A441" s="14" t="s">
        <v>596</v>
      </c>
      <c r="E441" s="256">
        <f>'Func &amp; Classif'!K35</f>
        <v>0</v>
      </c>
      <c r="AG441" s="90">
        <f>E441</f>
        <v>0</v>
      </c>
      <c r="AH441" s="29" t="str">
        <f t="shared" si="189"/>
        <v>ok</v>
      </c>
    </row>
    <row r="442" spans="1:34" x14ac:dyDescent="0.2">
      <c r="A442" s="14" t="s">
        <v>594</v>
      </c>
      <c r="E442" s="254"/>
      <c r="M442" s="49">
        <v>0</v>
      </c>
      <c r="N442" s="49">
        <v>0</v>
      </c>
      <c r="O442" s="49"/>
      <c r="P442" s="49"/>
      <c r="AG442" s="90">
        <f>SUM(F442:AF442)</f>
        <v>0</v>
      </c>
      <c r="AH442" s="29" t="str">
        <f t="shared" si="189"/>
        <v>ok</v>
      </c>
    </row>
    <row r="443" spans="1:34" x14ac:dyDescent="0.2">
      <c r="A443" s="14" t="s">
        <v>595</v>
      </c>
      <c r="D443" s="14" t="s">
        <v>598</v>
      </c>
      <c r="E443" s="256">
        <f>E441-E442</f>
        <v>0</v>
      </c>
      <c r="F443" s="65">
        <f>IF(VLOOKUP($D443,$C$5:$AU$519,3,)=0,0,(VLOOKUP($D443,$C$5:$AU$519,4,)/VLOOKUP($D443,$C$5:$AU$519,3,))*$E443)</f>
        <v>0</v>
      </c>
      <c r="G443" s="65">
        <f>IF(VLOOKUP($D443,$C$5:$AU$519,3,)=0,0,(VLOOKUP($D443,$C$5:$AU$519,5,)/VLOOKUP($D443,$C$5:$AU$519,3,))*$E443)</f>
        <v>0</v>
      </c>
      <c r="H443" s="65">
        <f>IF(VLOOKUP($D443,$C$5:$AU$519,3,)=0,0,(VLOOKUP($D443,$C$5:$AU$519,6,)/VLOOKUP($D443,$C$5:$AU$519,3,))*$E443)</f>
        <v>0</v>
      </c>
      <c r="I443" s="65">
        <f>IF(VLOOKUP($D443,$C$5:$AU$519,3,)=0,0,(VLOOKUP($D443,$C$5:$AU$519,7,)/VLOOKUP($D443,$C$5:$AU$519,3,))*$E443)</f>
        <v>0</v>
      </c>
      <c r="J443" s="65">
        <f>IF(VLOOKUP($D443,$C$5:$AU$519,3,)=0,0,(VLOOKUP($D443,$C$5:$AU$519,8,)/VLOOKUP($D443,$C$5:$AU$519,3,))*$E443)</f>
        <v>0</v>
      </c>
      <c r="K443" s="65">
        <f>IF(VLOOKUP($D443,$C$5:$AU$519,3,)=0,0,(VLOOKUP($D443,$C$5:$AU$519,9,)/VLOOKUP($D443,$C$5:$AU$519,3,))*$E443)</f>
        <v>0</v>
      </c>
      <c r="L443" s="65">
        <f>IF(VLOOKUP($D443,$C$5:$AU$519,3,)=0,0,(VLOOKUP($D443,$C$5:$AU$519,10,)/VLOOKUP($D443,$C$5:$AU$519,3,))*$E443)</f>
        <v>0</v>
      </c>
      <c r="M443" s="65">
        <f>IF(VLOOKUP($D443,$C$5:$AU$519,3,)=0,0,(VLOOKUP($D443,$C$5:$AU$519,11,)/VLOOKUP($D443,$C$5:$AU$519,3,))*$E443)</f>
        <v>0</v>
      </c>
      <c r="N443" s="65">
        <f>IF(VLOOKUP($D443,$C$5:$AU$519,3,)=0,0,(VLOOKUP($D443,$C$5:$AU$519,12,)/VLOOKUP($D443,$C$5:$AU$519,3,))*$E443)</f>
        <v>0</v>
      </c>
      <c r="O443" s="65">
        <f>IF(VLOOKUP($D443,$C$5:$AU$519,3,)=0,0,(VLOOKUP($D443,$C$5:$AU$519,13,)/VLOOKUP($D443,$C$5:$AU$519,3,))*$E443)</f>
        <v>0</v>
      </c>
      <c r="P443" s="65">
        <f>IF(VLOOKUP($D443,$C$5:$AU$519,3,)=0,0,(VLOOKUP($D443,$C$5:$AU$519,14,)/VLOOKUP($D443,$C$5:$AU$519,3,))*$E443)</f>
        <v>0</v>
      </c>
      <c r="Q443" s="65">
        <f>IF(VLOOKUP($D443,$C$5:$AU$519,3,)=0,0,(VLOOKUP($D443,$C$5:$AU$519,15,)/VLOOKUP($D443,$C$5:$AU$519,3,))*$E443)</f>
        <v>0</v>
      </c>
      <c r="R443" s="65">
        <f>IF(VLOOKUP($D443,$C$5:$AU$519,3,)=0,0,(VLOOKUP($D443,$C$5:$AU$519,16,)/VLOOKUP($D443,$C$5:$AU$519,3,))*$E443)</f>
        <v>0</v>
      </c>
      <c r="S443" s="65">
        <f>IF(VLOOKUP($D443,$C$5:$AU$519,3,)=0,0,(VLOOKUP($D443,$C$5:$AU$519,17,)/VLOOKUP($D443,$C$5:$AU$519,3,))*$E443)</f>
        <v>0</v>
      </c>
      <c r="T443" s="65">
        <f>IF(VLOOKUP($D443,$C$5:$AU$519,3,)=0,0,(VLOOKUP($D443,$C$5:$AU$519,18,)/VLOOKUP($D443,$C$5:$AU$519,3,))*$E443)</f>
        <v>0</v>
      </c>
      <c r="U443" s="65">
        <f>IF(VLOOKUP($D443,$C$5:$AU$519,3,)=0,0,(VLOOKUP($D443,$C$5:$AU$519,19,)/VLOOKUP($D443,$C$5:$AU$519,3,))*$E443)</f>
        <v>0</v>
      </c>
      <c r="V443" s="65">
        <f>IF(VLOOKUP($D443,$C$5:$AU$519,3,)=0,0,(VLOOKUP($D443,$C$5:$AU$519,20,)/VLOOKUP($D443,$C$5:$AU$519,3,))*$E443)</f>
        <v>0</v>
      </c>
      <c r="W443" s="65">
        <f>IF(VLOOKUP($D443,$C$5:$AU$519,3,)=0,0,(VLOOKUP($D443,$C$5:$AU$519,21,)/VLOOKUP($D443,$C$5:$AU$519,3,))*$E443)</f>
        <v>0</v>
      </c>
      <c r="X443" s="65">
        <f>IF(VLOOKUP($D443,$C$5:$AU$519,3,)=0,0,(VLOOKUP($D443,$C$5:$AU$519,22,)/VLOOKUP($D443,$C$5:$AU$519,3,))*$E443)</f>
        <v>0</v>
      </c>
      <c r="Y443" s="65">
        <f>IF(VLOOKUP($D443,$C$5:$AU$519,3,)=0,0,(VLOOKUP($D443,$C$5:$AU$519,23,)/VLOOKUP($D443,$C$5:$AU$519,3,))*$E443)</f>
        <v>0</v>
      </c>
      <c r="Z443" s="65">
        <f>IF(VLOOKUP($D443,$C$5:$AU$519,3,)=0,0,(VLOOKUP($D443,$C$5:$AU$519,24,)/VLOOKUP($D443,$C$5:$AU$519,3,))*$E443)</f>
        <v>0</v>
      </c>
      <c r="AA443" s="65">
        <f>IF(VLOOKUP($D443,$C$5:$AU$519,3,)=0,0,(VLOOKUP($D443,$C$5:$AU$519,25,)/VLOOKUP($D443,$C$5:$AU$519,3,))*$E443)</f>
        <v>0</v>
      </c>
      <c r="AB443" s="65">
        <f>IF(VLOOKUP($D443,$C$5:$AU$519,3,)=0,0,(VLOOKUP($D443,$C$5:$AU$519,26,)/VLOOKUP($D443,$C$5:$AU$519,3,))*$E443)</f>
        <v>0</v>
      </c>
      <c r="AC443" s="65">
        <f>IF(VLOOKUP($D443,$C$5:$AU$519,3,)=0,0,(VLOOKUP($D443,$C$5:$AU$519,27,)/VLOOKUP($D443,$C$5:$AU$519,3,))*$E443)</f>
        <v>0</v>
      </c>
      <c r="AD443" s="65">
        <f>IF(VLOOKUP($D443,$C$5:$AU$519,3,)=0,0,(VLOOKUP($D443,$C$5:$AU$519,28,)/VLOOKUP($D443,$C$5:$AU$519,3,))*$E443)</f>
        <v>0</v>
      </c>
      <c r="AE443" s="65">
        <f>IF(VLOOKUP($D443,$C$5:$AU$519,3,)=0,0,(VLOOKUP($D443,$C$5:$AU$519,29,)/VLOOKUP($D443,$C$5:$AU$519,3,))*$E443)</f>
        <v>0</v>
      </c>
      <c r="AF443" s="65">
        <f>IF(VLOOKUP($D443,$C$5:$AU$519,3,)=0,0,(VLOOKUP($D443,$C$5:$AU$519,30,)/VLOOKUP($D443,$C$5:$AU$519,3,))*$E443)</f>
        <v>0</v>
      </c>
      <c r="AG443" s="90">
        <f>SUM(F443:AF443)</f>
        <v>0</v>
      </c>
      <c r="AH443" s="29" t="str">
        <f t="shared" si="189"/>
        <v>ok</v>
      </c>
    </row>
    <row r="444" spans="1:34" x14ac:dyDescent="0.2">
      <c r="A444" s="14" t="s">
        <v>600</v>
      </c>
      <c r="C444" s="14" t="s">
        <v>599</v>
      </c>
      <c r="E444" s="256">
        <f>E442+E443</f>
        <v>0</v>
      </c>
      <c r="F444" s="90">
        <f t="shared" ref="F444:U444" si="190">F442+F443</f>
        <v>0</v>
      </c>
      <c r="G444" s="90">
        <f t="shared" si="190"/>
        <v>0</v>
      </c>
      <c r="H444" s="90">
        <f t="shared" si="190"/>
        <v>0</v>
      </c>
      <c r="I444" s="90">
        <f t="shared" si="190"/>
        <v>0</v>
      </c>
      <c r="J444" s="90">
        <f t="shared" si="190"/>
        <v>0</v>
      </c>
      <c r="K444" s="90">
        <f t="shared" si="190"/>
        <v>0</v>
      </c>
      <c r="L444" s="90">
        <f t="shared" si="190"/>
        <v>0</v>
      </c>
      <c r="M444" s="90">
        <f t="shared" si="190"/>
        <v>0</v>
      </c>
      <c r="N444" s="90">
        <f t="shared" si="190"/>
        <v>0</v>
      </c>
      <c r="O444" s="90">
        <f t="shared" si="190"/>
        <v>0</v>
      </c>
      <c r="P444" s="90">
        <f t="shared" si="190"/>
        <v>0</v>
      </c>
      <c r="Q444" s="90">
        <f t="shared" si="190"/>
        <v>0</v>
      </c>
      <c r="R444" s="90">
        <f t="shared" si="190"/>
        <v>0</v>
      </c>
      <c r="S444" s="90">
        <f t="shared" si="190"/>
        <v>0</v>
      </c>
      <c r="T444" s="90">
        <f t="shared" si="190"/>
        <v>0</v>
      </c>
      <c r="U444" s="90">
        <f t="shared" si="190"/>
        <v>0</v>
      </c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>
        <f>SUM(F444:AF444)</f>
        <v>0</v>
      </c>
      <c r="AH444" s="29" t="str">
        <f t="shared" si="189"/>
        <v>ok</v>
      </c>
    </row>
    <row r="445" spans="1:34" x14ac:dyDescent="0.2">
      <c r="A445" s="14" t="s">
        <v>623</v>
      </c>
      <c r="C445" s="14" t="s">
        <v>601</v>
      </c>
      <c r="D445" s="14" t="s">
        <v>599</v>
      </c>
      <c r="E445" s="272">
        <v>0</v>
      </c>
      <c r="F445" s="98">
        <f>IF(VLOOKUP($D445,$C$5:$AU$519,3,)=0,0,(VLOOKUP($D445,$C$5:$AU$519,4,)/VLOOKUP($D445,$C$5:$AU$519,3,))*$E445)</f>
        <v>0</v>
      </c>
      <c r="G445" s="98">
        <f>IF(VLOOKUP($D445,$C$5:$AU$519,3,)=0,0,(VLOOKUP($D445,$C$5:$AU$519,5,)/VLOOKUP($D445,$C$5:$AU$519,3,))*$E445)</f>
        <v>0</v>
      </c>
      <c r="H445" s="98">
        <f>IF(VLOOKUP($D445,$C$5:$AU$519,3,)=0,0,(VLOOKUP($D445,$C$5:$AU$519,6,)/VLOOKUP($D445,$C$5:$AU$519,3,))*$E445)</f>
        <v>0</v>
      </c>
      <c r="I445" s="98">
        <f>IF(VLOOKUP($D445,$C$5:$AU$519,3,)=0,0,(VLOOKUP($D445,$C$5:$AU$519,7,)/VLOOKUP($D445,$C$5:$AU$519,3,))*$E445)</f>
        <v>0</v>
      </c>
      <c r="J445" s="98">
        <f>IF(VLOOKUP($D445,$C$5:$AU$519,3,)=0,0,(VLOOKUP($D445,$C$5:$AU$519,8,)/VLOOKUP($D445,$C$5:$AU$519,3,))*$E445)</f>
        <v>0</v>
      </c>
      <c r="K445" s="98">
        <f>IF(VLOOKUP($D445,$C$5:$AU$519,3,)=0,0,(VLOOKUP($D445,$C$5:$AU$519,9,)/VLOOKUP($D445,$C$5:$AU$519,3,))*$E445)</f>
        <v>0</v>
      </c>
      <c r="L445" s="98">
        <f>IF(VLOOKUP($D445,$C$5:$AU$519,3,)=0,0,(VLOOKUP($D445,$C$5:$AU$519,10,)/VLOOKUP($D445,$C$5:$AU$519,3,))*$E445)</f>
        <v>0</v>
      </c>
      <c r="M445" s="98">
        <f>IF(VLOOKUP($D445,$C$5:$AU$519,3,)=0,0,(VLOOKUP($D445,$C$5:$AU$519,11,)/VLOOKUP($D445,$C$5:$AU$519,3,))*$E445)</f>
        <v>0</v>
      </c>
      <c r="N445" s="98">
        <f>IF(VLOOKUP($D445,$C$5:$AU$519,3,)=0,0,(VLOOKUP($D445,$C$5:$AU$519,12,)/VLOOKUP($D445,$C$5:$AU$519,3,))*$E445)</f>
        <v>0</v>
      </c>
      <c r="O445" s="98">
        <f>IF(VLOOKUP($D445,$C$5:$AU$519,3,)=0,0,(VLOOKUP($D445,$C$5:$AU$519,13,)/VLOOKUP($D445,$C$5:$AU$519,3,))*$E445)</f>
        <v>0</v>
      </c>
      <c r="P445" s="98">
        <f>IF(VLOOKUP($D445,$C$5:$AU$519,3,)=0,0,(VLOOKUP($D445,$C$5:$AU$519,14,)/VLOOKUP($D445,$C$5:$AU$519,3,))*$E445)</f>
        <v>0</v>
      </c>
      <c r="Q445" s="98">
        <f>IF(VLOOKUP($D445,$C$5:$AU$519,3,)=0,0,(VLOOKUP($D445,$C$5:$AU$519,15,)/VLOOKUP($D445,$C$5:$AU$519,3,))*$E445)</f>
        <v>0</v>
      </c>
      <c r="R445" s="98">
        <f>IF(VLOOKUP($D445,$C$5:$AU$519,3,)=0,0,(VLOOKUP($D445,$C$5:$AU$519,16,)/VLOOKUP($D445,$C$5:$AU$519,3,))*$E445)</f>
        <v>0</v>
      </c>
      <c r="S445" s="98">
        <f>IF(VLOOKUP($D445,$C$5:$AU$519,3,)=0,0,(VLOOKUP($D445,$C$5:$AU$519,17,)/VLOOKUP($D445,$C$5:$AU$519,3,))*$E445)</f>
        <v>0</v>
      </c>
      <c r="T445" s="98">
        <f>IF(VLOOKUP($D445,$C$5:$AU$519,3,)=0,0,(VLOOKUP($D445,$C$5:$AU$519,18,)/VLOOKUP($D445,$C$5:$AU$519,3,))*$E445)</f>
        <v>0</v>
      </c>
      <c r="U445" s="98">
        <f>IF(VLOOKUP($D445,$C$5:$AU$519,3,)=0,0,(VLOOKUP($D445,$C$5:$AU$519,19,)/VLOOKUP($D445,$C$5:$AU$519,3,))*$E445)</f>
        <v>0</v>
      </c>
      <c r="V445" s="98">
        <f>IF(VLOOKUP($D445,$C$5:$AU$519,3,)=0,0,(VLOOKUP($D445,$C$5:$AU$519,20,)/VLOOKUP($D445,$C$5:$AU$519,3,))*$E445)</f>
        <v>0</v>
      </c>
      <c r="W445" s="98">
        <f>IF(VLOOKUP($D445,$C$5:$AU$519,3,)=0,0,(VLOOKUP($D445,$C$5:$AU$519,21,)/VLOOKUP($D445,$C$5:$AU$519,3,))*$E445)</f>
        <v>0</v>
      </c>
      <c r="X445" s="98">
        <f>IF(VLOOKUP($D445,$C$5:$AU$519,3,)=0,0,(VLOOKUP($D445,$C$5:$AU$519,22,)/VLOOKUP($D445,$C$5:$AU$519,3,))*$E445)</f>
        <v>0</v>
      </c>
      <c r="Y445" s="98">
        <f>IF(VLOOKUP($D445,$C$5:$AU$519,3,)=0,0,(VLOOKUP($D445,$C$5:$AU$519,23,)/VLOOKUP($D445,$C$5:$AU$519,3,))*$E445)</f>
        <v>0</v>
      </c>
      <c r="Z445" s="98">
        <f>IF(VLOOKUP($D445,$C$5:$AU$519,3,)=0,0,(VLOOKUP($D445,$C$5:$AU$519,24,)/VLOOKUP($D445,$C$5:$AU$519,3,))*$E445)</f>
        <v>0</v>
      </c>
      <c r="AA445" s="98">
        <f>IF(VLOOKUP($D445,$C$5:$AU$519,3,)=0,0,(VLOOKUP($D445,$C$5:$AU$519,25,)/VLOOKUP($D445,$C$5:$AU$519,3,))*$E445)</f>
        <v>0</v>
      </c>
      <c r="AB445" s="98">
        <f>IF(VLOOKUP($D445,$C$5:$AU$519,3,)=0,0,(VLOOKUP($D445,$C$5:$AU$519,26,)/VLOOKUP($D445,$C$5:$AU$519,3,))*$E445)</f>
        <v>0</v>
      </c>
      <c r="AC445" s="98">
        <f>IF(VLOOKUP($D445,$C$5:$AU$519,3,)=0,0,(VLOOKUP($D445,$C$5:$AU$519,27,)/VLOOKUP($D445,$C$5:$AU$519,3,))*$E445)</f>
        <v>0</v>
      </c>
      <c r="AD445" s="98">
        <f>IF(VLOOKUP($D445,$C$5:$AU$519,3,)=0,0,(VLOOKUP($D445,$C$5:$AU$519,28,)/VLOOKUP($D445,$C$5:$AU$519,3,))*$E445)</f>
        <v>0</v>
      </c>
      <c r="AE445" s="98">
        <f>IF(VLOOKUP($D445,$C$5:$AU$519,3,)=0,0,(VLOOKUP($D445,$C$5:$AU$519,29,)/VLOOKUP($D445,$C$5:$AU$519,3,))*$E445)</f>
        <v>0</v>
      </c>
      <c r="AF445" s="98">
        <f>IF(VLOOKUP($D445,$C$5:$AU$519,3,)=0,0,(VLOOKUP($D445,$C$5:$AU$519,30,)/VLOOKUP($D445,$C$5:$AU$519,3,))*$E445)</f>
        <v>0</v>
      </c>
      <c r="AG445" s="98">
        <f>SUM(F445:AF445)</f>
        <v>0</v>
      </c>
      <c r="AH445" s="29" t="str">
        <f t="shared" si="189"/>
        <v>ok</v>
      </c>
    </row>
    <row r="446" spans="1:34" x14ac:dyDescent="0.2">
      <c r="E446" s="272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29"/>
    </row>
    <row r="447" spans="1:34" x14ac:dyDescent="0.2">
      <c r="A447" s="14" t="s">
        <v>597</v>
      </c>
      <c r="C447" s="14" t="s">
        <v>624</v>
      </c>
      <c r="E447" s="255">
        <f>E440</f>
        <v>999529.00067907909</v>
      </c>
      <c r="F447" s="49">
        <f t="shared" ref="F447:AF447" si="191">F440</f>
        <v>757257.62731976341</v>
      </c>
      <c r="G447" s="49">
        <f t="shared" si="191"/>
        <v>67301.092335630135</v>
      </c>
      <c r="H447" s="49">
        <f t="shared" si="191"/>
        <v>137975.88371285732</v>
      </c>
      <c r="I447" s="49">
        <f t="shared" si="191"/>
        <v>1948.7991851892573</v>
      </c>
      <c r="J447" s="49">
        <f t="shared" si="191"/>
        <v>19851.41497151701</v>
      </c>
      <c r="K447" s="49">
        <f t="shared" si="191"/>
        <v>13770.755017921148</v>
      </c>
      <c r="L447" s="49">
        <f t="shared" si="191"/>
        <v>1423.4281362007168</v>
      </c>
      <c r="M447" s="49">
        <f t="shared" si="191"/>
        <v>0</v>
      </c>
      <c r="N447" s="49">
        <f t="shared" si="191"/>
        <v>0</v>
      </c>
      <c r="O447" s="49">
        <f t="shared" si="191"/>
        <v>0</v>
      </c>
      <c r="P447" s="49">
        <f t="shared" si="191"/>
        <v>0</v>
      </c>
      <c r="Q447" s="49">
        <f t="shared" si="191"/>
        <v>0</v>
      </c>
      <c r="R447" s="49">
        <f t="shared" si="191"/>
        <v>0</v>
      </c>
      <c r="S447" s="49">
        <f t="shared" si="191"/>
        <v>0</v>
      </c>
      <c r="T447" s="49">
        <f t="shared" si="191"/>
        <v>0</v>
      </c>
      <c r="U447" s="49">
        <f t="shared" si="191"/>
        <v>0</v>
      </c>
      <c r="V447" s="49">
        <f t="shared" si="191"/>
        <v>0</v>
      </c>
      <c r="W447" s="49">
        <f t="shared" si="191"/>
        <v>0</v>
      </c>
      <c r="X447" s="49">
        <f t="shared" si="191"/>
        <v>0</v>
      </c>
      <c r="Y447" s="49">
        <f t="shared" si="191"/>
        <v>0</v>
      </c>
      <c r="Z447" s="49">
        <f t="shared" si="191"/>
        <v>0</v>
      </c>
      <c r="AA447" s="49">
        <f t="shared" si="191"/>
        <v>0</v>
      </c>
      <c r="AB447" s="49">
        <f t="shared" si="191"/>
        <v>0</v>
      </c>
      <c r="AC447" s="49">
        <f t="shared" si="191"/>
        <v>0</v>
      </c>
      <c r="AD447" s="49">
        <f t="shared" si="191"/>
        <v>0</v>
      </c>
      <c r="AE447" s="49">
        <f t="shared" si="191"/>
        <v>0</v>
      </c>
      <c r="AF447" s="49">
        <f t="shared" si="191"/>
        <v>0</v>
      </c>
      <c r="AG447" s="49">
        <f>SUM(F447:AF447)</f>
        <v>999529.00067907909</v>
      </c>
      <c r="AH447" s="29" t="str">
        <f t="shared" ref="AH447:AH452" si="192">IF(ABS(E447-AG447)&lt;0.01,"ok","err")</f>
        <v>ok</v>
      </c>
    </row>
    <row r="448" spans="1:34" x14ac:dyDescent="0.2">
      <c r="A448" s="14" t="s">
        <v>596</v>
      </c>
      <c r="E448" s="256">
        <f>E441</f>
        <v>0</v>
      </c>
      <c r="AG448" s="90">
        <f>E448</f>
        <v>0</v>
      </c>
      <c r="AH448" s="29" t="str">
        <f t="shared" si="192"/>
        <v>ok</v>
      </c>
    </row>
    <row r="449" spans="1:34" x14ac:dyDescent="0.2">
      <c r="A449" s="14" t="s">
        <v>594</v>
      </c>
      <c r="E449" s="254">
        <f>E442</f>
        <v>0</v>
      </c>
      <c r="F449" s="47">
        <f>F442</f>
        <v>0</v>
      </c>
      <c r="G449" s="47">
        <f t="shared" ref="G449:S449" si="193">G442</f>
        <v>0</v>
      </c>
      <c r="H449" s="47">
        <f t="shared" si="193"/>
        <v>0</v>
      </c>
      <c r="I449" s="47">
        <f t="shared" si="193"/>
        <v>0</v>
      </c>
      <c r="J449" s="47">
        <f t="shared" si="193"/>
        <v>0</v>
      </c>
      <c r="K449" s="47">
        <f t="shared" si="193"/>
        <v>0</v>
      </c>
      <c r="L449" s="47">
        <f t="shared" si="193"/>
        <v>0</v>
      </c>
      <c r="M449" s="47">
        <f t="shared" si="193"/>
        <v>0</v>
      </c>
      <c r="N449" s="47">
        <f t="shared" si="193"/>
        <v>0</v>
      </c>
      <c r="O449" s="49">
        <f t="shared" si="193"/>
        <v>0</v>
      </c>
      <c r="P449" s="49">
        <f t="shared" si="193"/>
        <v>0</v>
      </c>
      <c r="Q449" s="14">
        <f t="shared" si="193"/>
        <v>0</v>
      </c>
      <c r="R449" s="14">
        <f t="shared" si="193"/>
        <v>0</v>
      </c>
      <c r="S449" s="14">
        <f t="shared" si="193"/>
        <v>0</v>
      </c>
      <c r="AG449" s="90">
        <f>SUM(F449:AF449)</f>
        <v>0</v>
      </c>
      <c r="AH449" s="29" t="str">
        <f t="shared" si="192"/>
        <v>ok</v>
      </c>
    </row>
    <row r="450" spans="1:34" x14ac:dyDescent="0.2">
      <c r="A450" s="14" t="s">
        <v>595</v>
      </c>
      <c r="D450" s="14" t="s">
        <v>624</v>
      </c>
      <c r="E450" s="256">
        <f>E448-E449</f>
        <v>0</v>
      </c>
      <c r="F450" s="65">
        <f>IF(VLOOKUP($D450,$C$5:$AU$519,3,)=0,0,(VLOOKUP($D450,$C$5:$AU$519,4,)/VLOOKUP($D450,$C$5:$AU$519,3,))*$E450)</f>
        <v>0</v>
      </c>
      <c r="G450" s="65">
        <f>IF(VLOOKUP($D450,$C$5:$AU$519,3,)=0,0,(VLOOKUP($D450,$C$5:$AU$519,5,)/VLOOKUP($D450,$C$5:$AU$519,3,))*$E450)</f>
        <v>0</v>
      </c>
      <c r="H450" s="65">
        <f>IF(VLOOKUP($D450,$C$5:$AU$519,3,)=0,0,(VLOOKUP($D450,$C$5:$AU$519,6,)/VLOOKUP($D450,$C$5:$AU$519,3,))*$E450)</f>
        <v>0</v>
      </c>
      <c r="I450" s="65">
        <f>IF(VLOOKUP($D450,$C$5:$AU$519,3,)=0,0,(VLOOKUP($D450,$C$5:$AU$519,7,)/VLOOKUP($D450,$C$5:$AU$519,3,))*$E450)</f>
        <v>0</v>
      </c>
      <c r="J450" s="65">
        <f>IF(VLOOKUP($D450,$C$5:$AU$519,3,)=0,0,(VLOOKUP($D450,$C$5:$AU$519,8,)/VLOOKUP($D450,$C$5:$AU$519,3,))*$E450)</f>
        <v>0</v>
      </c>
      <c r="K450" s="65">
        <f>IF(VLOOKUP($D450,$C$5:$AU$519,3,)=0,0,(VLOOKUP($D450,$C$5:$AU$519,9,)/VLOOKUP($D450,$C$5:$AU$519,3,))*$E450)</f>
        <v>0</v>
      </c>
      <c r="L450" s="65">
        <f>IF(VLOOKUP($D450,$C$5:$AU$519,3,)=0,0,(VLOOKUP($D450,$C$5:$AU$519,10,)/VLOOKUP($D450,$C$5:$AU$519,3,))*$E450)</f>
        <v>0</v>
      </c>
      <c r="M450" s="65">
        <f>IF(VLOOKUP($D450,$C$5:$AU$519,3,)=0,0,(VLOOKUP($D450,$C$5:$AU$519,11,)/VLOOKUP($D450,$C$5:$AU$519,3,))*$E450)</f>
        <v>0</v>
      </c>
      <c r="N450" s="65">
        <f>IF(VLOOKUP($D450,$C$5:$AU$519,3,)=0,0,(VLOOKUP($D450,$C$5:$AU$519,12,)/VLOOKUP($D450,$C$5:$AU$519,3,))*$E450)</f>
        <v>0</v>
      </c>
      <c r="O450" s="65">
        <f>IF(VLOOKUP($D450,$C$5:$AU$519,3,)=0,0,(VLOOKUP($D450,$C$5:$AU$519,13,)/VLOOKUP($D450,$C$5:$AU$519,3,))*$E450)</f>
        <v>0</v>
      </c>
      <c r="P450" s="65">
        <f>IF(VLOOKUP($D450,$C$5:$AU$519,3,)=0,0,(VLOOKUP($D450,$C$5:$AU$519,14,)/VLOOKUP($D450,$C$5:$AU$519,3,))*$E450)</f>
        <v>0</v>
      </c>
      <c r="Q450" s="65">
        <f>IF(VLOOKUP($D450,$C$5:$AU$519,3,)=0,0,(VLOOKUP($D450,$C$5:$AU$519,15,)/VLOOKUP($D450,$C$5:$AU$519,3,))*$E450)</f>
        <v>0</v>
      </c>
      <c r="R450" s="65">
        <f>IF(VLOOKUP($D450,$C$5:$AU$519,3,)=0,0,(VLOOKUP($D450,$C$5:$AU$519,16,)/VLOOKUP($D450,$C$5:$AU$519,3,))*$E450)</f>
        <v>0</v>
      </c>
      <c r="S450" s="65">
        <f>IF(VLOOKUP($D450,$C$5:$AU$519,3,)=0,0,(VLOOKUP($D450,$C$5:$AU$519,17,)/VLOOKUP($D450,$C$5:$AU$519,3,))*$E450)</f>
        <v>0</v>
      </c>
      <c r="T450" s="65">
        <f>IF(VLOOKUP($D450,$C$5:$AU$519,3,)=0,0,(VLOOKUP($D450,$C$5:$AU$519,18,)/VLOOKUP($D450,$C$5:$AU$519,3,))*$E450)</f>
        <v>0</v>
      </c>
      <c r="U450" s="65">
        <f>IF(VLOOKUP($D450,$C$5:$AU$519,3,)=0,0,(VLOOKUP($D450,$C$5:$AU$519,19,)/VLOOKUP($D450,$C$5:$AU$519,3,))*$E450)</f>
        <v>0</v>
      </c>
      <c r="V450" s="65">
        <f>IF(VLOOKUP($D450,$C$5:$AU$519,3,)=0,0,(VLOOKUP($D450,$C$5:$AU$519,20,)/VLOOKUP($D450,$C$5:$AU$519,3,))*$E450)</f>
        <v>0</v>
      </c>
      <c r="W450" s="65">
        <f>IF(VLOOKUP($D450,$C$5:$AU$519,3,)=0,0,(VLOOKUP($D450,$C$5:$AU$519,21,)/VLOOKUP($D450,$C$5:$AU$519,3,))*$E450)</f>
        <v>0</v>
      </c>
      <c r="X450" s="65">
        <f>IF(VLOOKUP($D450,$C$5:$AU$519,3,)=0,0,(VLOOKUP($D450,$C$5:$AU$519,22,)/VLOOKUP($D450,$C$5:$AU$519,3,))*$E450)</f>
        <v>0</v>
      </c>
      <c r="Y450" s="65">
        <f>IF(VLOOKUP($D450,$C$5:$AU$519,3,)=0,0,(VLOOKUP($D450,$C$5:$AU$519,23,)/VLOOKUP($D450,$C$5:$AU$519,3,))*$E450)</f>
        <v>0</v>
      </c>
      <c r="Z450" s="65">
        <f>IF(VLOOKUP($D450,$C$5:$AU$519,3,)=0,0,(VLOOKUP($D450,$C$5:$AU$519,24,)/VLOOKUP($D450,$C$5:$AU$519,3,))*$E450)</f>
        <v>0</v>
      </c>
      <c r="AA450" s="65">
        <f>IF(VLOOKUP($D450,$C$5:$AU$519,3,)=0,0,(VLOOKUP($D450,$C$5:$AU$519,25,)/VLOOKUP($D450,$C$5:$AU$519,3,))*$E450)</f>
        <v>0</v>
      </c>
      <c r="AB450" s="65">
        <f>IF(VLOOKUP($D450,$C$5:$AU$519,3,)=0,0,(VLOOKUP($D450,$C$5:$AU$519,26,)/VLOOKUP($D450,$C$5:$AU$519,3,))*$E450)</f>
        <v>0</v>
      </c>
      <c r="AC450" s="65">
        <f>IF(VLOOKUP($D450,$C$5:$AU$519,3,)=0,0,(VLOOKUP($D450,$C$5:$AU$519,27,)/VLOOKUP($D450,$C$5:$AU$519,3,))*$E450)</f>
        <v>0</v>
      </c>
      <c r="AD450" s="65">
        <f>IF(VLOOKUP($D450,$C$5:$AU$519,3,)=0,0,(VLOOKUP($D450,$C$5:$AU$519,28,)/VLOOKUP($D450,$C$5:$AU$519,3,))*$E450)</f>
        <v>0</v>
      </c>
      <c r="AE450" s="65">
        <f>IF(VLOOKUP($D450,$C$5:$AU$519,3,)=0,0,(VLOOKUP($D450,$C$5:$AU$519,29,)/VLOOKUP($D450,$C$5:$AU$519,3,))*$E450)</f>
        <v>0</v>
      </c>
      <c r="AF450" s="65">
        <f>IF(VLOOKUP($D450,$C$5:$AU$519,3,)=0,0,(VLOOKUP($D450,$C$5:$AU$519,30,)/VLOOKUP($D450,$C$5:$AU$519,3,))*$E450)</f>
        <v>0</v>
      </c>
      <c r="AG450" s="90">
        <f>SUM(F450:AF450)</f>
        <v>0</v>
      </c>
      <c r="AH450" s="29" t="str">
        <f t="shared" si="192"/>
        <v>ok</v>
      </c>
    </row>
    <row r="451" spans="1:34" x14ac:dyDescent="0.2">
      <c r="A451" s="14" t="s">
        <v>600</v>
      </c>
      <c r="C451" s="14" t="s">
        <v>625</v>
      </c>
      <c r="E451" s="256">
        <f t="shared" ref="E451:U451" si="194">E449+E450</f>
        <v>0</v>
      </c>
      <c r="F451" s="90">
        <f t="shared" si="194"/>
        <v>0</v>
      </c>
      <c r="G451" s="90">
        <f t="shared" si="194"/>
        <v>0</v>
      </c>
      <c r="H451" s="90">
        <f t="shared" si="194"/>
        <v>0</v>
      </c>
      <c r="I451" s="90">
        <f t="shared" si="194"/>
        <v>0</v>
      </c>
      <c r="J451" s="90">
        <f t="shared" si="194"/>
        <v>0</v>
      </c>
      <c r="K451" s="90">
        <f t="shared" si="194"/>
        <v>0</v>
      </c>
      <c r="L451" s="90">
        <f t="shared" si="194"/>
        <v>0</v>
      </c>
      <c r="M451" s="90">
        <f t="shared" si="194"/>
        <v>0</v>
      </c>
      <c r="N451" s="90">
        <f t="shared" si="194"/>
        <v>0</v>
      </c>
      <c r="O451" s="90">
        <f t="shared" si="194"/>
        <v>0</v>
      </c>
      <c r="P451" s="90">
        <f t="shared" si="194"/>
        <v>0</v>
      </c>
      <c r="Q451" s="90">
        <f t="shared" si="194"/>
        <v>0</v>
      </c>
      <c r="R451" s="90">
        <f t="shared" si="194"/>
        <v>0</v>
      </c>
      <c r="S451" s="90">
        <f t="shared" si="194"/>
        <v>0</v>
      </c>
      <c r="T451" s="90">
        <f t="shared" si="194"/>
        <v>0</v>
      </c>
      <c r="U451" s="90">
        <f t="shared" si="194"/>
        <v>0</v>
      </c>
      <c r="V451" s="90"/>
      <c r="W451" s="90"/>
      <c r="X451" s="90"/>
      <c r="Y451" s="90"/>
      <c r="Z451" s="90"/>
      <c r="AA451" s="90"/>
      <c r="AB451" s="90"/>
      <c r="AC451" s="90"/>
      <c r="AD451" s="90"/>
      <c r="AE451" s="90"/>
      <c r="AF451" s="90"/>
      <c r="AG451" s="90">
        <f>SUM(F451:AF451)</f>
        <v>0</v>
      </c>
      <c r="AH451" s="29" t="str">
        <f t="shared" si="192"/>
        <v>ok</v>
      </c>
    </row>
    <row r="452" spans="1:34" x14ac:dyDescent="0.2">
      <c r="A452" s="14" t="s">
        <v>633</v>
      </c>
      <c r="C452" s="14" t="s">
        <v>626</v>
      </c>
      <c r="D452" s="14" t="s">
        <v>625</v>
      </c>
      <c r="E452" s="272">
        <v>0</v>
      </c>
      <c r="F452" s="98">
        <f>IF(VLOOKUP($D452,$C$5:$AU$519,3,)=0,0,(VLOOKUP($D452,$C$5:$AU$519,4,)/VLOOKUP($D452,$C$5:$AU$519,3,))*$E452)</f>
        <v>0</v>
      </c>
      <c r="G452" s="98">
        <f>IF(VLOOKUP($D452,$C$5:$AU$519,3,)=0,0,(VLOOKUP($D452,$C$5:$AU$519,5,)/VLOOKUP($D452,$C$5:$AU$519,3,))*$E452)</f>
        <v>0</v>
      </c>
      <c r="H452" s="98">
        <f>IF(VLOOKUP($D452,$C$5:$AU$519,3,)=0,0,(VLOOKUP($D452,$C$5:$AU$519,6,)/VLOOKUP($D452,$C$5:$AU$519,3,))*$E452)</f>
        <v>0</v>
      </c>
      <c r="I452" s="98">
        <f>IF(VLOOKUP($D452,$C$5:$AU$519,3,)=0,0,(VLOOKUP($D452,$C$5:$AU$519,7,)/VLOOKUP($D452,$C$5:$AU$519,3,))*$E452)</f>
        <v>0</v>
      </c>
      <c r="J452" s="98">
        <f>IF(VLOOKUP($D452,$C$5:$AU$519,3,)=0,0,(VLOOKUP($D452,$C$5:$AU$519,8,)/VLOOKUP($D452,$C$5:$AU$519,3,))*$E452)</f>
        <v>0</v>
      </c>
      <c r="K452" s="98">
        <f>IF(VLOOKUP($D452,$C$5:$AU$519,3,)=0,0,(VLOOKUP($D452,$C$5:$AU$519,9,)/VLOOKUP($D452,$C$5:$AU$519,3,))*$E452)</f>
        <v>0</v>
      </c>
      <c r="L452" s="98">
        <f>IF(VLOOKUP($D452,$C$5:$AU$519,3,)=0,0,(VLOOKUP($D452,$C$5:$AU$519,10,)/VLOOKUP($D452,$C$5:$AU$519,3,))*$E452)</f>
        <v>0</v>
      </c>
      <c r="M452" s="98">
        <f>IF(VLOOKUP($D452,$C$5:$AU$519,3,)=0,0,(VLOOKUP($D452,$C$5:$AU$519,11,)/VLOOKUP($D452,$C$5:$AU$519,3,))*$E452)</f>
        <v>0</v>
      </c>
      <c r="N452" s="98">
        <f>IF(VLOOKUP($D452,$C$5:$AU$519,3,)=0,0,(VLOOKUP($D452,$C$5:$AU$519,12,)/VLOOKUP($D452,$C$5:$AU$519,3,))*$E452)</f>
        <v>0</v>
      </c>
      <c r="O452" s="98">
        <f>IF(VLOOKUP($D452,$C$5:$AU$519,3,)=0,0,(VLOOKUP($D452,$C$5:$AU$519,13,)/VLOOKUP($D452,$C$5:$AU$519,3,))*$E452)</f>
        <v>0</v>
      </c>
      <c r="P452" s="98">
        <f>IF(VLOOKUP($D452,$C$5:$AU$519,3,)=0,0,(VLOOKUP($D452,$C$5:$AU$519,14,)/VLOOKUP($D452,$C$5:$AU$519,3,))*$E452)</f>
        <v>0</v>
      </c>
      <c r="Q452" s="98">
        <f>IF(VLOOKUP($D452,$C$5:$AU$519,3,)=0,0,(VLOOKUP($D452,$C$5:$AU$519,15,)/VLOOKUP($D452,$C$5:$AU$519,3,))*$E452)</f>
        <v>0</v>
      </c>
      <c r="R452" s="98">
        <f>IF(VLOOKUP($D452,$C$5:$AU$519,3,)=0,0,(VLOOKUP($D452,$C$5:$AU$519,16,)/VLOOKUP($D452,$C$5:$AU$519,3,))*$E452)</f>
        <v>0</v>
      </c>
      <c r="S452" s="98">
        <f>IF(VLOOKUP($D452,$C$5:$AU$519,3,)=0,0,(VLOOKUP($D452,$C$5:$AU$519,17,)/VLOOKUP($D452,$C$5:$AU$519,3,))*$E452)</f>
        <v>0</v>
      </c>
      <c r="T452" s="98">
        <f>IF(VLOOKUP($D452,$C$5:$AU$519,3,)=0,0,(VLOOKUP($D452,$C$5:$AU$519,18,)/VLOOKUP($D452,$C$5:$AU$519,3,))*$E452)</f>
        <v>0</v>
      </c>
      <c r="U452" s="98">
        <f>IF(VLOOKUP($D452,$C$5:$AU$519,3,)=0,0,(VLOOKUP($D452,$C$5:$AU$519,19,)/VLOOKUP($D452,$C$5:$AU$519,3,))*$E452)</f>
        <v>0</v>
      </c>
      <c r="V452" s="98">
        <f>IF(VLOOKUP($D452,$C$5:$AU$519,3,)=0,0,(VLOOKUP($D452,$C$5:$AU$519,20,)/VLOOKUP($D452,$C$5:$AU$519,3,))*$E452)</f>
        <v>0</v>
      </c>
      <c r="W452" s="98">
        <f>IF(VLOOKUP($D452,$C$5:$AU$519,3,)=0,0,(VLOOKUP($D452,$C$5:$AU$519,21,)/VLOOKUP($D452,$C$5:$AU$519,3,))*$E452)</f>
        <v>0</v>
      </c>
      <c r="X452" s="98">
        <f>IF(VLOOKUP($D452,$C$5:$AU$519,3,)=0,0,(VLOOKUP($D452,$C$5:$AU$519,22,)/VLOOKUP($D452,$C$5:$AU$519,3,))*$E452)</f>
        <v>0</v>
      </c>
      <c r="Y452" s="98">
        <f>IF(VLOOKUP($D452,$C$5:$AU$519,3,)=0,0,(VLOOKUP($D452,$C$5:$AU$519,23,)/VLOOKUP($D452,$C$5:$AU$519,3,))*$E452)</f>
        <v>0</v>
      </c>
      <c r="Z452" s="98">
        <f>IF(VLOOKUP($D452,$C$5:$AU$519,3,)=0,0,(VLOOKUP($D452,$C$5:$AU$519,24,)/VLOOKUP($D452,$C$5:$AU$519,3,))*$E452)</f>
        <v>0</v>
      </c>
      <c r="AA452" s="98">
        <f>IF(VLOOKUP($D452,$C$5:$AU$519,3,)=0,0,(VLOOKUP($D452,$C$5:$AU$519,25,)/VLOOKUP($D452,$C$5:$AU$519,3,))*$E452)</f>
        <v>0</v>
      </c>
      <c r="AB452" s="98">
        <f>IF(VLOOKUP($D452,$C$5:$AU$519,3,)=0,0,(VLOOKUP($D452,$C$5:$AU$519,26,)/VLOOKUP($D452,$C$5:$AU$519,3,))*$E452)</f>
        <v>0</v>
      </c>
      <c r="AC452" s="98">
        <f>IF(VLOOKUP($D452,$C$5:$AU$519,3,)=0,0,(VLOOKUP($D452,$C$5:$AU$519,27,)/VLOOKUP($D452,$C$5:$AU$519,3,))*$E452)</f>
        <v>0</v>
      </c>
      <c r="AD452" s="98">
        <f>IF(VLOOKUP($D452,$C$5:$AU$519,3,)=0,0,(VLOOKUP($D452,$C$5:$AU$519,28,)/VLOOKUP($D452,$C$5:$AU$519,3,))*$E452)</f>
        <v>0</v>
      </c>
      <c r="AE452" s="98">
        <f>IF(VLOOKUP($D452,$C$5:$AU$519,3,)=0,0,(VLOOKUP($D452,$C$5:$AU$519,29,)/VLOOKUP($D452,$C$5:$AU$519,3,))*$E452)</f>
        <v>0</v>
      </c>
      <c r="AF452" s="98">
        <f>IF(VLOOKUP($D452,$C$5:$AU$519,3,)=0,0,(VLOOKUP($D452,$C$5:$AU$519,30,)/VLOOKUP($D452,$C$5:$AU$519,3,))*$E452)</f>
        <v>0</v>
      </c>
      <c r="AG452" s="98">
        <f>SUM(F452:AF452)</f>
        <v>0</v>
      </c>
      <c r="AH452" s="29" t="str">
        <f t="shared" si="192"/>
        <v>ok</v>
      </c>
    </row>
    <row r="453" spans="1:34" x14ac:dyDescent="0.2">
      <c r="E453" s="272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29"/>
    </row>
    <row r="454" spans="1:34" x14ac:dyDescent="0.2">
      <c r="A454" s="49" t="s">
        <v>602</v>
      </c>
      <c r="B454" s="49"/>
      <c r="C454" s="14" t="s">
        <v>606</v>
      </c>
      <c r="E454" s="255">
        <v>3016537.0809472343</v>
      </c>
      <c r="F454" s="49">
        <f>F436</f>
        <v>2541647.5840587132</v>
      </c>
      <c r="G454" s="49">
        <f t="shared" ref="G454:L454" si="195">G436</f>
        <v>154822.64135165518</v>
      </c>
      <c r="H454" s="49">
        <f t="shared" si="195"/>
        <v>244529.37700000001</v>
      </c>
      <c r="I454" s="49">
        <f t="shared" si="195"/>
        <v>3333.04</v>
      </c>
      <c r="J454" s="49">
        <f t="shared" si="195"/>
        <v>41545.899999999994</v>
      </c>
      <c r="K454" s="49">
        <f t="shared" si="195"/>
        <v>27776.216340245777</v>
      </c>
      <c r="L454" s="49">
        <f t="shared" si="195"/>
        <v>2882.3221966205838</v>
      </c>
      <c r="M454" s="49">
        <v>0</v>
      </c>
      <c r="N454" s="49">
        <f t="shared" ref="N454:O454" si="196">N436</f>
        <v>0</v>
      </c>
      <c r="O454" s="49">
        <f t="shared" si="196"/>
        <v>0</v>
      </c>
      <c r="P454" s="49">
        <f>P436</f>
        <v>0</v>
      </c>
      <c r="Q454" s="49">
        <f>Q436*2.11</f>
        <v>0</v>
      </c>
      <c r="R454" s="49">
        <f>R436*2.11</f>
        <v>0</v>
      </c>
      <c r="S454" s="49">
        <f>S436</f>
        <v>0</v>
      </c>
      <c r="T454" s="49">
        <f>T436*0.9</f>
        <v>0</v>
      </c>
      <c r="U454" s="49">
        <f t="shared" ref="U454:Z454" si="197">U436</f>
        <v>0</v>
      </c>
      <c r="V454" s="49">
        <f t="shared" si="197"/>
        <v>0</v>
      </c>
      <c r="W454" s="49">
        <f t="shared" si="197"/>
        <v>0</v>
      </c>
      <c r="X454" s="49">
        <f t="shared" si="197"/>
        <v>0</v>
      </c>
      <c r="Y454" s="49">
        <f t="shared" si="197"/>
        <v>0</v>
      </c>
      <c r="Z454" s="49">
        <f t="shared" si="197"/>
        <v>0</v>
      </c>
      <c r="AA454" s="49">
        <f>AA436*0.5</f>
        <v>0</v>
      </c>
      <c r="AB454" s="49">
        <f>AB436*0.1</f>
        <v>0</v>
      </c>
      <c r="AC454" s="49">
        <f>AC436*0.5</f>
        <v>0</v>
      </c>
      <c r="AD454" s="49">
        <f>AD436*0.07</f>
        <v>0</v>
      </c>
      <c r="AE454" s="49">
        <f>AE436*0.07</f>
        <v>0</v>
      </c>
      <c r="AF454" s="49">
        <f>AF436</f>
        <v>0</v>
      </c>
      <c r="AG454" s="49">
        <f>SUM(F454:AF454)</f>
        <v>3016537.0809472343</v>
      </c>
      <c r="AH454" s="29" t="str">
        <f t="shared" ref="AH454:AH459" si="198">IF(ABS(E454-AG454)&lt;0.01,"ok","err")</f>
        <v>ok</v>
      </c>
    </row>
    <row r="455" spans="1:34" x14ac:dyDescent="0.2">
      <c r="A455" s="14" t="s">
        <v>603</v>
      </c>
      <c r="E455" s="256">
        <f>'Func &amp; Classif'!O54</f>
        <v>38645014.739457324</v>
      </c>
      <c r="AG455" s="90">
        <f>E455</f>
        <v>38645014.739457324</v>
      </c>
      <c r="AH455" s="29" t="str">
        <f t="shared" si="198"/>
        <v>ok</v>
      </c>
    </row>
    <row r="456" spans="1:34" x14ac:dyDescent="0.2">
      <c r="A456" s="14" t="s">
        <v>594</v>
      </c>
      <c r="E456" s="254"/>
      <c r="M456" s="49">
        <v>0</v>
      </c>
      <c r="N456" s="49">
        <v>0</v>
      </c>
      <c r="P456" s="49"/>
      <c r="Q456" s="49">
        <f>(1/70)*'Func &amp; Classif'!F53</f>
        <v>0</v>
      </c>
      <c r="AA456" s="65">
        <v>0</v>
      </c>
      <c r="AB456" s="65">
        <v>0</v>
      </c>
      <c r="AC456" s="65">
        <v>0</v>
      </c>
      <c r="AD456" s="65">
        <v>0</v>
      </c>
      <c r="AE456" s="65">
        <v>0</v>
      </c>
      <c r="AG456" s="90">
        <f>SUM(F456:AF456)</f>
        <v>0</v>
      </c>
      <c r="AH456" s="29" t="str">
        <f t="shared" si="198"/>
        <v>ok</v>
      </c>
    </row>
    <row r="457" spans="1:34" x14ac:dyDescent="0.2">
      <c r="A457" s="14" t="s">
        <v>604</v>
      </c>
      <c r="D457" s="14" t="s">
        <v>627</v>
      </c>
      <c r="E457" s="256">
        <f>E455-E456</f>
        <v>38645014.739457324</v>
      </c>
      <c r="F457" s="104">
        <f>IF(VLOOKUP($D457,$C$5:$AU$519,3,)=0,0,(VLOOKUP($D457,$C$5:$AU$519,4,)/VLOOKUP($D457,$C$5:$AU$519,3,))*$E457)</f>
        <v>32561180.490316398</v>
      </c>
      <c r="G457" s="65">
        <f>IF(VLOOKUP($D457,$C$5:$AU$519,3,)=0,0,(VLOOKUP($D457,$C$5:$AU$519,5,)/VLOOKUP($D457,$C$5:$AU$519,3,))*$E457)</f>
        <v>1983440.9776781681</v>
      </c>
      <c r="H457" s="65">
        <f>IF(VLOOKUP($D457,$C$5:$AU$519,3,)=0,0,(VLOOKUP($D457,$C$5:$AU$519,6,)/VLOOKUP($D457,$C$5:$AU$519,3,))*$E457)</f>
        <v>3132678.6725353086</v>
      </c>
      <c r="I457" s="65">
        <f>IF(VLOOKUP($D457,$C$5:$AU$519,3,)=0,0,(VLOOKUP($D457,$C$5:$AU$519,7,)/VLOOKUP($D457,$C$5:$AU$519,3,))*$E457)</f>
        <v>42699.750233719707</v>
      </c>
      <c r="J457" s="65">
        <f>IF(VLOOKUP($D457,$C$5:$AU$519,3,)=0,0,(VLOOKUP($D457,$C$5:$AU$519,8,)/VLOOKUP($D457,$C$5:$AU$519,3,))*$E457)</f>
        <v>532246.70368045254</v>
      </c>
      <c r="K457" s="65">
        <f>IF(VLOOKUP($D457,$C$5:$AU$519,3,)=0,0,(VLOOKUP($D457,$C$5:$AU$519,9,)/VLOOKUP($D457,$C$5:$AU$519,3,))*$E457)</f>
        <v>355842.56419552688</v>
      </c>
      <c r="L457" s="65">
        <f>IF(VLOOKUP($D457,$C$5:$AU$519,3,)=0,0,(VLOOKUP($D457,$C$5:$AU$519,10,)/VLOOKUP($D457,$C$5:$AU$519,3,))*$E457)</f>
        <v>36925.580817753551</v>
      </c>
      <c r="M457" s="65">
        <f>IF(VLOOKUP($D457,$C$5:$AU$519,3,)=0,0,(VLOOKUP($D457,$C$5:$AU$519,11,)/VLOOKUP($D457,$C$5:$AU$519,3,))*$E457)</f>
        <v>0</v>
      </c>
      <c r="N457" s="65">
        <f>IF(VLOOKUP($D457,$C$5:$AU$519,3,)=0,0,(VLOOKUP($D457,$C$5:$AU$519,12,)/VLOOKUP($D457,$C$5:$AU$519,3,))*$E457)</f>
        <v>0</v>
      </c>
      <c r="O457" s="65">
        <f>IF(VLOOKUP($D457,$C$5:$AU$519,3,)=0,0,(VLOOKUP($D457,$C$5:$AU$519,13,)/VLOOKUP($D457,$C$5:$AU$519,3,))*$E457)</f>
        <v>0</v>
      </c>
      <c r="P457" s="65">
        <f>IF(VLOOKUP($D457,$C$5:$AU$519,3,)=0,0,(VLOOKUP($D457,$C$5:$AU$519,14,)/VLOOKUP($D457,$C$5:$AU$519,3,))*$E457)</f>
        <v>0</v>
      </c>
      <c r="Q457" s="65">
        <f>IF(VLOOKUP($D457,$C$5:$AU$519,3,)=0,0,(VLOOKUP($D457,$C$5:$AU$519,15,)/VLOOKUP($D457,$C$5:$AU$519,3,))*$E457)</f>
        <v>0</v>
      </c>
      <c r="R457" s="65">
        <f>IF(VLOOKUP($D457,$C$5:$AU$519,3,)=0,0,(VLOOKUP($D457,$C$5:$AU$519,16,)/VLOOKUP($D457,$C$5:$AU$519,3,))*$E457)</f>
        <v>0</v>
      </c>
      <c r="S457" s="65">
        <f>IF(VLOOKUP($D457,$C$5:$AU$519,3,)=0,0,(VLOOKUP($D457,$C$5:$AU$519,17,)/VLOOKUP($D457,$C$5:$AU$519,3,))*$E457)</f>
        <v>0</v>
      </c>
      <c r="T457" s="65">
        <f>IF(VLOOKUP($D457,$C$5:$AU$519,3,)=0,0,(VLOOKUP($D457,$C$5:$AU$519,18,)/VLOOKUP($D457,$C$5:$AU$519,3,))*$E457)</f>
        <v>0</v>
      </c>
      <c r="U457" s="65">
        <f>IF(VLOOKUP($D457,$C$5:$AU$519,3,)=0,0,(VLOOKUP($D457,$C$5:$AU$519,19,)/VLOOKUP($D457,$C$5:$AU$519,3,))*$E457)</f>
        <v>0</v>
      </c>
      <c r="V457" s="65">
        <f>IF(VLOOKUP($D457,$C$5:$AU$519,3,)=0,0,(VLOOKUP($D457,$C$5:$AU$519,20,)/VLOOKUP($D457,$C$5:$AU$519,3,))*$E457)</f>
        <v>0</v>
      </c>
      <c r="W457" s="65">
        <f>IF(VLOOKUP($D457,$C$5:$AU$519,3,)=0,0,(VLOOKUP($D457,$C$5:$AU$519,21,)/VLOOKUP($D457,$C$5:$AU$519,3,))*$E457)</f>
        <v>0</v>
      </c>
      <c r="X457" s="65">
        <f>IF(VLOOKUP($D457,$C$5:$AU$519,3,)=0,0,(VLOOKUP($D457,$C$5:$AU$519,22,)/VLOOKUP($D457,$C$5:$AU$519,3,))*$E457)</f>
        <v>0</v>
      </c>
      <c r="Y457" s="65">
        <f>IF(VLOOKUP($D457,$C$5:$AU$519,3,)=0,0,(VLOOKUP($D457,$C$5:$AU$519,23,)/VLOOKUP($D457,$C$5:$AU$519,3,))*$E457)</f>
        <v>0</v>
      </c>
      <c r="Z457" s="65">
        <f>IF(VLOOKUP($D457,$C$5:$AU$519,3,)=0,0,(VLOOKUP($D457,$C$5:$AU$519,24,)/VLOOKUP($D457,$C$5:$AU$519,3,))*$E457)</f>
        <v>0</v>
      </c>
      <c r="AA457" s="65">
        <f>IF(VLOOKUP($D457,$C$5:$AU$519,3,)=0,0,(VLOOKUP($D457,$C$5:$AU$519,25,)/VLOOKUP($D457,$C$5:$AU$519,3,))*$E457)</f>
        <v>0</v>
      </c>
      <c r="AB457" s="65">
        <f>IF(VLOOKUP($D457,$C$5:$AU$519,3,)=0,0,(VLOOKUP($D457,$C$5:$AU$519,26,)/VLOOKUP($D457,$C$5:$AU$519,3,))*$E457)</f>
        <v>0</v>
      </c>
      <c r="AC457" s="65">
        <f>IF(VLOOKUP($D457,$C$5:$AU$519,3,)=0,0,(VLOOKUP($D457,$C$5:$AU$519,27,)/VLOOKUP($D457,$C$5:$AU$519,3,))*$E457)</f>
        <v>0</v>
      </c>
      <c r="AD457" s="65">
        <f>IF(VLOOKUP($D457,$C$5:$AU$519,3,)=0,0,(VLOOKUP($D457,$C$5:$AU$519,28,)/VLOOKUP($D457,$C$5:$AU$519,3,))*$E457)</f>
        <v>0</v>
      </c>
      <c r="AE457" s="65">
        <f>IF(VLOOKUP($D457,$C$5:$AU$519,3,)=0,0,(VLOOKUP($D457,$C$5:$AU$519,29,)/VLOOKUP($D457,$C$5:$AU$519,3,))*$E457)</f>
        <v>0</v>
      </c>
      <c r="AF457" s="65">
        <f>IF(VLOOKUP($D457,$C$5:$AU$519,3,)=0,0,(VLOOKUP($D457,$C$5:$AU$519,30,)/VLOOKUP($D457,$C$5:$AU$519,3,))*$E457)</f>
        <v>0</v>
      </c>
      <c r="AG457" s="90">
        <f>SUM(F457:AF457)</f>
        <v>38645014.739457324</v>
      </c>
      <c r="AH457" s="29" t="str">
        <f t="shared" si="198"/>
        <v>ok</v>
      </c>
    </row>
    <row r="458" spans="1:34" x14ac:dyDescent="0.2">
      <c r="A458" s="14" t="s">
        <v>605</v>
      </c>
      <c r="C458" s="14" t="s">
        <v>608</v>
      </c>
      <c r="E458" s="256">
        <f t="shared" ref="E458:AF458" si="199">E456+E457</f>
        <v>38645014.739457324</v>
      </c>
      <c r="F458" s="105">
        <f t="shared" si="199"/>
        <v>32561180.490316398</v>
      </c>
      <c r="G458" s="90">
        <f t="shared" si="199"/>
        <v>1983440.9776781681</v>
      </c>
      <c r="H458" s="90">
        <f t="shared" si="199"/>
        <v>3132678.6725353086</v>
      </c>
      <c r="I458" s="90">
        <f t="shared" si="199"/>
        <v>42699.750233719707</v>
      </c>
      <c r="J458" s="90">
        <f t="shared" si="199"/>
        <v>532246.70368045254</v>
      </c>
      <c r="K458" s="90">
        <f t="shared" si="199"/>
        <v>355842.56419552688</v>
      </c>
      <c r="L458" s="90">
        <f t="shared" si="199"/>
        <v>36925.580817753551</v>
      </c>
      <c r="M458" s="90">
        <f t="shared" si="199"/>
        <v>0</v>
      </c>
      <c r="N458" s="90">
        <f t="shared" si="199"/>
        <v>0</v>
      </c>
      <c r="O458" s="90">
        <f t="shared" si="199"/>
        <v>0</v>
      </c>
      <c r="P458" s="90">
        <f>P456+P457</f>
        <v>0</v>
      </c>
      <c r="Q458" s="90">
        <f t="shared" si="199"/>
        <v>0</v>
      </c>
      <c r="R458" s="90">
        <f t="shared" si="199"/>
        <v>0</v>
      </c>
      <c r="S458" s="90">
        <f t="shared" si="199"/>
        <v>0</v>
      </c>
      <c r="T458" s="90">
        <f t="shared" si="199"/>
        <v>0</v>
      </c>
      <c r="U458" s="90">
        <f t="shared" si="199"/>
        <v>0</v>
      </c>
      <c r="V458" s="90">
        <f t="shared" si="199"/>
        <v>0</v>
      </c>
      <c r="W458" s="90">
        <f t="shared" si="199"/>
        <v>0</v>
      </c>
      <c r="X458" s="90">
        <f t="shared" si="199"/>
        <v>0</v>
      </c>
      <c r="Y458" s="90">
        <f t="shared" si="199"/>
        <v>0</v>
      </c>
      <c r="Z458" s="90">
        <f t="shared" si="199"/>
        <v>0</v>
      </c>
      <c r="AA458" s="90">
        <f t="shared" si="199"/>
        <v>0</v>
      </c>
      <c r="AB458" s="90">
        <f t="shared" si="199"/>
        <v>0</v>
      </c>
      <c r="AC458" s="90">
        <f t="shared" si="199"/>
        <v>0</v>
      </c>
      <c r="AD458" s="90">
        <f t="shared" si="199"/>
        <v>0</v>
      </c>
      <c r="AE458" s="90">
        <f t="shared" si="199"/>
        <v>0</v>
      </c>
      <c r="AF458" s="90">
        <f t="shared" si="199"/>
        <v>0</v>
      </c>
      <c r="AG458" s="90">
        <f>SUM(F458:AF458)</f>
        <v>38645014.739457324</v>
      </c>
      <c r="AH458" s="29" t="str">
        <f t="shared" si="198"/>
        <v>ok</v>
      </c>
    </row>
    <row r="459" spans="1:34" x14ac:dyDescent="0.2">
      <c r="A459" s="14" t="s">
        <v>635</v>
      </c>
      <c r="C459" s="14" t="s">
        <v>607</v>
      </c>
      <c r="D459" s="14" t="s">
        <v>608</v>
      </c>
      <c r="E459" s="272">
        <v>1</v>
      </c>
      <c r="F459" s="98">
        <f>IF(VLOOKUP($D459,$C$5:$AU$519,3,)=0,0,(VLOOKUP($D459,$C$5:$AU$519,4,)/VLOOKUP($D459,$C$5:$AU$519,3,))*$E459)</f>
        <v>0.84257130472952801</v>
      </c>
      <c r="G459" s="98">
        <f>IF(VLOOKUP($D459,$C$5:$AU$519,3,)=0,0,(VLOOKUP($D459,$C$5:$AU$519,5,)/VLOOKUP($D459,$C$5:$AU$519,3,))*$E459)</f>
        <v>5.1324627278587519E-2</v>
      </c>
      <c r="H459" s="98">
        <f>IF(VLOOKUP($D459,$C$5:$AU$519,3,)=0,0,(VLOOKUP($D459,$C$5:$AU$519,6,)/VLOOKUP($D459,$C$5:$AU$519,3,))*$E459)</f>
        <v>8.1062944176775842E-2</v>
      </c>
      <c r="I459" s="98">
        <f>IF(VLOOKUP($D459,$C$5:$AU$519,3,)=0,0,(VLOOKUP($D459,$C$5:$AU$519,7,)/VLOOKUP($D459,$C$5:$AU$519,3,))*$E459)</f>
        <v>1.1049226018310305E-3</v>
      </c>
      <c r="J459" s="98">
        <f>IF(VLOOKUP($D459,$C$5:$AU$519,3,)=0,0,(VLOOKUP($D459,$C$5:$AU$519,8,)/VLOOKUP($D459,$C$5:$AU$519,3,))*$E459)</f>
        <v>1.377271317578301E-2</v>
      </c>
      <c r="K459" s="98">
        <f>IF(VLOOKUP($D459,$C$5:$AU$519,3,)=0,0,(VLOOKUP($D459,$C$5:$AU$519,9,)/VLOOKUP($D459,$C$5:$AU$519,3,))*$E459)</f>
        <v>9.2079810706400013E-3</v>
      </c>
      <c r="L459" s="98">
        <f>IF(VLOOKUP($D459,$C$5:$AU$519,3,)=0,0,(VLOOKUP($D459,$C$5:$AU$519,10,)/VLOOKUP($D459,$C$5:$AU$519,3,))*$E459)</f>
        <v>9.555069668546873E-4</v>
      </c>
      <c r="M459" s="98">
        <f>IF(VLOOKUP($D459,$C$5:$AU$519,3,)=0,0,(VLOOKUP($D459,$C$5:$AU$519,11,)/VLOOKUP($D459,$C$5:$AU$519,3,))*$E459)</f>
        <v>0</v>
      </c>
      <c r="N459" s="98">
        <f>IF(VLOOKUP($D459,$C$5:$AU$519,3,)=0,0,(VLOOKUP($D459,$C$5:$AU$519,12,)/VLOOKUP($D459,$C$5:$AU$519,3,))*$E459)</f>
        <v>0</v>
      </c>
      <c r="O459" s="98">
        <f>IF(VLOOKUP($D459,$C$5:$AU$519,3,)=0,0,(VLOOKUP($D459,$C$5:$AU$519,13,)/VLOOKUP($D459,$C$5:$AU$519,3,))*$E459)</f>
        <v>0</v>
      </c>
      <c r="P459" s="98">
        <f>IF(VLOOKUP($D459,$C$5:$AU$519,3,)=0,0,(VLOOKUP($D459,$C$5:$AU$519,14,)/VLOOKUP($D459,$C$5:$AU$519,3,))*$E459)</f>
        <v>0</v>
      </c>
      <c r="Q459" s="98">
        <f>IF(VLOOKUP($D459,$C$5:$AU$519,3,)=0,0,(VLOOKUP($D459,$C$5:$AU$519,15,)/VLOOKUP($D459,$C$5:$AU$519,3,))*$E459)</f>
        <v>0</v>
      </c>
      <c r="R459" s="98">
        <f>IF(VLOOKUP($D459,$C$5:$AU$519,3,)=0,0,(VLOOKUP($D459,$C$5:$AU$519,16,)/VLOOKUP($D459,$C$5:$AU$519,3,))*$E459)</f>
        <v>0</v>
      </c>
      <c r="S459" s="98">
        <f>IF(VLOOKUP($D459,$C$5:$AU$519,3,)=0,0,(VLOOKUP($D459,$C$5:$AU$519,17,)/VLOOKUP($D459,$C$5:$AU$519,3,))*$E459)</f>
        <v>0</v>
      </c>
      <c r="T459" s="98">
        <f>IF(VLOOKUP($D459,$C$5:$AU$519,3,)=0,0,(VLOOKUP($D459,$C$5:$AU$519,18,)/VLOOKUP($D459,$C$5:$AU$519,3,))*$E459)</f>
        <v>0</v>
      </c>
      <c r="U459" s="98">
        <f>IF(VLOOKUP($D459,$C$5:$AU$519,3,)=0,0,(VLOOKUP($D459,$C$5:$AU$519,19,)/VLOOKUP($D459,$C$5:$AU$519,3,))*$E459)</f>
        <v>0</v>
      </c>
      <c r="V459" s="98">
        <f>IF(VLOOKUP($D459,$C$5:$AU$519,3,)=0,0,(VLOOKUP($D459,$C$5:$AU$519,20,)/VLOOKUP($D459,$C$5:$AU$519,3,))*$E459)</f>
        <v>0</v>
      </c>
      <c r="W459" s="98">
        <f>IF(VLOOKUP($D459,$C$5:$AU$519,3,)=0,0,(VLOOKUP($D459,$C$5:$AU$519,21,)/VLOOKUP($D459,$C$5:$AU$519,3,))*$E459)</f>
        <v>0</v>
      </c>
      <c r="X459" s="98">
        <f>IF(VLOOKUP($D459,$C$5:$AU$519,3,)=0,0,(VLOOKUP($D459,$C$5:$AU$519,22,)/VLOOKUP($D459,$C$5:$AU$519,3,))*$E459)</f>
        <v>0</v>
      </c>
      <c r="Y459" s="98">
        <f>IF(VLOOKUP($D459,$C$5:$AU$519,3,)=0,0,(VLOOKUP($D459,$C$5:$AU$519,23,)/VLOOKUP($D459,$C$5:$AU$519,3,))*$E459)</f>
        <v>0</v>
      </c>
      <c r="Z459" s="98">
        <f>IF(VLOOKUP($D459,$C$5:$AU$519,3,)=0,0,(VLOOKUP($D459,$C$5:$AU$519,24,)/VLOOKUP($D459,$C$5:$AU$519,3,))*$E459)</f>
        <v>0</v>
      </c>
      <c r="AA459" s="98">
        <f>IF(VLOOKUP($D459,$C$5:$AU$519,3,)=0,0,(VLOOKUP($D459,$C$5:$AU$519,25,)/VLOOKUP($D459,$C$5:$AU$519,3,))*$E459)</f>
        <v>0</v>
      </c>
      <c r="AB459" s="98">
        <f>IF(VLOOKUP($D459,$C$5:$AU$519,3,)=0,0,(VLOOKUP($D459,$C$5:$AU$519,26,)/VLOOKUP($D459,$C$5:$AU$519,3,))*$E459)</f>
        <v>0</v>
      </c>
      <c r="AC459" s="98">
        <f>IF(VLOOKUP($D459,$C$5:$AU$519,3,)=0,0,(VLOOKUP($D459,$C$5:$AU$519,27,)/VLOOKUP($D459,$C$5:$AU$519,3,))*$E459)</f>
        <v>0</v>
      </c>
      <c r="AD459" s="98">
        <f>IF(VLOOKUP($D459,$C$5:$AU$519,3,)=0,0,(VLOOKUP($D459,$C$5:$AU$519,28,)/VLOOKUP($D459,$C$5:$AU$519,3,))*$E459)</f>
        <v>0</v>
      </c>
      <c r="AE459" s="98">
        <f>IF(VLOOKUP($D459,$C$5:$AU$519,3,)=0,0,(VLOOKUP($D459,$C$5:$AU$519,29,)/VLOOKUP($D459,$C$5:$AU$519,3,))*$E459)</f>
        <v>0</v>
      </c>
      <c r="AF459" s="98">
        <f>IF(VLOOKUP($D459,$C$5:$AU$519,3,)=0,0,(VLOOKUP($D459,$C$5:$AU$519,30,)/VLOOKUP($D459,$C$5:$AU$519,3,))*$E459)</f>
        <v>0</v>
      </c>
      <c r="AG459" s="98">
        <f>SUM(F459:AF459)</f>
        <v>1.0000000000000002</v>
      </c>
      <c r="AH459" s="29" t="str">
        <f t="shared" si="198"/>
        <v>ok</v>
      </c>
    </row>
    <row r="461" spans="1:34" x14ac:dyDescent="0.2">
      <c r="A461" s="14" t="s">
        <v>602</v>
      </c>
      <c r="C461" s="14" t="s">
        <v>627</v>
      </c>
      <c r="E461" s="255">
        <f>E454</f>
        <v>3016537.0809472343</v>
      </c>
      <c r="F461" s="47">
        <f>F454</f>
        <v>2541647.5840587132</v>
      </c>
      <c r="G461" s="49">
        <f t="shared" ref="G461:Q461" si="200">G454</f>
        <v>154822.64135165518</v>
      </c>
      <c r="H461" s="49">
        <f t="shared" si="200"/>
        <v>244529.37700000001</v>
      </c>
      <c r="I461" s="49">
        <f t="shared" si="200"/>
        <v>3333.04</v>
      </c>
      <c r="J461" s="49">
        <f t="shared" si="200"/>
        <v>41545.899999999994</v>
      </c>
      <c r="K461" s="49">
        <f t="shared" si="200"/>
        <v>27776.216340245777</v>
      </c>
      <c r="L461" s="49">
        <f t="shared" si="200"/>
        <v>2882.3221966205838</v>
      </c>
      <c r="M461" s="49">
        <f t="shared" si="200"/>
        <v>0</v>
      </c>
      <c r="N461" s="49">
        <f t="shared" si="200"/>
        <v>0</v>
      </c>
      <c r="O461" s="49">
        <f t="shared" si="200"/>
        <v>0</v>
      </c>
      <c r="P461" s="49">
        <f t="shared" si="200"/>
        <v>0</v>
      </c>
      <c r="Q461" s="49">
        <f t="shared" si="200"/>
        <v>0</v>
      </c>
      <c r="R461" s="49">
        <f>R454</f>
        <v>0</v>
      </c>
      <c r="S461" s="49">
        <f>S454</f>
        <v>0</v>
      </c>
      <c r="T461" s="49">
        <f>T454</f>
        <v>0</v>
      </c>
      <c r="U461" s="49">
        <f t="shared" ref="U461:AF461" si="201">U454</f>
        <v>0</v>
      </c>
      <c r="V461" s="49">
        <f t="shared" si="201"/>
        <v>0</v>
      </c>
      <c r="W461" s="49">
        <f t="shared" si="201"/>
        <v>0</v>
      </c>
      <c r="X461" s="49">
        <f t="shared" si="201"/>
        <v>0</v>
      </c>
      <c r="Y461" s="49">
        <f t="shared" si="201"/>
        <v>0</v>
      </c>
      <c r="Z461" s="49">
        <f t="shared" si="201"/>
        <v>0</v>
      </c>
      <c r="AA461" s="49">
        <f t="shared" si="201"/>
        <v>0</v>
      </c>
      <c r="AB461" s="49">
        <f t="shared" si="201"/>
        <v>0</v>
      </c>
      <c r="AC461" s="49">
        <f t="shared" si="201"/>
        <v>0</v>
      </c>
      <c r="AD461" s="49">
        <f t="shared" si="201"/>
        <v>0</v>
      </c>
      <c r="AE461" s="49">
        <f t="shared" si="201"/>
        <v>0</v>
      </c>
      <c r="AF461" s="49">
        <f t="shared" si="201"/>
        <v>0</v>
      </c>
      <c r="AG461" s="49">
        <f>SUM(F461:AF461)</f>
        <v>3016537.0809472343</v>
      </c>
      <c r="AH461" s="29" t="str">
        <f t="shared" ref="AH461:AH466" si="202">IF(ABS(E461-AG461)&lt;0.01,"ok","err")</f>
        <v>ok</v>
      </c>
    </row>
    <row r="462" spans="1:34" x14ac:dyDescent="0.2">
      <c r="A462" s="14" t="s">
        <v>603</v>
      </c>
      <c r="E462" s="256">
        <f>E455</f>
        <v>38645014.739457324</v>
      </c>
      <c r="AG462" s="90">
        <f>E462</f>
        <v>38645014.739457324</v>
      </c>
      <c r="AH462" s="29" t="str">
        <f t="shared" si="202"/>
        <v>ok</v>
      </c>
    </row>
    <row r="463" spans="1:34" x14ac:dyDescent="0.2">
      <c r="A463" s="14" t="s">
        <v>594</v>
      </c>
      <c r="E463" s="254"/>
      <c r="M463" s="49">
        <v>0</v>
      </c>
      <c r="N463" s="49">
        <v>0</v>
      </c>
      <c r="P463" s="49"/>
      <c r="Q463" s="118"/>
      <c r="R463" s="14">
        <v>0</v>
      </c>
      <c r="S463" s="14">
        <v>0</v>
      </c>
      <c r="AA463" s="65">
        <v>0</v>
      </c>
      <c r="AB463" s="65">
        <v>0</v>
      </c>
      <c r="AC463" s="65">
        <v>0</v>
      </c>
      <c r="AD463" s="90">
        <f>AD456</f>
        <v>0</v>
      </c>
      <c r="AE463" s="65">
        <v>0</v>
      </c>
      <c r="AG463" s="90">
        <f>SUM(F463:AF463)</f>
        <v>0</v>
      </c>
      <c r="AH463" s="29" t="str">
        <f t="shared" si="202"/>
        <v>ok</v>
      </c>
    </row>
    <row r="464" spans="1:34" x14ac:dyDescent="0.2">
      <c r="A464" s="14" t="s">
        <v>604</v>
      </c>
      <c r="D464" s="14" t="s">
        <v>627</v>
      </c>
      <c r="E464" s="256">
        <f>E462-E463</f>
        <v>38645014.739457324</v>
      </c>
      <c r="F464" s="104">
        <f>IF(VLOOKUP($D464,$C$5:$AU$519,3,)=0,0,(VLOOKUP($D464,$C$5:$AU$519,4,)/VLOOKUP($D464,$C$5:$AU$519,3,))*$E464)</f>
        <v>32561180.490316398</v>
      </c>
      <c r="G464" s="65">
        <f>IF(VLOOKUP($D464,$C$5:$AU$519,3,)=0,0,(VLOOKUP($D464,$C$5:$AU$519,5,)/VLOOKUP($D464,$C$5:$AU$519,3,))*$E464)</f>
        <v>1983440.9776781681</v>
      </c>
      <c r="H464" s="65">
        <f>IF(VLOOKUP($D464,$C$5:$AU$519,3,)=0,0,(VLOOKUP($D464,$C$5:$AU$519,6,)/VLOOKUP($D464,$C$5:$AU$519,3,))*$E464)</f>
        <v>3132678.6725353086</v>
      </c>
      <c r="I464" s="65">
        <f>IF(VLOOKUP($D464,$C$5:$AU$519,3,)=0,0,(VLOOKUP($D464,$C$5:$AU$519,7,)/VLOOKUP($D464,$C$5:$AU$519,3,))*$E464)</f>
        <v>42699.750233719707</v>
      </c>
      <c r="J464" s="65">
        <f>IF(VLOOKUP($D464,$C$5:$AU$519,3,)=0,0,(VLOOKUP($D464,$C$5:$AU$519,8,)/VLOOKUP($D464,$C$5:$AU$519,3,))*$E464)</f>
        <v>532246.70368045254</v>
      </c>
      <c r="K464" s="65">
        <f>IF(VLOOKUP($D464,$C$5:$AU$519,3,)=0,0,(VLOOKUP($D464,$C$5:$AU$519,9,)/VLOOKUP($D464,$C$5:$AU$519,3,))*$E464)</f>
        <v>355842.56419552688</v>
      </c>
      <c r="L464" s="65">
        <f>IF(VLOOKUP($D464,$C$5:$AU$519,3,)=0,0,(VLOOKUP($D464,$C$5:$AU$519,10,)/VLOOKUP($D464,$C$5:$AU$519,3,))*$E464)</f>
        <v>36925.580817753551</v>
      </c>
      <c r="M464" s="65">
        <f>IF(VLOOKUP($D464,$C$5:$AU$519,3,)=0,0,(VLOOKUP($D464,$C$5:$AU$519,11,)/VLOOKUP($D464,$C$5:$AU$519,3,))*$E464)</f>
        <v>0</v>
      </c>
      <c r="N464" s="65">
        <f>IF(VLOOKUP($D464,$C$5:$AU$519,3,)=0,0,(VLOOKUP($D464,$C$5:$AU$519,12,)/VLOOKUP($D464,$C$5:$AU$519,3,))*$E464)</f>
        <v>0</v>
      </c>
      <c r="O464" s="65">
        <f>IF(VLOOKUP($D464,$C$5:$AU$519,3,)=0,0,(VLOOKUP($D464,$C$5:$AU$519,13,)/VLOOKUP($D464,$C$5:$AU$519,3,))*$E464)</f>
        <v>0</v>
      </c>
      <c r="P464" s="65">
        <f>IF(VLOOKUP($D464,$C$5:$AU$519,3,)=0,0,(VLOOKUP($D464,$C$5:$AU$519,14,)/VLOOKUP($D464,$C$5:$AU$519,3,))*$E464)</f>
        <v>0</v>
      </c>
      <c r="Q464" s="65">
        <f>IF(VLOOKUP($D464,$C$5:$AU$519,3,)=0,0,(VLOOKUP($D464,$C$5:$AU$519,15,)/VLOOKUP($D464,$C$5:$AU$519,3,))*$E464)</f>
        <v>0</v>
      </c>
      <c r="R464" s="65">
        <f>IF(VLOOKUP($D464,$C$5:$AU$519,3,)=0,0,(VLOOKUP($D464,$C$5:$AU$519,16,)/VLOOKUP($D464,$C$5:$AU$519,3,))*$E464)</f>
        <v>0</v>
      </c>
      <c r="S464" s="65">
        <f>IF(VLOOKUP($D464,$C$5:$AU$519,3,)=0,0,(VLOOKUP($D464,$C$5:$AU$519,17,)/VLOOKUP($D464,$C$5:$AU$519,3,))*$E464)</f>
        <v>0</v>
      </c>
      <c r="T464" s="65">
        <f>IF(VLOOKUP($D464,$C$5:$AU$519,3,)=0,0,(VLOOKUP($D464,$C$5:$AU$519,18,)/VLOOKUP($D464,$C$5:$AU$519,3,))*$E464)</f>
        <v>0</v>
      </c>
      <c r="U464" s="65">
        <f>IF(VLOOKUP($D464,$C$5:$AU$519,3,)=0,0,(VLOOKUP($D464,$C$5:$AU$519,19,)/VLOOKUP($D464,$C$5:$AU$519,3,))*$E464)</f>
        <v>0</v>
      </c>
      <c r="V464" s="65">
        <f>IF(VLOOKUP($D464,$C$5:$AU$519,3,)=0,0,(VLOOKUP($D464,$C$5:$AU$519,20,)/VLOOKUP($D464,$C$5:$AU$519,3,))*$E464)</f>
        <v>0</v>
      </c>
      <c r="W464" s="65">
        <f>IF(VLOOKUP($D464,$C$5:$AU$519,3,)=0,0,(VLOOKUP($D464,$C$5:$AU$519,21,)/VLOOKUP($D464,$C$5:$AU$519,3,))*$E464)</f>
        <v>0</v>
      </c>
      <c r="X464" s="65">
        <f>IF(VLOOKUP($D464,$C$5:$AU$519,3,)=0,0,(VLOOKUP($D464,$C$5:$AU$519,22,)/VLOOKUP($D464,$C$5:$AU$519,3,))*$E464)</f>
        <v>0</v>
      </c>
      <c r="Y464" s="65">
        <f>IF(VLOOKUP($D464,$C$5:$AU$519,3,)=0,0,(VLOOKUP($D464,$C$5:$AU$519,23,)/VLOOKUP($D464,$C$5:$AU$519,3,))*$E464)</f>
        <v>0</v>
      </c>
      <c r="Z464" s="65">
        <f>IF(VLOOKUP($D464,$C$5:$AU$519,3,)=0,0,(VLOOKUP($D464,$C$5:$AU$519,24,)/VLOOKUP($D464,$C$5:$AU$519,3,))*$E464)</f>
        <v>0</v>
      </c>
      <c r="AA464" s="65">
        <f>IF(VLOOKUP($D464,$C$5:$AU$519,3,)=0,0,(VLOOKUP($D464,$C$5:$AU$519,25,)/VLOOKUP($D464,$C$5:$AU$519,3,))*$E464)</f>
        <v>0</v>
      </c>
      <c r="AB464" s="65">
        <f>IF(VLOOKUP($D464,$C$5:$AU$519,3,)=0,0,(VLOOKUP($D464,$C$5:$AU$519,26,)/VLOOKUP($D464,$C$5:$AU$519,3,))*$E464)</f>
        <v>0</v>
      </c>
      <c r="AC464" s="65">
        <f>IF(VLOOKUP($D464,$C$5:$AU$519,3,)=0,0,(VLOOKUP($D464,$C$5:$AU$519,27,)/VLOOKUP($D464,$C$5:$AU$519,3,))*$E464)</f>
        <v>0</v>
      </c>
      <c r="AD464" s="65">
        <f>IF(VLOOKUP($D464,$C$5:$AU$519,3,)=0,0,(VLOOKUP($D464,$C$5:$AU$519,28,)/VLOOKUP($D464,$C$5:$AU$519,3,))*$E464)</f>
        <v>0</v>
      </c>
      <c r="AE464" s="65">
        <f>IF(VLOOKUP($D464,$C$5:$AU$519,3,)=0,0,(VLOOKUP($D464,$C$5:$AU$519,29,)/VLOOKUP($D464,$C$5:$AU$519,3,))*$E464)</f>
        <v>0</v>
      </c>
      <c r="AF464" s="65">
        <f>IF(VLOOKUP($D464,$C$5:$AU$519,3,)=0,0,(VLOOKUP($D464,$C$5:$AU$519,30,)/VLOOKUP($D464,$C$5:$AU$519,3,))*$E464)</f>
        <v>0</v>
      </c>
      <c r="AG464" s="90">
        <f>SUM(F464:AF464)</f>
        <v>38645014.739457324</v>
      </c>
      <c r="AH464" s="29" t="str">
        <f t="shared" si="202"/>
        <v>ok</v>
      </c>
    </row>
    <row r="465" spans="1:35" x14ac:dyDescent="0.2">
      <c r="A465" s="14" t="s">
        <v>605</v>
      </c>
      <c r="C465" s="14" t="s">
        <v>628</v>
      </c>
      <c r="E465" s="256">
        <f t="shared" ref="E465:AF465" si="203">E463+E464</f>
        <v>38645014.739457324</v>
      </c>
      <c r="F465" s="105">
        <f t="shared" si="203"/>
        <v>32561180.490316398</v>
      </c>
      <c r="G465" s="90">
        <f t="shared" si="203"/>
        <v>1983440.9776781681</v>
      </c>
      <c r="H465" s="90">
        <f t="shared" si="203"/>
        <v>3132678.6725353086</v>
      </c>
      <c r="I465" s="90">
        <f t="shared" si="203"/>
        <v>42699.750233719707</v>
      </c>
      <c r="J465" s="90">
        <f t="shared" si="203"/>
        <v>532246.70368045254</v>
      </c>
      <c r="K465" s="90">
        <f t="shared" si="203"/>
        <v>355842.56419552688</v>
      </c>
      <c r="L465" s="90">
        <f t="shared" si="203"/>
        <v>36925.580817753551</v>
      </c>
      <c r="M465" s="90">
        <f t="shared" si="203"/>
        <v>0</v>
      </c>
      <c r="N465" s="90">
        <f t="shared" si="203"/>
        <v>0</v>
      </c>
      <c r="O465" s="90">
        <f t="shared" si="203"/>
        <v>0</v>
      </c>
      <c r="P465" s="90">
        <f t="shared" si="203"/>
        <v>0</v>
      </c>
      <c r="Q465" s="90">
        <f t="shared" si="203"/>
        <v>0</v>
      </c>
      <c r="R465" s="90">
        <f t="shared" si="203"/>
        <v>0</v>
      </c>
      <c r="S465" s="90">
        <f t="shared" si="203"/>
        <v>0</v>
      </c>
      <c r="T465" s="90">
        <f t="shared" si="203"/>
        <v>0</v>
      </c>
      <c r="U465" s="90">
        <f t="shared" si="203"/>
        <v>0</v>
      </c>
      <c r="V465" s="90">
        <f t="shared" si="203"/>
        <v>0</v>
      </c>
      <c r="W465" s="90">
        <f t="shared" si="203"/>
        <v>0</v>
      </c>
      <c r="X465" s="90">
        <f t="shared" si="203"/>
        <v>0</v>
      </c>
      <c r="Y465" s="90">
        <f t="shared" si="203"/>
        <v>0</v>
      </c>
      <c r="Z465" s="90">
        <f t="shared" si="203"/>
        <v>0</v>
      </c>
      <c r="AA465" s="90">
        <f t="shared" si="203"/>
        <v>0</v>
      </c>
      <c r="AB465" s="90">
        <f t="shared" si="203"/>
        <v>0</v>
      </c>
      <c r="AC465" s="90">
        <f t="shared" si="203"/>
        <v>0</v>
      </c>
      <c r="AD465" s="90">
        <f t="shared" si="203"/>
        <v>0</v>
      </c>
      <c r="AE465" s="90">
        <f t="shared" si="203"/>
        <v>0</v>
      </c>
      <c r="AF465" s="90">
        <f t="shared" si="203"/>
        <v>0</v>
      </c>
      <c r="AG465" s="90">
        <f>SUM(F465:AF465)</f>
        <v>38645014.739457324</v>
      </c>
      <c r="AH465" s="29" t="str">
        <f t="shared" si="202"/>
        <v>ok</v>
      </c>
    </row>
    <row r="466" spans="1:35" x14ac:dyDescent="0.2">
      <c r="A466" s="14" t="s">
        <v>634</v>
      </c>
      <c r="C466" s="14" t="s">
        <v>629</v>
      </c>
      <c r="D466" s="14" t="s">
        <v>628</v>
      </c>
      <c r="E466" s="272">
        <v>1</v>
      </c>
      <c r="F466" s="98">
        <f>IF(VLOOKUP($D466,$C$5:$AU$519,3,)=0,0,(VLOOKUP($D466,$C$5:$AU$519,4,)/VLOOKUP($D466,$C$5:$AU$519,3,))*$E466)</f>
        <v>0.84257130472952801</v>
      </c>
      <c r="G466" s="98">
        <f>IF(VLOOKUP($D466,$C$5:$AU$519,3,)=0,0,(VLOOKUP($D466,$C$5:$AU$519,5,)/VLOOKUP($D466,$C$5:$AU$519,3,))*$E466)</f>
        <v>5.1324627278587519E-2</v>
      </c>
      <c r="H466" s="98">
        <f>IF(VLOOKUP($D466,$C$5:$AU$519,3,)=0,0,(VLOOKUP($D466,$C$5:$AU$519,6,)/VLOOKUP($D466,$C$5:$AU$519,3,))*$E466)</f>
        <v>8.1062944176775842E-2</v>
      </c>
      <c r="I466" s="98">
        <f>IF(VLOOKUP($D466,$C$5:$AU$519,3,)=0,0,(VLOOKUP($D466,$C$5:$AU$519,7,)/VLOOKUP($D466,$C$5:$AU$519,3,))*$E466)</f>
        <v>1.1049226018310305E-3</v>
      </c>
      <c r="J466" s="98">
        <f>IF(VLOOKUP($D466,$C$5:$AU$519,3,)=0,0,(VLOOKUP($D466,$C$5:$AU$519,8,)/VLOOKUP($D466,$C$5:$AU$519,3,))*$E466)</f>
        <v>1.377271317578301E-2</v>
      </c>
      <c r="K466" s="98">
        <f>IF(VLOOKUP($D466,$C$5:$AU$519,3,)=0,0,(VLOOKUP($D466,$C$5:$AU$519,9,)/VLOOKUP($D466,$C$5:$AU$519,3,))*$E466)</f>
        <v>9.2079810706400013E-3</v>
      </c>
      <c r="L466" s="98">
        <f>IF(VLOOKUP($D466,$C$5:$AU$519,3,)=0,0,(VLOOKUP($D466,$C$5:$AU$519,10,)/VLOOKUP($D466,$C$5:$AU$519,3,))*$E466)</f>
        <v>9.555069668546873E-4</v>
      </c>
      <c r="M466" s="98">
        <f>IF(VLOOKUP($D466,$C$5:$AU$519,3,)=0,0,(VLOOKUP($D466,$C$5:$AU$519,11,)/VLOOKUP($D466,$C$5:$AU$519,3,))*$E466)</f>
        <v>0</v>
      </c>
      <c r="N466" s="98">
        <f>IF(VLOOKUP($D466,$C$5:$AU$519,3,)=0,0,(VLOOKUP($D466,$C$5:$AU$519,12,)/VLOOKUP($D466,$C$5:$AU$519,3,))*$E466)</f>
        <v>0</v>
      </c>
      <c r="O466" s="98">
        <f>IF(VLOOKUP($D466,$C$5:$AU$519,3,)=0,0,(VLOOKUP($D466,$C$5:$AU$519,13,)/VLOOKUP($D466,$C$5:$AU$519,3,))*$E466)</f>
        <v>0</v>
      </c>
      <c r="P466" s="98">
        <f>IF(VLOOKUP($D466,$C$5:$AU$519,3,)=0,0,(VLOOKUP($D466,$C$5:$AU$519,14,)/VLOOKUP($D466,$C$5:$AU$519,3,))*$E466)</f>
        <v>0</v>
      </c>
      <c r="Q466" s="98">
        <f>IF(VLOOKUP($D466,$C$5:$AU$519,3,)=0,0,(VLOOKUP($D466,$C$5:$AU$519,15,)/VLOOKUP($D466,$C$5:$AU$519,3,))*$E466)</f>
        <v>0</v>
      </c>
      <c r="R466" s="98">
        <f>IF(VLOOKUP($D466,$C$5:$AU$519,3,)=0,0,(VLOOKUP($D466,$C$5:$AU$519,16,)/VLOOKUP($D466,$C$5:$AU$519,3,))*$E466)</f>
        <v>0</v>
      </c>
      <c r="S466" s="98">
        <f>IF(VLOOKUP($D466,$C$5:$AU$519,3,)=0,0,(VLOOKUP($D466,$C$5:$AU$519,17,)/VLOOKUP($D466,$C$5:$AU$519,3,))*$E466)</f>
        <v>0</v>
      </c>
      <c r="T466" s="98">
        <f>IF(VLOOKUP($D466,$C$5:$AU$519,3,)=0,0,(VLOOKUP($D466,$C$5:$AU$519,18,)/VLOOKUP($D466,$C$5:$AU$519,3,))*$E466)</f>
        <v>0</v>
      </c>
      <c r="U466" s="98">
        <f>IF(VLOOKUP($D466,$C$5:$AU$519,3,)=0,0,(VLOOKUP($D466,$C$5:$AU$519,19,)/VLOOKUP($D466,$C$5:$AU$519,3,))*$E466)</f>
        <v>0</v>
      </c>
      <c r="V466" s="98">
        <f>IF(VLOOKUP($D466,$C$5:$AU$519,3,)=0,0,(VLOOKUP($D466,$C$5:$AU$519,20,)/VLOOKUP($D466,$C$5:$AU$519,3,))*$E466)</f>
        <v>0</v>
      </c>
      <c r="W466" s="98">
        <f>IF(VLOOKUP($D466,$C$5:$AU$519,3,)=0,0,(VLOOKUP($D466,$C$5:$AU$519,21,)/VLOOKUP($D466,$C$5:$AU$519,3,))*$E466)</f>
        <v>0</v>
      </c>
      <c r="X466" s="98">
        <f>IF(VLOOKUP($D466,$C$5:$AU$519,3,)=0,0,(VLOOKUP($D466,$C$5:$AU$519,22,)/VLOOKUP($D466,$C$5:$AU$519,3,))*$E466)</f>
        <v>0</v>
      </c>
      <c r="Y466" s="98">
        <f>IF(VLOOKUP($D466,$C$5:$AU$519,3,)=0,0,(VLOOKUP($D466,$C$5:$AU$519,23,)/VLOOKUP($D466,$C$5:$AU$519,3,))*$E466)</f>
        <v>0</v>
      </c>
      <c r="Z466" s="98">
        <f>IF(VLOOKUP($D466,$C$5:$AU$519,3,)=0,0,(VLOOKUP($D466,$C$5:$AU$519,24,)/VLOOKUP($D466,$C$5:$AU$519,3,))*$E466)</f>
        <v>0</v>
      </c>
      <c r="AA466" s="98">
        <f>IF(VLOOKUP($D466,$C$5:$AU$519,3,)=0,0,(VLOOKUP($D466,$C$5:$AU$519,25,)/VLOOKUP($D466,$C$5:$AU$519,3,))*$E466)</f>
        <v>0</v>
      </c>
      <c r="AB466" s="98">
        <f>IF(VLOOKUP($D466,$C$5:$AU$519,3,)=0,0,(VLOOKUP($D466,$C$5:$AU$519,26,)/VLOOKUP($D466,$C$5:$AU$519,3,))*$E466)</f>
        <v>0</v>
      </c>
      <c r="AC466" s="98">
        <f>IF(VLOOKUP($D466,$C$5:$AU$519,3,)=0,0,(VLOOKUP($D466,$C$5:$AU$519,27,)/VLOOKUP($D466,$C$5:$AU$519,3,))*$E466)</f>
        <v>0</v>
      </c>
      <c r="AD466" s="98">
        <f>IF(VLOOKUP($D466,$C$5:$AU$519,3,)=0,0,(VLOOKUP($D466,$C$5:$AU$519,28,)/VLOOKUP($D466,$C$5:$AU$519,3,))*$E466)</f>
        <v>0</v>
      </c>
      <c r="AE466" s="98">
        <f>IF(VLOOKUP($D466,$C$5:$AU$519,3,)=0,0,(VLOOKUP($D466,$C$5:$AU$519,29,)/VLOOKUP($D466,$C$5:$AU$519,3,))*$E466)</f>
        <v>0</v>
      </c>
      <c r="AF466" s="98">
        <f>IF(VLOOKUP($D466,$C$5:$AU$519,3,)=0,0,(VLOOKUP($D466,$C$5:$AU$519,30,)/VLOOKUP($D466,$C$5:$AU$519,3,))*$E466)</f>
        <v>0</v>
      </c>
      <c r="AG466" s="98">
        <f>SUM(F466:AF466)</f>
        <v>1.0000000000000002</v>
      </c>
      <c r="AH466" s="29" t="str">
        <f t="shared" si="202"/>
        <v>ok</v>
      </c>
    </row>
    <row r="468" spans="1:35" x14ac:dyDescent="0.2">
      <c r="A468" s="14" t="s">
        <v>609</v>
      </c>
      <c r="C468" s="14" t="s">
        <v>613</v>
      </c>
      <c r="E468" s="255">
        <f>E447</f>
        <v>999529.00067907909</v>
      </c>
      <c r="F468" s="49">
        <f t="shared" ref="F468:AF468" si="204">F447</f>
        <v>757257.62731976341</v>
      </c>
      <c r="G468" s="49">
        <f t="shared" si="204"/>
        <v>67301.092335630135</v>
      </c>
      <c r="H468" s="49">
        <f t="shared" si="204"/>
        <v>137975.88371285732</v>
      </c>
      <c r="I468" s="49">
        <f t="shared" si="204"/>
        <v>1948.7991851892573</v>
      </c>
      <c r="J468" s="49">
        <f t="shared" si="204"/>
        <v>19851.41497151701</v>
      </c>
      <c r="K468" s="49">
        <f t="shared" si="204"/>
        <v>13770.755017921148</v>
      </c>
      <c r="L468" s="49">
        <f t="shared" si="204"/>
        <v>1423.4281362007168</v>
      </c>
      <c r="M468" s="49">
        <f t="shared" si="204"/>
        <v>0</v>
      </c>
      <c r="N468" s="49">
        <f t="shared" si="204"/>
        <v>0</v>
      </c>
      <c r="O468" s="49">
        <f t="shared" si="204"/>
        <v>0</v>
      </c>
      <c r="P468" s="49">
        <f t="shared" si="204"/>
        <v>0</v>
      </c>
      <c r="Q468" s="49">
        <f t="shared" si="204"/>
        <v>0</v>
      </c>
      <c r="R468" s="49">
        <f t="shared" si="204"/>
        <v>0</v>
      </c>
      <c r="S468" s="49">
        <f t="shared" si="204"/>
        <v>0</v>
      </c>
      <c r="T468" s="49">
        <f t="shared" si="204"/>
        <v>0</v>
      </c>
      <c r="U468" s="49">
        <f t="shared" si="204"/>
        <v>0</v>
      </c>
      <c r="V468" s="49">
        <f t="shared" si="204"/>
        <v>0</v>
      </c>
      <c r="W468" s="49">
        <f t="shared" si="204"/>
        <v>0</v>
      </c>
      <c r="X468" s="49">
        <f t="shared" si="204"/>
        <v>0</v>
      </c>
      <c r="Y468" s="49">
        <f t="shared" si="204"/>
        <v>0</v>
      </c>
      <c r="Z468" s="49">
        <f t="shared" si="204"/>
        <v>0</v>
      </c>
      <c r="AA468" s="49">
        <f t="shared" si="204"/>
        <v>0</v>
      </c>
      <c r="AB468" s="49">
        <f t="shared" si="204"/>
        <v>0</v>
      </c>
      <c r="AC468" s="49">
        <f t="shared" si="204"/>
        <v>0</v>
      </c>
      <c r="AD468" s="49">
        <f t="shared" si="204"/>
        <v>0</v>
      </c>
      <c r="AE468" s="49">
        <f t="shared" si="204"/>
        <v>0</v>
      </c>
      <c r="AF468" s="49">
        <f t="shared" si="204"/>
        <v>0</v>
      </c>
      <c r="AG468" s="90">
        <f>SUM(F468:AF468)</f>
        <v>999529.00067907909</v>
      </c>
      <c r="AH468" s="29" t="str">
        <f t="shared" ref="AH468:AH473" si="205">IF(ABS(E468-AG468)&lt;0.01,"ok","err")</f>
        <v>ok</v>
      </c>
    </row>
    <row r="469" spans="1:35" x14ac:dyDescent="0.2">
      <c r="A469" s="14" t="s">
        <v>610</v>
      </c>
      <c r="E469" s="274">
        <f>'Func &amp; Classif'!M56</f>
        <v>17773236.490000002</v>
      </c>
      <c r="AG469" s="195">
        <f>E469</f>
        <v>17773236.490000002</v>
      </c>
      <c r="AH469" s="29" t="str">
        <f t="shared" si="205"/>
        <v>ok</v>
      </c>
    </row>
    <row r="470" spans="1:35" x14ac:dyDescent="0.2">
      <c r="A470" s="14" t="s">
        <v>594</v>
      </c>
      <c r="E470" s="255"/>
      <c r="F470" s="49"/>
      <c r="G470" s="49"/>
      <c r="H470" s="49"/>
      <c r="I470" s="49"/>
      <c r="J470" s="49"/>
      <c r="K470" s="49"/>
      <c r="L470" s="49"/>
      <c r="M470" s="49">
        <v>0</v>
      </c>
      <c r="N470" s="49">
        <v>0</v>
      </c>
      <c r="O470" s="65"/>
      <c r="P470" s="49"/>
      <c r="AG470" s="90">
        <f>SUM(F470:AF470)</f>
        <v>0</v>
      </c>
      <c r="AH470" s="29" t="str">
        <f t="shared" si="205"/>
        <v>ok</v>
      </c>
    </row>
    <row r="471" spans="1:35" x14ac:dyDescent="0.2">
      <c r="A471" s="14" t="s">
        <v>611</v>
      </c>
      <c r="D471" s="14" t="s">
        <v>613</v>
      </c>
      <c r="E471" s="274">
        <f>E469-E470</f>
        <v>17773236.490000002</v>
      </c>
      <c r="F471" s="65">
        <f>IF(VLOOKUP($D471,$C$5:$AU$519,3,)=0,0,(VLOOKUP($D471,$C$5:$AU$519,4,)/VLOOKUP($D471,$C$5:$AU$519,3,))*$E471)</f>
        <v>13465261.023008302</v>
      </c>
      <c r="G471" s="65">
        <f>IF(VLOOKUP($D471,$C$5:$AU$519,3,)=0,0,(VLOOKUP($D471,$C$5:$AU$519,5,)/VLOOKUP($D471,$C$5:$AU$519,3,))*$E471)</f>
        <v>1196721.8853117942</v>
      </c>
      <c r="H471" s="65">
        <f>IF(VLOOKUP($D471,$C$5:$AU$519,3,)=0,0,(VLOOKUP($D471,$C$5:$AU$519,6,)/VLOOKUP($D471,$C$5:$AU$519,3,))*$E471)</f>
        <v>2453433.5766939004</v>
      </c>
      <c r="I471" s="65">
        <f>IF(VLOOKUP($D471,$C$5:$AU$519,3,)=0,0,(VLOOKUP($D471,$C$5:$AU$519,7,)/VLOOKUP($D471,$C$5:$AU$519,3,))*$E471)</f>
        <v>34652.790230554587</v>
      </c>
      <c r="J471" s="65">
        <f>IF(VLOOKUP($D471,$C$5:$AU$519,3,)=0,0,(VLOOKUP($D471,$C$5:$AU$519,8,)/VLOOKUP($D471,$C$5:$AU$519,3,))*$E471)</f>
        <v>352990.15107134485</v>
      </c>
      <c r="K471" s="65">
        <f>IF(VLOOKUP($D471,$C$5:$AU$519,3,)=0,0,(VLOOKUP($D471,$C$5:$AU$519,9,)/VLOOKUP($D471,$C$5:$AU$519,3,))*$E471)</f>
        <v>244866.21740147937</v>
      </c>
      <c r="L471" s="65">
        <f>IF(VLOOKUP($D471,$C$5:$AU$519,3,)=0,0,(VLOOKUP($D471,$C$5:$AU$519,10,)/VLOOKUP($D471,$C$5:$AU$519,3,))*$E471)</f>
        <v>25310.846282626324</v>
      </c>
      <c r="M471" s="65">
        <f>IF(VLOOKUP($D471,$C$5:$AU$519,3,)=0,0,(VLOOKUP($D471,$C$5:$AU$519,11,)/VLOOKUP($D471,$C$5:$AU$519,3,))*$E471)</f>
        <v>0</v>
      </c>
      <c r="N471" s="65">
        <f>IF(VLOOKUP($D471,$C$5:$AU$519,3,)=0,0,(VLOOKUP($D471,$C$5:$AU$519,12,)/VLOOKUP($D471,$C$5:$AU$519,3,))*$E471)</f>
        <v>0</v>
      </c>
      <c r="O471" s="65">
        <f>IF(VLOOKUP($D471,$C$5:$AU$519,3,)=0,0,(VLOOKUP($D471,$C$5:$AU$519,13,)/VLOOKUP($D471,$C$5:$AU$519,3,))*$E471)</f>
        <v>0</v>
      </c>
      <c r="P471" s="65">
        <f>IF(VLOOKUP($D471,$C$5:$AU$519,3,)=0,0,(VLOOKUP($D471,$C$5:$AU$519,14,)/VLOOKUP($D471,$C$5:$AU$519,3,))*$E471)</f>
        <v>0</v>
      </c>
      <c r="Q471" s="65">
        <f>IF(VLOOKUP($D471,$C$5:$AU$519,3,)=0,0,(VLOOKUP($D471,$C$5:$AU$519,15,)/VLOOKUP($D471,$C$5:$AU$519,3,))*$E471)</f>
        <v>0</v>
      </c>
      <c r="R471" s="65">
        <f>IF(VLOOKUP($D471,$C$5:$AU$519,3,)=0,0,(VLOOKUP($D471,$C$5:$AU$519,16,)/VLOOKUP($D471,$C$5:$AU$519,3,))*$E471)</f>
        <v>0</v>
      </c>
      <c r="S471" s="65">
        <f>IF(VLOOKUP($D471,$C$5:$AU$519,3,)=0,0,(VLOOKUP($D471,$C$5:$AU$519,17,)/VLOOKUP($D471,$C$5:$AU$519,3,))*$E471)</f>
        <v>0</v>
      </c>
      <c r="T471" s="65">
        <f>IF(VLOOKUP($D471,$C$5:$AU$519,3,)=0,0,(VLOOKUP($D471,$C$5:$AU$519,18,)/VLOOKUP($D471,$C$5:$AU$519,3,))*$E471)</f>
        <v>0</v>
      </c>
      <c r="U471" s="65">
        <f>IF(VLOOKUP($D471,$C$5:$AU$519,3,)=0,0,(VLOOKUP($D471,$C$5:$AU$519,19,)/VLOOKUP($D471,$C$5:$AU$519,3,))*$E471)</f>
        <v>0</v>
      </c>
      <c r="V471" s="65">
        <f>IF(VLOOKUP($D471,$C$5:$AU$519,3,)=0,0,(VLOOKUP($D471,$C$5:$AU$519,20,)/VLOOKUP($D471,$C$5:$AU$519,3,))*$E471)</f>
        <v>0</v>
      </c>
      <c r="W471" s="65">
        <f>IF(VLOOKUP($D471,$C$5:$AU$519,3,)=0,0,(VLOOKUP($D471,$C$5:$AU$519,21,)/VLOOKUP($D471,$C$5:$AU$519,3,))*$E471)</f>
        <v>0</v>
      </c>
      <c r="X471" s="65">
        <f>IF(VLOOKUP($D471,$C$5:$AU$519,3,)=0,0,(VLOOKUP($D471,$C$5:$AU$519,22,)/VLOOKUP($D471,$C$5:$AU$519,3,))*$E471)</f>
        <v>0</v>
      </c>
      <c r="Y471" s="65">
        <f>IF(VLOOKUP($D471,$C$5:$AU$519,3,)=0,0,(VLOOKUP($D471,$C$5:$AU$519,23,)/VLOOKUP($D471,$C$5:$AU$519,3,))*$E471)</f>
        <v>0</v>
      </c>
      <c r="Z471" s="65">
        <f>IF(VLOOKUP($D471,$C$5:$AU$519,3,)=0,0,(VLOOKUP($D471,$C$5:$AU$519,24,)/VLOOKUP($D471,$C$5:$AU$519,3,))*$E471)</f>
        <v>0</v>
      </c>
      <c r="AA471" s="65">
        <f>IF(VLOOKUP($D471,$C$5:$AU$519,3,)=0,0,(VLOOKUP($D471,$C$5:$AU$519,25,)/VLOOKUP($D471,$C$5:$AU$519,3,))*$E471)</f>
        <v>0</v>
      </c>
      <c r="AB471" s="65">
        <f>IF(VLOOKUP($D471,$C$5:$AU$519,3,)=0,0,(VLOOKUP($D471,$C$5:$AU$519,26,)/VLOOKUP($D471,$C$5:$AU$519,3,))*$E471)</f>
        <v>0</v>
      </c>
      <c r="AC471" s="65">
        <f>IF(VLOOKUP($D471,$C$5:$AU$519,3,)=0,0,(VLOOKUP($D471,$C$5:$AU$519,27,)/VLOOKUP($D471,$C$5:$AU$519,3,))*$E471)</f>
        <v>0</v>
      </c>
      <c r="AD471" s="65">
        <f>IF(VLOOKUP($D471,$C$5:$AU$519,3,)=0,0,(VLOOKUP($D471,$C$5:$AU$519,28,)/VLOOKUP($D471,$C$5:$AU$519,3,))*$E471)</f>
        <v>0</v>
      </c>
      <c r="AE471" s="65">
        <f>IF(VLOOKUP($D471,$C$5:$AU$519,3,)=0,0,(VLOOKUP($D471,$C$5:$AU$519,29,)/VLOOKUP($D471,$C$5:$AU$519,3,))*$E471)</f>
        <v>0</v>
      </c>
      <c r="AF471" s="65">
        <f>IF(VLOOKUP($D471,$C$5:$AU$519,3,)=0,0,(VLOOKUP($D471,$C$5:$AU$519,30,)/VLOOKUP($D471,$C$5:$AU$519,3,))*$E471)</f>
        <v>0</v>
      </c>
      <c r="AG471" s="195">
        <f>SUM(F471:AF471)</f>
        <v>17773236.489999998</v>
      </c>
      <c r="AH471" s="29" t="str">
        <f t="shared" si="205"/>
        <v>ok</v>
      </c>
      <c r="AI471" s="48">
        <f>AG471-E471</f>
        <v>0</v>
      </c>
    </row>
    <row r="472" spans="1:35" x14ac:dyDescent="0.2">
      <c r="A472" s="14" t="s">
        <v>612</v>
      </c>
      <c r="C472" s="14" t="s">
        <v>614</v>
      </c>
      <c r="E472" s="256">
        <f t="shared" ref="E472:AF472" si="206">E470+E471</f>
        <v>17773236.490000002</v>
      </c>
      <c r="F472" s="90">
        <f t="shared" si="206"/>
        <v>13465261.023008302</v>
      </c>
      <c r="G472" s="90">
        <f t="shared" si="206"/>
        <v>1196721.8853117942</v>
      </c>
      <c r="H472" s="90">
        <f t="shared" si="206"/>
        <v>2453433.5766939004</v>
      </c>
      <c r="I472" s="90">
        <f t="shared" si="206"/>
        <v>34652.790230554587</v>
      </c>
      <c r="J472" s="90">
        <f t="shared" si="206"/>
        <v>352990.15107134485</v>
      </c>
      <c r="K472" s="90">
        <f t="shared" si="206"/>
        <v>244866.21740147937</v>
      </c>
      <c r="L472" s="90">
        <f t="shared" si="206"/>
        <v>25310.846282626324</v>
      </c>
      <c r="M472" s="90">
        <f t="shared" si="206"/>
        <v>0</v>
      </c>
      <c r="N472" s="90">
        <f t="shared" si="206"/>
        <v>0</v>
      </c>
      <c r="O472" s="90">
        <f t="shared" si="206"/>
        <v>0</v>
      </c>
      <c r="P472" s="90">
        <f t="shared" si="206"/>
        <v>0</v>
      </c>
      <c r="Q472" s="90">
        <f t="shared" si="206"/>
        <v>0</v>
      </c>
      <c r="R472" s="90">
        <f t="shared" si="206"/>
        <v>0</v>
      </c>
      <c r="S472" s="90">
        <f t="shared" si="206"/>
        <v>0</v>
      </c>
      <c r="T472" s="90">
        <f t="shared" si="206"/>
        <v>0</v>
      </c>
      <c r="U472" s="90">
        <f t="shared" si="206"/>
        <v>0</v>
      </c>
      <c r="V472" s="90">
        <f t="shared" si="206"/>
        <v>0</v>
      </c>
      <c r="W472" s="90">
        <f t="shared" si="206"/>
        <v>0</v>
      </c>
      <c r="X472" s="90">
        <f t="shared" si="206"/>
        <v>0</v>
      </c>
      <c r="Y472" s="90">
        <f t="shared" si="206"/>
        <v>0</v>
      </c>
      <c r="Z472" s="90">
        <f t="shared" si="206"/>
        <v>0</v>
      </c>
      <c r="AA472" s="90">
        <f t="shared" si="206"/>
        <v>0</v>
      </c>
      <c r="AB472" s="90">
        <f t="shared" si="206"/>
        <v>0</v>
      </c>
      <c r="AC472" s="90">
        <f t="shared" si="206"/>
        <v>0</v>
      </c>
      <c r="AD472" s="90">
        <f t="shared" si="206"/>
        <v>0</v>
      </c>
      <c r="AE472" s="90">
        <f t="shared" si="206"/>
        <v>0</v>
      </c>
      <c r="AF472" s="90">
        <f t="shared" si="206"/>
        <v>0</v>
      </c>
      <c r="AG472" s="90">
        <f>SUM(F472:AF472)</f>
        <v>17773236.489999998</v>
      </c>
      <c r="AH472" s="29" t="str">
        <f t="shared" si="205"/>
        <v>ok</v>
      </c>
    </row>
    <row r="473" spans="1:35" x14ac:dyDescent="0.2">
      <c r="A473" s="14" t="s">
        <v>636</v>
      </c>
      <c r="C473" s="14" t="s">
        <v>615</v>
      </c>
      <c r="D473" s="14" t="s">
        <v>614</v>
      </c>
      <c r="E473" s="272">
        <v>1</v>
      </c>
      <c r="F473" s="98">
        <f>IF(VLOOKUP($D473,$C$5:$AU$519,3,)=0,0,(VLOOKUP($D473,$C$5:$AU$519,4,)/VLOOKUP($D473,$C$5:$AU$519,3,))*$E473)</f>
        <v>0.75761446321745873</v>
      </c>
      <c r="G473" s="98">
        <f>IF(VLOOKUP($D473,$C$5:$AU$519,3,)=0,0,(VLOOKUP($D473,$C$5:$AU$519,5,)/VLOOKUP($D473,$C$5:$AU$519,3,))*$E473)</f>
        <v>6.733280604155141E-2</v>
      </c>
      <c r="H473" s="98">
        <f>IF(VLOOKUP($D473,$C$5:$AU$519,3,)=0,0,(VLOOKUP($D473,$C$5:$AU$519,6,)/VLOOKUP($D473,$C$5:$AU$519,3,))*$E473)</f>
        <v>0.13804090088343274</v>
      </c>
      <c r="I473" s="98">
        <f>IF(VLOOKUP($D473,$C$5:$AU$519,3,)=0,0,(VLOOKUP($D473,$C$5:$AU$519,7,)/VLOOKUP($D473,$C$5:$AU$519,3,))*$E473)</f>
        <v>1.9497175008081256E-3</v>
      </c>
      <c r="J473" s="98">
        <f>IF(VLOOKUP($D473,$C$5:$AU$519,3,)=0,0,(VLOOKUP($D473,$C$5:$AU$519,8,)/VLOOKUP($D473,$C$5:$AU$519,3,))*$E473)</f>
        <v>1.986076938040815E-2</v>
      </c>
      <c r="K473" s="98">
        <f>IF(VLOOKUP($D473,$C$5:$AU$519,3,)=0,0,(VLOOKUP($D473,$C$5:$AU$519,9,)/VLOOKUP($D473,$C$5:$AU$519,3,))*$E473)</f>
        <v>1.3777244090531951E-2</v>
      </c>
      <c r="L473" s="98">
        <f>IF(VLOOKUP($D473,$C$5:$AU$519,3,)=0,0,(VLOOKUP($D473,$C$5:$AU$519,10,)/VLOOKUP($D473,$C$5:$AU$519,3,))*$E473)</f>
        <v>1.424098885808857E-3</v>
      </c>
      <c r="M473" s="98">
        <f>IF(VLOOKUP($D473,$C$5:$AU$519,3,)=0,0,(VLOOKUP($D473,$C$5:$AU$519,11,)/VLOOKUP($D473,$C$5:$AU$519,3,))*$E473)</f>
        <v>0</v>
      </c>
      <c r="N473" s="98">
        <f>IF(VLOOKUP($D473,$C$5:$AU$519,3,)=0,0,(VLOOKUP($D473,$C$5:$AU$519,12,)/VLOOKUP($D473,$C$5:$AU$519,3,))*$E473)</f>
        <v>0</v>
      </c>
      <c r="O473" s="98">
        <f>IF(VLOOKUP($D473,$C$5:$AU$519,3,)=0,0,(VLOOKUP($D473,$C$5:$AU$519,13,)/VLOOKUP($D473,$C$5:$AU$519,3,))*$E473)</f>
        <v>0</v>
      </c>
      <c r="P473" s="98">
        <f>IF(VLOOKUP($D473,$C$5:$AU$519,3,)=0,0,(VLOOKUP($D473,$C$5:$AU$519,14,)/VLOOKUP($D473,$C$5:$AU$519,3,))*$E473)</f>
        <v>0</v>
      </c>
      <c r="Q473" s="98">
        <f>IF(VLOOKUP($D473,$C$5:$AU$519,3,)=0,0,(VLOOKUP($D473,$C$5:$AU$519,15,)/VLOOKUP($D473,$C$5:$AU$519,3,))*$E473)</f>
        <v>0</v>
      </c>
      <c r="R473" s="98">
        <f>IF(VLOOKUP($D473,$C$5:$AU$519,3,)=0,0,(VLOOKUP($D473,$C$5:$AU$519,16,)/VLOOKUP($D473,$C$5:$AU$519,3,))*$E473)</f>
        <v>0</v>
      </c>
      <c r="S473" s="98">
        <f>IF(VLOOKUP($D473,$C$5:$AU$519,3,)=0,0,(VLOOKUP($D473,$C$5:$AU$519,17,)/VLOOKUP($D473,$C$5:$AU$519,3,))*$E473)</f>
        <v>0</v>
      </c>
      <c r="T473" s="98">
        <f>IF(VLOOKUP($D473,$C$5:$AU$519,3,)=0,0,(VLOOKUP($D473,$C$5:$AU$519,18,)/VLOOKUP($D473,$C$5:$AU$519,3,))*$E473)</f>
        <v>0</v>
      </c>
      <c r="U473" s="98">
        <f>IF(VLOOKUP($D473,$C$5:$AU$519,3,)=0,0,(VLOOKUP($D473,$C$5:$AU$519,19,)/VLOOKUP($D473,$C$5:$AU$519,3,))*$E473)</f>
        <v>0</v>
      </c>
      <c r="V473" s="98">
        <f>IF(VLOOKUP($D473,$C$5:$AU$519,3,)=0,0,(VLOOKUP($D473,$C$5:$AU$519,20,)/VLOOKUP($D473,$C$5:$AU$519,3,))*$E473)</f>
        <v>0</v>
      </c>
      <c r="W473" s="98">
        <f>IF(VLOOKUP($D473,$C$5:$AU$519,3,)=0,0,(VLOOKUP($D473,$C$5:$AU$519,21,)/VLOOKUP($D473,$C$5:$AU$519,3,))*$E473)</f>
        <v>0</v>
      </c>
      <c r="X473" s="98">
        <f>IF(VLOOKUP($D473,$C$5:$AU$519,3,)=0,0,(VLOOKUP($D473,$C$5:$AU$519,22,)/VLOOKUP($D473,$C$5:$AU$519,3,))*$E473)</f>
        <v>0</v>
      </c>
      <c r="Y473" s="98">
        <f>IF(VLOOKUP($D473,$C$5:$AU$519,3,)=0,0,(VLOOKUP($D473,$C$5:$AU$519,23,)/VLOOKUP($D473,$C$5:$AU$519,3,))*$E473)</f>
        <v>0</v>
      </c>
      <c r="Z473" s="98">
        <f>IF(VLOOKUP($D473,$C$5:$AU$519,3,)=0,0,(VLOOKUP($D473,$C$5:$AU$519,24,)/VLOOKUP($D473,$C$5:$AU$519,3,))*$E473)</f>
        <v>0</v>
      </c>
      <c r="AA473" s="98">
        <f>IF(VLOOKUP($D473,$C$5:$AU$519,3,)=0,0,(VLOOKUP($D473,$C$5:$AU$519,25,)/VLOOKUP($D473,$C$5:$AU$519,3,))*$E473)</f>
        <v>0</v>
      </c>
      <c r="AB473" s="98">
        <f>IF(VLOOKUP($D473,$C$5:$AU$519,3,)=0,0,(VLOOKUP($D473,$C$5:$AU$519,26,)/VLOOKUP($D473,$C$5:$AU$519,3,))*$E473)</f>
        <v>0</v>
      </c>
      <c r="AC473" s="98">
        <f>IF(VLOOKUP($D473,$C$5:$AU$519,3,)=0,0,(VLOOKUP($D473,$C$5:$AU$519,27,)/VLOOKUP($D473,$C$5:$AU$519,3,))*$E473)</f>
        <v>0</v>
      </c>
      <c r="AD473" s="98">
        <f>IF(VLOOKUP($D473,$C$5:$AU$519,3,)=0,0,(VLOOKUP($D473,$C$5:$AU$519,28,)/VLOOKUP($D473,$C$5:$AU$519,3,))*$E473)</f>
        <v>0</v>
      </c>
      <c r="AE473" s="98">
        <f>IF(VLOOKUP($D473,$C$5:$AU$519,3,)=0,0,(VLOOKUP($D473,$C$5:$AU$519,29,)/VLOOKUP($D473,$C$5:$AU$519,3,))*$E473)</f>
        <v>0</v>
      </c>
      <c r="AF473" s="98">
        <f>IF(VLOOKUP($D473,$C$5:$AU$519,3,)=0,0,(VLOOKUP($D473,$C$5:$AU$519,30,)/VLOOKUP($D473,$C$5:$AU$519,3,))*$E473)</f>
        <v>0</v>
      </c>
      <c r="AG473" s="98">
        <f>SUM(F473:AF473)</f>
        <v>1</v>
      </c>
      <c r="AH473" s="29" t="str">
        <f t="shared" si="205"/>
        <v>ok</v>
      </c>
    </row>
    <row r="475" spans="1:35" x14ac:dyDescent="0.2">
      <c r="A475" s="14" t="s">
        <v>609</v>
      </c>
      <c r="C475" s="14" t="s">
        <v>630</v>
      </c>
      <c r="E475" s="254">
        <f>E468</f>
        <v>999529.00067907909</v>
      </c>
      <c r="F475" s="49">
        <f>F468</f>
        <v>757257.62731976341</v>
      </c>
      <c r="G475" s="49">
        <f t="shared" ref="G475:AF475" si="207">G468</f>
        <v>67301.092335630135</v>
      </c>
      <c r="H475" s="49">
        <f t="shared" si="207"/>
        <v>137975.88371285732</v>
      </c>
      <c r="I475" s="49">
        <f t="shared" si="207"/>
        <v>1948.7991851892573</v>
      </c>
      <c r="J475" s="49">
        <f t="shared" si="207"/>
        <v>19851.41497151701</v>
      </c>
      <c r="K475" s="49">
        <f t="shared" si="207"/>
        <v>13770.755017921148</v>
      </c>
      <c r="L475" s="49">
        <f t="shared" si="207"/>
        <v>1423.4281362007168</v>
      </c>
      <c r="M475" s="49">
        <f t="shared" si="207"/>
        <v>0</v>
      </c>
      <c r="N475" s="49">
        <f t="shared" si="207"/>
        <v>0</v>
      </c>
      <c r="O475" s="49">
        <f t="shared" si="207"/>
        <v>0</v>
      </c>
      <c r="P475" s="49">
        <f t="shared" si="207"/>
        <v>0</v>
      </c>
      <c r="Q475" s="49">
        <f t="shared" si="207"/>
        <v>0</v>
      </c>
      <c r="R475" s="49">
        <f t="shared" si="207"/>
        <v>0</v>
      </c>
      <c r="S475" s="49">
        <f t="shared" si="207"/>
        <v>0</v>
      </c>
      <c r="T475" s="49">
        <f t="shared" si="207"/>
        <v>0</v>
      </c>
      <c r="U475" s="49">
        <f t="shared" si="207"/>
        <v>0</v>
      </c>
      <c r="V475" s="49">
        <f t="shared" si="207"/>
        <v>0</v>
      </c>
      <c r="W475" s="49">
        <f t="shared" si="207"/>
        <v>0</v>
      </c>
      <c r="X475" s="49">
        <f t="shared" si="207"/>
        <v>0</v>
      </c>
      <c r="Y475" s="49">
        <f t="shared" si="207"/>
        <v>0</v>
      </c>
      <c r="Z475" s="49">
        <f t="shared" si="207"/>
        <v>0</v>
      </c>
      <c r="AA475" s="49">
        <f t="shared" si="207"/>
        <v>0</v>
      </c>
      <c r="AB475" s="49">
        <f t="shared" si="207"/>
        <v>0</v>
      </c>
      <c r="AC475" s="49">
        <f t="shared" si="207"/>
        <v>0</v>
      </c>
      <c r="AD475" s="49">
        <f t="shared" si="207"/>
        <v>0</v>
      </c>
      <c r="AE475" s="49">
        <f t="shared" si="207"/>
        <v>0</v>
      </c>
      <c r="AF475" s="49">
        <f t="shared" si="207"/>
        <v>0</v>
      </c>
      <c r="AG475" s="90">
        <f>SUM(F475:AF475)</f>
        <v>999529.00067907909</v>
      </c>
      <c r="AH475" s="29" t="str">
        <f t="shared" ref="AH475:AH480" si="208">IF(ABS(E475-AG475)&lt;0.01,"ok","err")</f>
        <v>ok</v>
      </c>
    </row>
    <row r="476" spans="1:35" x14ac:dyDescent="0.2">
      <c r="A476" s="14" t="s">
        <v>610</v>
      </c>
      <c r="E476" s="256">
        <f>E469</f>
        <v>17773236.490000002</v>
      </c>
      <c r="AG476" s="90">
        <f>E476</f>
        <v>17773236.490000002</v>
      </c>
      <c r="AH476" s="29" t="str">
        <f t="shared" si="208"/>
        <v>ok</v>
      </c>
    </row>
    <row r="477" spans="1:35" x14ac:dyDescent="0.2">
      <c r="A477" s="14" t="s">
        <v>594</v>
      </c>
      <c r="E477" s="255"/>
      <c r="M477" s="49">
        <v>0</v>
      </c>
      <c r="N477" s="49">
        <v>0</v>
      </c>
      <c r="O477" s="49"/>
      <c r="P477" s="49"/>
      <c r="Q477" s="14">
        <v>0</v>
      </c>
      <c r="R477" s="14">
        <v>0</v>
      </c>
      <c r="S477" s="14">
        <v>0</v>
      </c>
      <c r="AD477" s="65">
        <v>0</v>
      </c>
      <c r="AE477" s="65"/>
      <c r="AG477" s="90">
        <f>SUM(F477:AF477)</f>
        <v>0</v>
      </c>
      <c r="AH477" s="29" t="str">
        <f t="shared" si="208"/>
        <v>ok</v>
      </c>
    </row>
    <row r="478" spans="1:35" x14ac:dyDescent="0.2">
      <c r="A478" s="14" t="s">
        <v>611</v>
      </c>
      <c r="D478" s="14" t="s">
        <v>630</v>
      </c>
      <c r="E478" s="256">
        <f>E476-E477</f>
        <v>17773236.490000002</v>
      </c>
      <c r="F478" s="65">
        <f>IF(VLOOKUP($D478,$C$5:$AU$519,3,)=0,0,(VLOOKUP($D478,$C$5:$AU$519,4,)/VLOOKUP($D478,$C$5:$AU$519,3,))*$E478)</f>
        <v>13465261.023008302</v>
      </c>
      <c r="G478" s="65">
        <f>IF(VLOOKUP($D478,$C$5:$AU$519,3,)=0,0,(VLOOKUP($D478,$C$5:$AU$519,5,)/VLOOKUP($D478,$C$5:$AU$519,3,))*$E478)</f>
        <v>1196721.8853117942</v>
      </c>
      <c r="H478" s="65">
        <f>IF(VLOOKUP($D478,$C$5:$AU$519,3,)=0,0,(VLOOKUP($D478,$C$5:$AU$519,6,)/VLOOKUP($D478,$C$5:$AU$519,3,))*$E478)</f>
        <v>2453433.5766939004</v>
      </c>
      <c r="I478" s="65">
        <f>IF(VLOOKUP($D478,$C$5:$AU$519,3,)=0,0,(VLOOKUP($D478,$C$5:$AU$519,7,)/VLOOKUP($D478,$C$5:$AU$519,3,))*$E478)</f>
        <v>34652.790230554587</v>
      </c>
      <c r="J478" s="65">
        <f>IF(VLOOKUP($D478,$C$5:$AU$519,3,)=0,0,(VLOOKUP($D478,$C$5:$AU$519,8,)/VLOOKUP($D478,$C$5:$AU$519,3,))*$E478)</f>
        <v>352990.15107134485</v>
      </c>
      <c r="K478" s="65">
        <f>IF(VLOOKUP($D478,$C$5:$AU$519,3,)=0,0,(VLOOKUP($D478,$C$5:$AU$519,9,)/VLOOKUP($D478,$C$5:$AU$519,3,))*$E478)</f>
        <v>244866.21740147937</v>
      </c>
      <c r="L478" s="65">
        <f>IF(VLOOKUP($D478,$C$5:$AU$519,3,)=0,0,(VLOOKUP($D478,$C$5:$AU$519,10,)/VLOOKUP($D478,$C$5:$AU$519,3,))*$E478)</f>
        <v>25310.846282626324</v>
      </c>
      <c r="M478" s="65">
        <f>IF(VLOOKUP($D478,$C$5:$AU$519,3,)=0,0,(VLOOKUP($D478,$C$5:$AU$519,11,)/VLOOKUP($D478,$C$5:$AU$519,3,))*$E478)</f>
        <v>0</v>
      </c>
      <c r="N478" s="65">
        <f>IF(VLOOKUP($D478,$C$5:$AU$519,3,)=0,0,(VLOOKUP($D478,$C$5:$AU$519,12,)/VLOOKUP($D478,$C$5:$AU$519,3,))*$E478)</f>
        <v>0</v>
      </c>
      <c r="O478" s="65">
        <f>IF(VLOOKUP($D478,$C$5:$AU$519,3,)=0,0,(VLOOKUP($D478,$C$5:$AU$519,13,)/VLOOKUP($D478,$C$5:$AU$519,3,))*$E478)</f>
        <v>0</v>
      </c>
      <c r="P478" s="65">
        <f>IF(VLOOKUP($D478,$C$5:$AU$519,3,)=0,0,(VLOOKUP($D478,$C$5:$AU$519,14,)/VLOOKUP($D478,$C$5:$AU$519,3,))*$E478)</f>
        <v>0</v>
      </c>
      <c r="Q478" s="65">
        <f>IF(VLOOKUP($D478,$C$5:$AU$519,3,)=0,0,(VLOOKUP($D478,$C$5:$AU$519,15,)/VLOOKUP($D478,$C$5:$AU$519,3,))*$E478)</f>
        <v>0</v>
      </c>
      <c r="R478" s="65">
        <f>IF(VLOOKUP($D478,$C$5:$AU$519,3,)=0,0,(VLOOKUP($D478,$C$5:$AU$519,16,)/VLOOKUP($D478,$C$5:$AU$519,3,))*$E478)</f>
        <v>0</v>
      </c>
      <c r="S478" s="65">
        <f>IF(VLOOKUP($D478,$C$5:$AU$519,3,)=0,0,(VLOOKUP($D478,$C$5:$AU$519,17,)/VLOOKUP($D478,$C$5:$AU$519,3,))*$E478)</f>
        <v>0</v>
      </c>
      <c r="T478" s="65">
        <f>IF(VLOOKUP($D478,$C$5:$AU$519,3,)=0,0,(VLOOKUP($D478,$C$5:$AU$519,18,)/VLOOKUP($D478,$C$5:$AU$519,3,))*$E478)</f>
        <v>0</v>
      </c>
      <c r="U478" s="65">
        <f>IF(VLOOKUP($D478,$C$5:$AU$519,3,)=0,0,(VLOOKUP($D478,$C$5:$AU$519,19,)/VLOOKUP($D478,$C$5:$AU$519,3,))*$E478)</f>
        <v>0</v>
      </c>
      <c r="V478" s="65">
        <f>IF(VLOOKUP($D478,$C$5:$AU$519,3,)=0,0,(VLOOKUP($D478,$C$5:$AU$519,20,)/VLOOKUP($D478,$C$5:$AU$519,3,))*$E478)</f>
        <v>0</v>
      </c>
      <c r="W478" s="65">
        <f>IF(VLOOKUP($D478,$C$5:$AU$519,3,)=0,0,(VLOOKUP($D478,$C$5:$AU$519,21,)/VLOOKUP($D478,$C$5:$AU$519,3,))*$E478)</f>
        <v>0</v>
      </c>
      <c r="X478" s="65">
        <f>IF(VLOOKUP($D478,$C$5:$AU$519,3,)=0,0,(VLOOKUP($D478,$C$5:$AU$519,22,)/VLOOKUP($D478,$C$5:$AU$519,3,))*$E478)</f>
        <v>0</v>
      </c>
      <c r="Y478" s="65">
        <f>IF(VLOOKUP($D478,$C$5:$AU$519,3,)=0,0,(VLOOKUP($D478,$C$5:$AU$519,23,)/VLOOKUP($D478,$C$5:$AU$519,3,))*$E478)</f>
        <v>0</v>
      </c>
      <c r="Z478" s="65">
        <f>IF(VLOOKUP($D478,$C$5:$AU$519,3,)=0,0,(VLOOKUP($D478,$C$5:$AU$519,24,)/VLOOKUP($D478,$C$5:$AU$519,3,))*$E478)</f>
        <v>0</v>
      </c>
      <c r="AA478" s="65">
        <f>IF(VLOOKUP($D478,$C$5:$AU$519,3,)=0,0,(VLOOKUP($D478,$C$5:$AU$519,25,)/VLOOKUP($D478,$C$5:$AU$519,3,))*$E478)</f>
        <v>0</v>
      </c>
      <c r="AB478" s="65">
        <f>IF(VLOOKUP($D478,$C$5:$AU$519,3,)=0,0,(VLOOKUP($D478,$C$5:$AU$519,26,)/VLOOKUP($D478,$C$5:$AU$519,3,))*$E478)</f>
        <v>0</v>
      </c>
      <c r="AC478" s="65">
        <f>IF(VLOOKUP($D478,$C$5:$AU$519,3,)=0,0,(VLOOKUP($D478,$C$5:$AU$519,27,)/VLOOKUP($D478,$C$5:$AU$519,3,))*$E478)</f>
        <v>0</v>
      </c>
      <c r="AD478" s="65">
        <f>IF(VLOOKUP($D478,$C$5:$AU$519,3,)=0,0,(VLOOKUP($D478,$C$5:$AU$519,28,)/VLOOKUP($D478,$C$5:$AU$519,3,))*$E478)</f>
        <v>0</v>
      </c>
      <c r="AE478" s="65">
        <f>IF(VLOOKUP($D478,$C$5:$AU$519,3,)=0,0,(VLOOKUP($D478,$C$5:$AU$519,29,)/VLOOKUP($D478,$C$5:$AU$519,3,))*$E478)</f>
        <v>0</v>
      </c>
      <c r="AF478" s="65">
        <f>IF(VLOOKUP($D478,$C$5:$AU$519,3,)=0,0,(VLOOKUP($D478,$C$5:$AU$519,30,)/VLOOKUP($D478,$C$5:$AU$519,3,))*$E478)</f>
        <v>0</v>
      </c>
      <c r="AG478" s="90">
        <f>SUM(F478:AF478)</f>
        <v>17773236.489999998</v>
      </c>
      <c r="AH478" s="29" t="str">
        <f t="shared" si="208"/>
        <v>ok</v>
      </c>
    </row>
    <row r="479" spans="1:35" x14ac:dyDescent="0.2">
      <c r="A479" s="14" t="s">
        <v>612</v>
      </c>
      <c r="C479" s="14" t="s">
        <v>631</v>
      </c>
      <c r="E479" s="256">
        <f t="shared" ref="E479:AF479" si="209">E477+E478</f>
        <v>17773236.490000002</v>
      </c>
      <c r="F479" s="90">
        <f t="shared" si="209"/>
        <v>13465261.023008302</v>
      </c>
      <c r="G479" s="90">
        <f t="shared" si="209"/>
        <v>1196721.8853117942</v>
      </c>
      <c r="H479" s="90">
        <f t="shared" si="209"/>
        <v>2453433.5766939004</v>
      </c>
      <c r="I479" s="90">
        <f t="shared" si="209"/>
        <v>34652.790230554587</v>
      </c>
      <c r="J479" s="90">
        <f t="shared" si="209"/>
        <v>352990.15107134485</v>
      </c>
      <c r="K479" s="90">
        <f t="shared" si="209"/>
        <v>244866.21740147937</v>
      </c>
      <c r="L479" s="90">
        <f t="shared" si="209"/>
        <v>25310.846282626324</v>
      </c>
      <c r="M479" s="90">
        <f t="shared" si="209"/>
        <v>0</v>
      </c>
      <c r="N479" s="90">
        <f t="shared" si="209"/>
        <v>0</v>
      </c>
      <c r="O479" s="90">
        <f t="shared" si="209"/>
        <v>0</v>
      </c>
      <c r="P479" s="90">
        <f t="shared" si="209"/>
        <v>0</v>
      </c>
      <c r="Q479" s="90">
        <f t="shared" si="209"/>
        <v>0</v>
      </c>
      <c r="R479" s="90">
        <f t="shared" si="209"/>
        <v>0</v>
      </c>
      <c r="S479" s="90">
        <f t="shared" si="209"/>
        <v>0</v>
      </c>
      <c r="T479" s="90">
        <f t="shared" si="209"/>
        <v>0</v>
      </c>
      <c r="U479" s="90">
        <f t="shared" si="209"/>
        <v>0</v>
      </c>
      <c r="V479" s="90">
        <f t="shared" si="209"/>
        <v>0</v>
      </c>
      <c r="W479" s="90">
        <f t="shared" si="209"/>
        <v>0</v>
      </c>
      <c r="X479" s="90">
        <f t="shared" si="209"/>
        <v>0</v>
      </c>
      <c r="Y479" s="90">
        <f t="shared" si="209"/>
        <v>0</v>
      </c>
      <c r="Z479" s="90">
        <f t="shared" si="209"/>
        <v>0</v>
      </c>
      <c r="AA479" s="90">
        <f t="shared" si="209"/>
        <v>0</v>
      </c>
      <c r="AB479" s="90">
        <f t="shared" si="209"/>
        <v>0</v>
      </c>
      <c r="AC479" s="90">
        <f t="shared" si="209"/>
        <v>0</v>
      </c>
      <c r="AD479" s="90">
        <f t="shared" si="209"/>
        <v>0</v>
      </c>
      <c r="AE479" s="90">
        <f t="shared" si="209"/>
        <v>0</v>
      </c>
      <c r="AF479" s="90">
        <f t="shared" si="209"/>
        <v>0</v>
      </c>
      <c r="AG479" s="90">
        <f>SUM(F479:AF479)</f>
        <v>17773236.489999998</v>
      </c>
      <c r="AH479" s="29" t="str">
        <f t="shared" si="208"/>
        <v>ok</v>
      </c>
    </row>
    <row r="480" spans="1:35" x14ac:dyDescent="0.2">
      <c r="A480" s="14" t="s">
        <v>637</v>
      </c>
      <c r="C480" s="14" t="s">
        <v>632</v>
      </c>
      <c r="D480" s="14" t="s">
        <v>631</v>
      </c>
      <c r="E480" s="272">
        <v>1</v>
      </c>
      <c r="F480" s="98">
        <f>IF(VLOOKUP($D480,$C$5:$AU$519,3,)=0,0,(VLOOKUP($D480,$C$5:$AU$519,4,)/VLOOKUP($D480,$C$5:$AU$519,3,))*$E480)</f>
        <v>0.75761446321745873</v>
      </c>
      <c r="G480" s="98">
        <f>IF(VLOOKUP($D480,$C$5:$AU$519,3,)=0,0,(VLOOKUP($D480,$C$5:$AU$519,5,)/VLOOKUP($D480,$C$5:$AU$519,3,))*$E480)</f>
        <v>6.733280604155141E-2</v>
      </c>
      <c r="H480" s="98">
        <f>IF(VLOOKUP($D480,$C$5:$AU$519,3,)=0,0,(VLOOKUP($D480,$C$5:$AU$519,6,)/VLOOKUP($D480,$C$5:$AU$519,3,))*$E480)</f>
        <v>0.13804090088343274</v>
      </c>
      <c r="I480" s="98">
        <f>IF(VLOOKUP($D480,$C$5:$AU$519,3,)=0,0,(VLOOKUP($D480,$C$5:$AU$519,7,)/VLOOKUP($D480,$C$5:$AU$519,3,))*$E480)</f>
        <v>1.9497175008081256E-3</v>
      </c>
      <c r="J480" s="98">
        <f>IF(VLOOKUP($D480,$C$5:$AU$519,3,)=0,0,(VLOOKUP($D480,$C$5:$AU$519,8,)/VLOOKUP($D480,$C$5:$AU$519,3,))*$E480)</f>
        <v>1.986076938040815E-2</v>
      </c>
      <c r="K480" s="98">
        <f>IF(VLOOKUP($D480,$C$5:$AU$519,3,)=0,0,(VLOOKUP($D480,$C$5:$AU$519,9,)/VLOOKUP($D480,$C$5:$AU$519,3,))*$E480)</f>
        <v>1.3777244090531951E-2</v>
      </c>
      <c r="L480" s="98">
        <f>IF(VLOOKUP($D480,$C$5:$AU$519,3,)=0,0,(VLOOKUP($D480,$C$5:$AU$519,10,)/VLOOKUP($D480,$C$5:$AU$519,3,))*$E480)</f>
        <v>1.424098885808857E-3</v>
      </c>
      <c r="M480" s="98">
        <f>IF(VLOOKUP($D480,$C$5:$AU$519,3,)=0,0,(VLOOKUP($D480,$C$5:$AU$519,11,)/VLOOKUP($D480,$C$5:$AU$519,3,))*$E480)</f>
        <v>0</v>
      </c>
      <c r="N480" s="98">
        <f>IF(VLOOKUP($D480,$C$5:$AU$519,3,)=0,0,(VLOOKUP($D480,$C$5:$AU$519,12,)/VLOOKUP($D480,$C$5:$AU$519,3,))*$E480)</f>
        <v>0</v>
      </c>
      <c r="O480" s="98">
        <f>IF(VLOOKUP($D480,$C$5:$AU$519,3,)=0,0,(VLOOKUP($D480,$C$5:$AU$519,13,)/VLOOKUP($D480,$C$5:$AU$519,3,))*$E480)</f>
        <v>0</v>
      </c>
      <c r="P480" s="98">
        <f>IF(VLOOKUP($D480,$C$5:$AU$519,3,)=0,0,(VLOOKUP($D480,$C$5:$AU$519,14,)/VLOOKUP($D480,$C$5:$AU$519,3,))*$E480)</f>
        <v>0</v>
      </c>
      <c r="Q480" s="98">
        <f>IF(VLOOKUP($D480,$C$5:$AU$519,3,)=0,0,(VLOOKUP($D480,$C$5:$AU$519,15,)/VLOOKUP($D480,$C$5:$AU$519,3,))*$E480)</f>
        <v>0</v>
      </c>
      <c r="R480" s="98">
        <f>IF(VLOOKUP($D480,$C$5:$AU$519,3,)=0,0,(VLOOKUP($D480,$C$5:$AU$519,16,)/VLOOKUP($D480,$C$5:$AU$519,3,))*$E480)</f>
        <v>0</v>
      </c>
      <c r="S480" s="98">
        <f>IF(VLOOKUP($D480,$C$5:$AU$519,3,)=0,0,(VLOOKUP($D480,$C$5:$AU$519,17,)/VLOOKUP($D480,$C$5:$AU$519,3,))*$E480)</f>
        <v>0</v>
      </c>
      <c r="T480" s="98">
        <f>IF(VLOOKUP($D480,$C$5:$AU$519,3,)=0,0,(VLOOKUP($D480,$C$5:$AU$519,18,)/VLOOKUP($D480,$C$5:$AU$519,3,))*$E480)</f>
        <v>0</v>
      </c>
      <c r="U480" s="98">
        <f>IF(VLOOKUP($D480,$C$5:$AU$519,3,)=0,0,(VLOOKUP($D480,$C$5:$AU$519,19,)/VLOOKUP($D480,$C$5:$AU$519,3,))*$E480)</f>
        <v>0</v>
      </c>
      <c r="V480" s="98">
        <f>IF(VLOOKUP($D480,$C$5:$AU$519,3,)=0,0,(VLOOKUP($D480,$C$5:$AU$519,20,)/VLOOKUP($D480,$C$5:$AU$519,3,))*$E480)</f>
        <v>0</v>
      </c>
      <c r="W480" s="98">
        <f>IF(VLOOKUP($D480,$C$5:$AU$519,3,)=0,0,(VLOOKUP($D480,$C$5:$AU$519,21,)/VLOOKUP($D480,$C$5:$AU$519,3,))*$E480)</f>
        <v>0</v>
      </c>
      <c r="X480" s="98">
        <f>IF(VLOOKUP($D480,$C$5:$AU$519,3,)=0,0,(VLOOKUP($D480,$C$5:$AU$519,22,)/VLOOKUP($D480,$C$5:$AU$519,3,))*$E480)</f>
        <v>0</v>
      </c>
      <c r="Y480" s="98">
        <f>IF(VLOOKUP($D480,$C$5:$AU$519,3,)=0,0,(VLOOKUP($D480,$C$5:$AU$519,23,)/VLOOKUP($D480,$C$5:$AU$519,3,))*$E480)</f>
        <v>0</v>
      </c>
      <c r="Z480" s="98">
        <f>IF(VLOOKUP($D480,$C$5:$AU$519,3,)=0,0,(VLOOKUP($D480,$C$5:$AU$519,24,)/VLOOKUP($D480,$C$5:$AU$519,3,))*$E480)</f>
        <v>0</v>
      </c>
      <c r="AA480" s="98">
        <f>IF(VLOOKUP($D480,$C$5:$AU$519,3,)=0,0,(VLOOKUP($D480,$C$5:$AU$519,25,)/VLOOKUP($D480,$C$5:$AU$519,3,))*$E480)</f>
        <v>0</v>
      </c>
      <c r="AB480" s="98">
        <f>IF(VLOOKUP($D480,$C$5:$AU$519,3,)=0,0,(VLOOKUP($D480,$C$5:$AU$519,26,)/VLOOKUP($D480,$C$5:$AU$519,3,))*$E480)</f>
        <v>0</v>
      </c>
      <c r="AC480" s="98">
        <f>IF(VLOOKUP($D480,$C$5:$AU$519,3,)=0,0,(VLOOKUP($D480,$C$5:$AU$519,27,)/VLOOKUP($D480,$C$5:$AU$519,3,))*$E480)</f>
        <v>0</v>
      </c>
      <c r="AD480" s="98">
        <f>IF(VLOOKUP($D480,$C$5:$AU$519,3,)=0,0,(VLOOKUP($D480,$C$5:$AU$519,28,)/VLOOKUP($D480,$C$5:$AU$519,3,))*$E480)</f>
        <v>0</v>
      </c>
      <c r="AE480" s="98">
        <f>IF(VLOOKUP($D480,$C$5:$AU$519,3,)=0,0,(VLOOKUP($D480,$C$5:$AU$519,29,)/VLOOKUP($D480,$C$5:$AU$519,3,))*$E480)</f>
        <v>0</v>
      </c>
      <c r="AF480" s="98">
        <f>IF(VLOOKUP($D480,$C$5:$AU$519,3,)=0,0,(VLOOKUP($D480,$C$5:$AU$519,30,)/VLOOKUP($D480,$C$5:$AU$519,3,))*$E480)</f>
        <v>0</v>
      </c>
      <c r="AG480" s="98">
        <f>SUM(F480:AF480)</f>
        <v>1</v>
      </c>
      <c r="AH480" s="29" t="str">
        <f t="shared" si="208"/>
        <v>ok</v>
      </c>
    </row>
    <row r="482" spans="1:34" x14ac:dyDescent="0.2">
      <c r="A482" s="27" t="s">
        <v>905</v>
      </c>
    </row>
    <row r="484" spans="1:34" x14ac:dyDescent="0.2">
      <c r="A484" s="14" t="s">
        <v>621</v>
      </c>
      <c r="C484" s="14" t="s">
        <v>622</v>
      </c>
      <c r="E484" s="255">
        <f>E454</f>
        <v>3016537.0809472343</v>
      </c>
      <c r="F484" s="49">
        <f t="shared" ref="F484:AF484" si="210">F454</f>
        <v>2541647.5840587132</v>
      </c>
      <c r="G484" s="49">
        <f t="shared" si="210"/>
        <v>154822.64135165518</v>
      </c>
      <c r="H484" s="49">
        <f t="shared" si="210"/>
        <v>244529.37700000001</v>
      </c>
      <c r="I484" s="49">
        <f t="shared" si="210"/>
        <v>3333.04</v>
      </c>
      <c r="J484" s="49">
        <f t="shared" si="210"/>
        <v>41545.899999999994</v>
      </c>
      <c r="K484" s="49">
        <f t="shared" si="210"/>
        <v>27776.216340245777</v>
      </c>
      <c r="L484" s="49">
        <f t="shared" si="210"/>
        <v>2882.3221966205838</v>
      </c>
      <c r="M484" s="49">
        <f t="shared" si="210"/>
        <v>0</v>
      </c>
      <c r="N484" s="49">
        <f t="shared" si="210"/>
        <v>0</v>
      </c>
      <c r="O484" s="49">
        <f t="shared" si="210"/>
        <v>0</v>
      </c>
      <c r="P484" s="49">
        <f t="shared" si="210"/>
        <v>0</v>
      </c>
      <c r="Q484" s="49">
        <f t="shared" si="210"/>
        <v>0</v>
      </c>
      <c r="R484" s="49">
        <f t="shared" si="210"/>
        <v>0</v>
      </c>
      <c r="S484" s="49">
        <f t="shared" si="210"/>
        <v>0</v>
      </c>
      <c r="T484" s="49">
        <f t="shared" si="210"/>
        <v>0</v>
      </c>
      <c r="U484" s="49">
        <f t="shared" si="210"/>
        <v>0</v>
      </c>
      <c r="V484" s="49">
        <f t="shared" si="210"/>
        <v>0</v>
      </c>
      <c r="W484" s="49">
        <f t="shared" si="210"/>
        <v>0</v>
      </c>
      <c r="X484" s="49">
        <f t="shared" si="210"/>
        <v>0</v>
      </c>
      <c r="Y484" s="49">
        <f t="shared" si="210"/>
        <v>0</v>
      </c>
      <c r="Z484" s="49">
        <f t="shared" si="210"/>
        <v>0</v>
      </c>
      <c r="AA484" s="49">
        <f t="shared" si="210"/>
        <v>0</v>
      </c>
      <c r="AB484" s="49">
        <f t="shared" si="210"/>
        <v>0</v>
      </c>
      <c r="AC484" s="49">
        <f t="shared" si="210"/>
        <v>0</v>
      </c>
      <c r="AD484" s="49">
        <f t="shared" si="210"/>
        <v>0</v>
      </c>
      <c r="AE484" s="49">
        <f t="shared" si="210"/>
        <v>0</v>
      </c>
      <c r="AF484" s="49">
        <f t="shared" si="210"/>
        <v>0</v>
      </c>
      <c r="AG484" s="90">
        <f>SUM(F484:AF484)</f>
        <v>3016537.0809472343</v>
      </c>
      <c r="AH484" s="29" t="str">
        <f>IF(ABS(E484-AG484)&lt;0.01,"ok","err")</f>
        <v>ok</v>
      </c>
    </row>
    <row r="485" spans="1:34" x14ac:dyDescent="0.2">
      <c r="A485" s="14" t="s">
        <v>620</v>
      </c>
      <c r="C485" s="14" t="s">
        <v>619</v>
      </c>
      <c r="D485" s="14" t="s">
        <v>622</v>
      </c>
      <c r="E485" s="272">
        <v>1</v>
      </c>
      <c r="F485" s="98">
        <f>IF(VLOOKUP($D485,$C$5:$AU$519,3,)=0,0,(VLOOKUP($D485,$C$5:$AU$519,4,)/VLOOKUP($D485,$C$5:$AU$519,3,))*$E485)</f>
        <v>0.84257130472952801</v>
      </c>
      <c r="G485" s="98">
        <f>IF(VLOOKUP($D485,$C$5:$AU$519,3,)=0,0,(VLOOKUP($D485,$C$5:$AU$519,5,)/VLOOKUP($D485,$C$5:$AU$519,3,))*$E485)</f>
        <v>5.1324627278587519E-2</v>
      </c>
      <c r="H485" s="98">
        <f>IF(VLOOKUP($D485,$C$5:$AU$519,3,)=0,0,(VLOOKUP($D485,$C$5:$AU$519,6,)/VLOOKUP($D485,$C$5:$AU$519,3,))*$E485)</f>
        <v>8.1062944176775842E-2</v>
      </c>
      <c r="I485" s="98">
        <f>IF(VLOOKUP($D485,$C$5:$AU$519,3,)=0,0,(VLOOKUP($D485,$C$5:$AU$519,7,)/VLOOKUP($D485,$C$5:$AU$519,3,))*$E485)</f>
        <v>1.1049226018310305E-3</v>
      </c>
      <c r="J485" s="98">
        <f>IF(VLOOKUP($D485,$C$5:$AU$519,3,)=0,0,(VLOOKUP($D485,$C$5:$AU$519,8,)/VLOOKUP($D485,$C$5:$AU$519,3,))*$E485)</f>
        <v>1.377271317578301E-2</v>
      </c>
      <c r="K485" s="98">
        <f>IF(VLOOKUP($D485,$C$5:$AU$519,3,)=0,0,(VLOOKUP($D485,$C$5:$AU$519,9,)/VLOOKUP($D485,$C$5:$AU$519,3,))*$E485)</f>
        <v>9.2079810706400013E-3</v>
      </c>
      <c r="L485" s="98">
        <f>IF(VLOOKUP($D485,$C$5:$AU$519,3,)=0,0,(VLOOKUP($D485,$C$5:$AU$519,10,)/VLOOKUP($D485,$C$5:$AU$519,3,))*$E485)</f>
        <v>9.555069668546872E-4</v>
      </c>
      <c r="M485" s="98">
        <f>IF(VLOOKUP($D485,$C$5:$AU$519,3,)=0,0,(VLOOKUP($D485,$C$5:$AU$519,11,)/VLOOKUP($D485,$C$5:$AU$519,3,))*$E485)</f>
        <v>0</v>
      </c>
      <c r="N485" s="98">
        <f>IF(VLOOKUP($D485,$C$5:$AU$519,3,)=0,0,(VLOOKUP($D485,$C$5:$AU$519,12,)/VLOOKUP($D485,$C$5:$AU$519,3,))*$E485)</f>
        <v>0</v>
      </c>
      <c r="O485" s="98">
        <f>IF(VLOOKUP($D485,$C$5:$AU$519,3,)=0,0,(VLOOKUP($D485,$C$5:$AU$519,13,)/VLOOKUP($D485,$C$5:$AU$519,3,))*$E485)</f>
        <v>0</v>
      </c>
      <c r="P485" s="98">
        <f>IF(VLOOKUP($D485,$C$5:$AU$519,3,)=0,0,(VLOOKUP($D485,$C$5:$AU$519,14,)/VLOOKUP($D485,$C$5:$AU$519,3,))*$E485)</f>
        <v>0</v>
      </c>
      <c r="Q485" s="98">
        <f>IF(VLOOKUP($D485,$C$5:$AU$519,3,)=0,0,(VLOOKUP($D485,$C$5:$AU$519,15,)/VLOOKUP($D485,$C$5:$AU$519,3,))*$E485)</f>
        <v>0</v>
      </c>
      <c r="R485" s="98">
        <f>IF(VLOOKUP($D485,$C$5:$AU$519,3,)=0,0,(VLOOKUP($D485,$C$5:$AU$519,16,)/VLOOKUP($D485,$C$5:$AU$519,3,))*$E485)</f>
        <v>0</v>
      </c>
      <c r="S485" s="98">
        <f>IF(VLOOKUP($D485,$C$5:$AU$519,3,)=0,0,(VLOOKUP($D485,$C$5:$AU$519,17,)/VLOOKUP($D485,$C$5:$AU$519,3,))*$E485)</f>
        <v>0</v>
      </c>
      <c r="T485" s="98">
        <f>IF(VLOOKUP($D485,$C$5:$AU$519,3,)=0,0,(VLOOKUP($D485,$C$5:$AU$519,18,)/VLOOKUP($D485,$C$5:$AU$519,3,))*$E485)</f>
        <v>0</v>
      </c>
      <c r="U485" s="98">
        <f>IF(VLOOKUP($D485,$C$5:$AU$519,3,)=0,0,(VLOOKUP($D485,$C$5:$AU$519,19,)/VLOOKUP($D485,$C$5:$AU$519,3,))*$E485)</f>
        <v>0</v>
      </c>
      <c r="V485" s="98">
        <f>IF(VLOOKUP($D485,$C$5:$AU$519,3,)=0,0,(VLOOKUP($D485,$C$5:$AU$519,20,)/VLOOKUP($D485,$C$5:$AU$519,3,))*$E485)</f>
        <v>0</v>
      </c>
      <c r="W485" s="98">
        <f>IF(VLOOKUP($D485,$C$5:$AU$519,3,)=0,0,(VLOOKUP($D485,$C$5:$AU$519,21,)/VLOOKUP($D485,$C$5:$AU$519,3,))*$E485)</f>
        <v>0</v>
      </c>
      <c r="X485" s="98">
        <f>IF(VLOOKUP($D485,$C$5:$AU$519,3,)=0,0,(VLOOKUP($D485,$C$5:$AU$519,22,)/VLOOKUP($D485,$C$5:$AU$519,3,))*$E485)</f>
        <v>0</v>
      </c>
      <c r="Y485" s="98">
        <f>IF(VLOOKUP($D485,$C$5:$AU$519,3,)=0,0,(VLOOKUP($D485,$C$5:$AU$519,23,)/VLOOKUP($D485,$C$5:$AU$519,3,))*$E485)</f>
        <v>0</v>
      </c>
      <c r="Z485" s="98">
        <f>IF(VLOOKUP($D485,$C$5:$AU$519,3,)=0,0,(VLOOKUP($D485,$C$5:$AU$519,24,)/VLOOKUP($D485,$C$5:$AU$519,3,))*$E485)</f>
        <v>0</v>
      </c>
      <c r="AA485" s="98">
        <f>IF(VLOOKUP($D485,$C$5:$AU$519,3,)=0,0,(VLOOKUP($D485,$C$5:$AU$519,25,)/VLOOKUP($D485,$C$5:$AU$519,3,))*$E485)</f>
        <v>0</v>
      </c>
      <c r="AB485" s="98">
        <f>IF(VLOOKUP($D485,$C$5:$AU$519,3,)=0,0,(VLOOKUP($D485,$C$5:$AU$519,26,)/VLOOKUP($D485,$C$5:$AU$519,3,))*$E485)</f>
        <v>0</v>
      </c>
      <c r="AC485" s="98">
        <f>IF(VLOOKUP($D485,$C$5:$AU$519,3,)=0,0,(VLOOKUP($D485,$C$5:$AU$519,27,)/VLOOKUP($D485,$C$5:$AU$519,3,))*$E485)</f>
        <v>0</v>
      </c>
      <c r="AD485" s="98">
        <f>IF(VLOOKUP($D485,$C$5:$AU$519,3,)=0,0,(VLOOKUP($D485,$C$5:$AU$519,28,)/VLOOKUP($D485,$C$5:$AU$519,3,))*$E485)</f>
        <v>0</v>
      </c>
      <c r="AE485" s="98">
        <f>IF(VLOOKUP($D485,$C$5:$AU$519,3,)=0,0,(VLOOKUP($D485,$C$5:$AU$519,29,)/VLOOKUP($D485,$C$5:$AU$519,3,))*$E485)</f>
        <v>0</v>
      </c>
      <c r="AF485" s="98">
        <f>IF(VLOOKUP($D485,$C$5:$AU$519,3,)=0,0,(VLOOKUP($D485,$C$5:$AU$519,30,)/VLOOKUP($D485,$C$5:$AU$519,3,))*$E485)</f>
        <v>0</v>
      </c>
      <c r="AG485" s="98">
        <f>SUM(F485:AF485)</f>
        <v>1.0000000000000002</v>
      </c>
      <c r="AH485" s="29" t="str">
        <f>IF(ABS(E485-AG485)&lt;0.01,"ok","err")</f>
        <v>ok</v>
      </c>
    </row>
    <row r="487" spans="1:34" x14ac:dyDescent="0.2">
      <c r="A487" s="14" t="s">
        <v>651</v>
      </c>
      <c r="C487" s="14" t="s">
        <v>658</v>
      </c>
      <c r="E487" s="255">
        <v>999529.00081127358</v>
      </c>
      <c r="F487" s="49">
        <f>F434</f>
        <v>757257.62731976341</v>
      </c>
      <c r="G487" s="49">
        <f t="shared" ref="G487:O487" si="211">G434</f>
        <v>67301.092335630135</v>
      </c>
      <c r="H487" s="49">
        <f t="shared" si="211"/>
        <v>137975.88371285732</v>
      </c>
      <c r="I487" s="49">
        <f t="shared" si="211"/>
        <v>1948.7991851892573</v>
      </c>
      <c r="J487" s="49">
        <f t="shared" si="211"/>
        <v>19851.41497151701</v>
      </c>
      <c r="K487" s="49">
        <f t="shared" si="211"/>
        <v>13770.755017921148</v>
      </c>
      <c r="L487" s="49">
        <f t="shared" si="211"/>
        <v>1423.4281362007168</v>
      </c>
      <c r="M487" s="49">
        <v>0</v>
      </c>
      <c r="N487" s="49">
        <f t="shared" si="211"/>
        <v>0</v>
      </c>
      <c r="O487" s="49">
        <f t="shared" si="211"/>
        <v>0</v>
      </c>
      <c r="P487" s="49">
        <f t="shared" ref="P487:AF487" si="212">P434</f>
        <v>0</v>
      </c>
      <c r="Q487" s="49">
        <f t="shared" si="212"/>
        <v>0</v>
      </c>
      <c r="R487" s="49">
        <f t="shared" si="212"/>
        <v>0</v>
      </c>
      <c r="S487" s="49">
        <f t="shared" si="212"/>
        <v>0</v>
      </c>
      <c r="T487" s="49">
        <f t="shared" si="212"/>
        <v>0</v>
      </c>
      <c r="U487" s="49">
        <f t="shared" si="212"/>
        <v>0</v>
      </c>
      <c r="V487" s="49">
        <f t="shared" si="212"/>
        <v>0</v>
      </c>
      <c r="W487" s="49">
        <f t="shared" si="212"/>
        <v>0</v>
      </c>
      <c r="X487" s="49">
        <f t="shared" si="212"/>
        <v>0</v>
      </c>
      <c r="Y487" s="49">
        <f t="shared" si="212"/>
        <v>0</v>
      </c>
      <c r="Z487" s="49">
        <f t="shared" si="212"/>
        <v>0</v>
      </c>
      <c r="AA487" s="49">
        <f t="shared" si="212"/>
        <v>0</v>
      </c>
      <c r="AB487" s="49">
        <f t="shared" si="212"/>
        <v>0</v>
      </c>
      <c r="AC487" s="49">
        <f t="shared" si="212"/>
        <v>0</v>
      </c>
      <c r="AD487" s="49">
        <f t="shared" si="212"/>
        <v>0</v>
      </c>
      <c r="AE487" s="49">
        <f t="shared" si="212"/>
        <v>0</v>
      </c>
      <c r="AF487" s="49">
        <f t="shared" si="212"/>
        <v>0</v>
      </c>
      <c r="AG487" s="90">
        <f>SUM(F487:AF487)</f>
        <v>999529.00067907909</v>
      </c>
      <c r="AH487" s="29" t="str">
        <f t="shared" ref="AH487:AH492" si="213">IF(ABS(E487-AG487)&lt;0.01,"ok","err")</f>
        <v>ok</v>
      </c>
    </row>
    <row r="488" spans="1:34" x14ac:dyDescent="0.2">
      <c r="A488" s="14" t="s">
        <v>652</v>
      </c>
      <c r="E488" s="256">
        <f>E123</f>
        <v>19459969.028273102</v>
      </c>
      <c r="M488" s="246"/>
      <c r="AG488" s="90">
        <f>E488</f>
        <v>19459969.028273102</v>
      </c>
      <c r="AH488" s="29" t="str">
        <f t="shared" si="213"/>
        <v>ok</v>
      </c>
    </row>
    <row r="489" spans="1:34" x14ac:dyDescent="0.2">
      <c r="A489" s="14" t="s">
        <v>594</v>
      </c>
      <c r="E489" s="254">
        <f>M489</f>
        <v>6376915.04</v>
      </c>
      <c r="F489" s="65">
        <v>0</v>
      </c>
      <c r="G489" s="65">
        <v>0</v>
      </c>
      <c r="H489" s="65">
        <v>0</v>
      </c>
      <c r="I489" s="65">
        <v>0</v>
      </c>
      <c r="J489" s="65">
        <v>0</v>
      </c>
      <c r="K489" s="65">
        <v>0</v>
      </c>
      <c r="L489" s="65">
        <v>0</v>
      </c>
      <c r="M489" s="65">
        <f>'Purchased Power'!O24</f>
        <v>6376915.04</v>
      </c>
      <c r="N489" s="65">
        <v>0</v>
      </c>
      <c r="O489" s="65">
        <v>0</v>
      </c>
      <c r="P489" s="65">
        <v>0</v>
      </c>
      <c r="Q489" s="65">
        <v>0</v>
      </c>
      <c r="R489" s="65">
        <v>0</v>
      </c>
      <c r="S489" s="65">
        <v>0</v>
      </c>
      <c r="T489" s="65">
        <v>0</v>
      </c>
      <c r="U489" s="65">
        <v>0</v>
      </c>
      <c r="V489" s="65">
        <v>0</v>
      </c>
      <c r="W489" s="65">
        <v>0</v>
      </c>
      <c r="X489" s="65">
        <v>0</v>
      </c>
      <c r="Y489" s="65">
        <v>0</v>
      </c>
      <c r="Z489" s="65">
        <v>0</v>
      </c>
      <c r="AA489" s="65">
        <v>0</v>
      </c>
      <c r="AB489" s="65">
        <v>0</v>
      </c>
      <c r="AC489" s="65">
        <v>0</v>
      </c>
      <c r="AD489" s="65">
        <v>0</v>
      </c>
      <c r="AE489" s="65">
        <v>0</v>
      </c>
      <c r="AF489" s="65">
        <v>0</v>
      </c>
      <c r="AG489" s="90">
        <f>SUM(F489:AF489)</f>
        <v>6376915.04</v>
      </c>
      <c r="AH489" s="29" t="str">
        <f t="shared" si="213"/>
        <v>ok</v>
      </c>
    </row>
    <row r="490" spans="1:34" x14ac:dyDescent="0.2">
      <c r="A490" s="14" t="s">
        <v>653</v>
      </c>
      <c r="D490" s="14" t="s">
        <v>658</v>
      </c>
      <c r="E490" s="275">
        <f>E488-E489</f>
        <v>13083053.988273103</v>
      </c>
      <c r="F490" s="65">
        <f>IF(VLOOKUP($D490,$C$5:$AU$519,3,)=0,0,(VLOOKUP($D490,$C$5:$AU$519,4,)/VLOOKUP($D490,$C$5:$AU$519,3,))*$E490)</f>
        <v>9911910.9232596401</v>
      </c>
      <c r="G490" s="65">
        <f>IF(VLOOKUP($D490,$C$5:$AU$519,3,)=0,0,(VLOOKUP($D490,$C$5:$AU$519,5,)/VLOOKUP($D490,$C$5:$AU$519,3,))*$E490)</f>
        <v>880918.7365070309</v>
      </c>
      <c r="H490" s="65">
        <f>IF(VLOOKUP($D490,$C$5:$AU$519,3,)=0,0,(VLOOKUP($D490,$C$5:$AU$519,6,)/VLOOKUP($D490,$C$5:$AU$519,3,))*$E490)</f>
        <v>1805996.5586089513</v>
      </c>
      <c r="I490" s="65">
        <f>IF(VLOOKUP($D490,$C$5:$AU$519,3,)=0,0,(VLOOKUP($D490,$C$5:$AU$519,7,)/VLOOKUP($D490,$C$5:$AU$519,3,))*$E490)</f>
        <v>25508.259321579972</v>
      </c>
      <c r="J490" s="65">
        <f>IF(VLOOKUP($D490,$C$5:$AU$519,3,)=0,0,(VLOOKUP($D490,$C$5:$AU$519,8,)/VLOOKUP($D490,$C$5:$AU$519,3,))*$E490)</f>
        <v>259839.51801815562</v>
      </c>
      <c r="K490" s="65">
        <f>IF(VLOOKUP($D490,$C$5:$AU$519,3,)=0,0,(VLOOKUP($D490,$C$5:$AU$519,9,)/VLOOKUP($D490,$C$5:$AU$519,3,))*$E490)</f>
        <v>180248.428222207</v>
      </c>
      <c r="L490" s="65">
        <f>IF(VLOOKUP($D490,$C$5:$AU$519,3,)=0,0,(VLOOKUP($D490,$C$5:$AU$519,10,)/VLOOKUP($D490,$C$5:$AU$519,3,))*$E490)</f>
        <v>18631.562605212697</v>
      </c>
      <c r="M490" s="65">
        <f>IF(VLOOKUP($D490,$C$5:$AU$519,3,)=0,0,(VLOOKUP($D490,$C$5:$AU$519,11,)/VLOOKUP($D490,$C$5:$AU$519,3,))*$E490)</f>
        <v>0</v>
      </c>
      <c r="N490" s="65">
        <f>IF(VLOOKUP($D490,$C$5:$AU$519,3,)=0,0,(VLOOKUP($D490,$C$5:$AU$519,12,)/VLOOKUP($D490,$C$5:$AU$519,3,))*$E490)</f>
        <v>0</v>
      </c>
      <c r="O490" s="65">
        <f>IF(VLOOKUP($D490,$C$5:$AU$519,3,)=0,0,(VLOOKUP($D490,$C$5:$AU$519,13,)/VLOOKUP($D490,$C$5:$AU$519,3,))*$E490)</f>
        <v>0</v>
      </c>
      <c r="P490" s="65">
        <f>IF(VLOOKUP($D490,$C$5:$AU$519,3,)=0,0,(VLOOKUP($D490,$C$5:$AU$519,14,)/VLOOKUP($D490,$C$5:$AU$519,3,))*$E490)</f>
        <v>0</v>
      </c>
      <c r="Q490" s="65">
        <f>IF(VLOOKUP($D490,$C$5:$AU$519,3,)=0,0,(VLOOKUP($D490,$C$5:$AU$519,15,)/VLOOKUP($D490,$C$5:$AU$519,3,))*$E490)</f>
        <v>0</v>
      </c>
      <c r="R490" s="65">
        <f>IF(VLOOKUP($D490,$C$5:$AU$519,3,)=0,0,(VLOOKUP($D490,$C$5:$AU$519,16,)/VLOOKUP($D490,$C$5:$AU$519,3,))*$E490)</f>
        <v>0</v>
      </c>
      <c r="S490" s="65">
        <f>IF(VLOOKUP($D490,$C$5:$AU$519,3,)=0,0,(VLOOKUP($D490,$C$5:$AU$519,17,)/VLOOKUP($D490,$C$5:$AU$519,3,))*$E490)</f>
        <v>0</v>
      </c>
      <c r="T490" s="65">
        <f>IF(VLOOKUP($D490,$C$5:$AU$519,3,)=0,0,(VLOOKUP($D490,$C$5:$AU$519,18,)/VLOOKUP($D490,$C$5:$AU$519,3,))*$E490)</f>
        <v>0</v>
      </c>
      <c r="U490" s="65">
        <f>IF(VLOOKUP($D490,$C$5:$AU$519,3,)=0,0,(VLOOKUP($D490,$C$5:$AU$519,19,)/VLOOKUP($D490,$C$5:$AU$519,3,))*$E490)</f>
        <v>0</v>
      </c>
      <c r="V490" s="65">
        <f>IF(VLOOKUP($D490,$C$5:$AU$519,3,)=0,0,(VLOOKUP($D490,$C$5:$AU$519,20,)/VLOOKUP($D490,$C$5:$AU$519,3,))*$E490)</f>
        <v>0</v>
      </c>
      <c r="W490" s="65">
        <f>IF(VLOOKUP($D490,$C$5:$AU$519,3,)=0,0,(VLOOKUP($D490,$C$5:$AU$519,21,)/VLOOKUP($D490,$C$5:$AU$519,3,))*$E490)</f>
        <v>0</v>
      </c>
      <c r="X490" s="65">
        <f>IF(VLOOKUP($D490,$C$5:$AU$519,3,)=0,0,(VLOOKUP($D490,$C$5:$AU$519,22,)/VLOOKUP($D490,$C$5:$AU$519,3,))*$E490)</f>
        <v>0</v>
      </c>
      <c r="Y490" s="65">
        <f>IF(VLOOKUP($D490,$C$5:$AU$519,3,)=0,0,(VLOOKUP($D490,$C$5:$AU$519,23,)/VLOOKUP($D490,$C$5:$AU$519,3,))*$E490)</f>
        <v>0</v>
      </c>
      <c r="Z490" s="65">
        <f>IF(VLOOKUP($D490,$C$5:$AU$519,3,)=0,0,(VLOOKUP($D490,$C$5:$AU$519,24,)/VLOOKUP($D490,$C$5:$AU$519,3,))*$E490)</f>
        <v>0</v>
      </c>
      <c r="AA490" s="65">
        <f>IF(VLOOKUP($D490,$C$5:$AU$519,3,)=0,0,(VLOOKUP($D490,$C$5:$AU$519,25,)/VLOOKUP($D490,$C$5:$AU$519,3,))*$E490)</f>
        <v>0</v>
      </c>
      <c r="AB490" s="65">
        <f>IF(VLOOKUP($D490,$C$5:$AU$519,3,)=0,0,(VLOOKUP($D490,$C$5:$AU$519,26,)/VLOOKUP($D490,$C$5:$AU$519,3,))*$E490)</f>
        <v>0</v>
      </c>
      <c r="AC490" s="65">
        <f>IF(VLOOKUP($D490,$C$5:$AU$519,3,)=0,0,(VLOOKUP($D490,$C$5:$AU$519,27,)/VLOOKUP($D490,$C$5:$AU$519,3,))*$E490)</f>
        <v>0</v>
      </c>
      <c r="AD490" s="65">
        <f>IF(VLOOKUP($D490,$C$5:$AU$519,3,)=0,0,(VLOOKUP($D490,$C$5:$AU$519,28,)/VLOOKUP($D490,$C$5:$AU$519,3,))*$E490)</f>
        <v>0</v>
      </c>
      <c r="AE490" s="65">
        <f>IF(VLOOKUP($D490,$C$5:$AU$519,3,)=0,0,(VLOOKUP($D490,$C$5:$AU$519,29,)/VLOOKUP($D490,$C$5:$AU$519,3,))*$E490)</f>
        <v>0</v>
      </c>
      <c r="AF490" s="65">
        <f>IF(VLOOKUP($D490,$C$5:$AU$519,3,)=0,0,(VLOOKUP($D490,$C$5:$AU$519,30,)/VLOOKUP($D490,$C$5:$AU$519,3,))*$E490)</f>
        <v>0</v>
      </c>
      <c r="AG490" s="195">
        <f>SUM(F490:AF490)</f>
        <v>13083053.986542778</v>
      </c>
      <c r="AH490" s="29" t="str">
        <f>IF(ABS(E490-AG490)&lt;0.01,"ok","err")</f>
        <v>ok</v>
      </c>
    </row>
    <row r="491" spans="1:34" x14ac:dyDescent="0.2">
      <c r="A491" s="14" t="s">
        <v>654</v>
      </c>
      <c r="C491" s="14" t="s">
        <v>656</v>
      </c>
      <c r="E491" s="275">
        <f t="shared" ref="E491:AF491" si="214">E489+E490</f>
        <v>19459969.028273102</v>
      </c>
      <c r="F491" s="42">
        <f t="shared" si="214"/>
        <v>9911910.9232596401</v>
      </c>
      <c r="G491" s="42">
        <f t="shared" si="214"/>
        <v>880918.7365070309</v>
      </c>
      <c r="H491" s="42">
        <f t="shared" si="214"/>
        <v>1805996.5586089513</v>
      </c>
      <c r="I491" s="42">
        <f t="shared" si="214"/>
        <v>25508.259321579972</v>
      </c>
      <c r="J491" s="42">
        <f t="shared" si="214"/>
        <v>259839.51801815562</v>
      </c>
      <c r="K491" s="42">
        <f t="shared" si="214"/>
        <v>180248.428222207</v>
      </c>
      <c r="L491" s="42">
        <f t="shared" si="214"/>
        <v>18631.562605212697</v>
      </c>
      <c r="M491" s="65">
        <f t="shared" si="214"/>
        <v>6376915.04</v>
      </c>
      <c r="N491" s="90">
        <f t="shared" si="214"/>
        <v>0</v>
      </c>
      <c r="O491" s="90">
        <f t="shared" si="214"/>
        <v>0</v>
      </c>
      <c r="P491" s="90">
        <f t="shared" si="214"/>
        <v>0</v>
      </c>
      <c r="Q491" s="90">
        <f t="shared" si="214"/>
        <v>0</v>
      </c>
      <c r="R491" s="90">
        <f t="shared" si="214"/>
        <v>0</v>
      </c>
      <c r="S491" s="90">
        <f t="shared" si="214"/>
        <v>0</v>
      </c>
      <c r="T491" s="90">
        <f t="shared" si="214"/>
        <v>0</v>
      </c>
      <c r="U491" s="90">
        <f t="shared" si="214"/>
        <v>0</v>
      </c>
      <c r="V491" s="90">
        <f t="shared" si="214"/>
        <v>0</v>
      </c>
      <c r="W491" s="90">
        <f t="shared" si="214"/>
        <v>0</v>
      </c>
      <c r="X491" s="90">
        <f t="shared" si="214"/>
        <v>0</v>
      </c>
      <c r="Y491" s="90">
        <f t="shared" si="214"/>
        <v>0</v>
      </c>
      <c r="Z491" s="90">
        <f t="shared" si="214"/>
        <v>0</v>
      </c>
      <c r="AA491" s="90">
        <f t="shared" si="214"/>
        <v>0</v>
      </c>
      <c r="AB491" s="90">
        <f t="shared" si="214"/>
        <v>0</v>
      </c>
      <c r="AC491" s="90">
        <f t="shared" si="214"/>
        <v>0</v>
      </c>
      <c r="AD491" s="90">
        <f t="shared" si="214"/>
        <v>0</v>
      </c>
      <c r="AE491" s="90">
        <f t="shared" si="214"/>
        <v>0</v>
      </c>
      <c r="AF491" s="90">
        <f t="shared" si="214"/>
        <v>0</v>
      </c>
      <c r="AG491" s="195">
        <f>SUM(F491:AF491)</f>
        <v>19459969.026542779</v>
      </c>
      <c r="AH491" s="29" t="str">
        <f>IF(ABS(E491-AG491)&lt;0.01,"ok","err")</f>
        <v>ok</v>
      </c>
    </row>
    <row r="492" spans="1:34" x14ac:dyDescent="0.2">
      <c r="A492" s="14" t="s">
        <v>655</v>
      </c>
      <c r="C492" s="14" t="s">
        <v>657</v>
      </c>
      <c r="D492" s="14" t="s">
        <v>656</v>
      </c>
      <c r="E492" s="272">
        <v>1</v>
      </c>
      <c r="F492" s="98">
        <f>IF(VLOOKUP($D492,$C$5:$AU$519,3,)=0,0,(VLOOKUP($D492,$C$5:$AU$519,4,)/VLOOKUP($D492,$C$5:$AU$519,3,))*$E492)</f>
        <v>0.50934875121634426</v>
      </c>
      <c r="G492" s="98">
        <f>IF(VLOOKUP($D492,$C$5:$AU$519,3,)=0,0,(VLOOKUP($D492,$C$5:$AU$519,5,)/VLOOKUP($D492,$C$5:$AU$519,3,))*$E492)</f>
        <v>4.5268249668185857E-2</v>
      </c>
      <c r="H492" s="98">
        <f>IF(VLOOKUP($D492,$C$5:$AU$519,3,)=0,0,(VLOOKUP($D492,$C$5:$AU$519,6,)/VLOOKUP($D492,$C$5:$AU$519,3,))*$E492)</f>
        <v>9.280572625706883E-2</v>
      </c>
      <c r="I492" s="98">
        <f>IF(VLOOKUP($D492,$C$5:$AU$519,3,)=0,0,(VLOOKUP($D492,$C$5:$AU$519,7,)/VLOOKUP($D492,$C$5:$AU$519,3,))*$E492)</f>
        <v>1.3108067790097403E-3</v>
      </c>
      <c r="J492" s="98">
        <f>IF(VLOOKUP($D492,$C$5:$AU$519,3,)=0,0,(VLOOKUP($D492,$C$5:$AU$519,8,)/VLOOKUP($D492,$C$5:$AU$519,3,))*$E492)</f>
        <v>1.335251446909492E-2</v>
      </c>
      <c r="K492" s="98">
        <f>IF(VLOOKUP($D492,$C$5:$AU$519,3,)=0,0,(VLOOKUP($D492,$C$5:$AU$519,9,)/VLOOKUP($D492,$C$5:$AU$519,3,))*$E492)</f>
        <v>9.2625239002347183E-3</v>
      </c>
      <c r="L492" s="98">
        <f>IF(VLOOKUP($D492,$C$5:$AU$519,3,)=0,0,(VLOOKUP($D492,$C$5:$AU$519,10,)/VLOOKUP($D492,$C$5:$AU$519,3,))*$E492)</f>
        <v>9.5743022910998337E-4</v>
      </c>
      <c r="M492" s="98">
        <f>IF(VLOOKUP($D492,$C$5:$AU$519,3,)=0,0,(VLOOKUP($D492,$C$5:$AU$519,11,)/VLOOKUP($D492,$C$5:$AU$519,3,))*$E492)</f>
        <v>0.32769399739203459</v>
      </c>
      <c r="N492" s="98">
        <f>IF(VLOOKUP($D492,$C$5:$AU$519,3,)=0,0,(VLOOKUP($D492,$C$5:$AU$519,12,)/VLOOKUP($D492,$C$5:$AU$519,3,))*$E492)</f>
        <v>0</v>
      </c>
      <c r="O492" s="98">
        <f>IF(VLOOKUP($D492,$C$5:$AU$519,3,)=0,0,(VLOOKUP($D492,$C$5:$AU$519,13,)/VLOOKUP($D492,$C$5:$AU$519,3,))*$E492)</f>
        <v>0</v>
      </c>
      <c r="P492" s="98">
        <f>IF(VLOOKUP($D492,$C$5:$AU$519,3,)=0,0,(VLOOKUP($D492,$C$5:$AU$519,14,)/VLOOKUP($D492,$C$5:$AU$519,3,))*$E492)</f>
        <v>0</v>
      </c>
      <c r="Q492" s="98">
        <f>IF(VLOOKUP($D492,$C$5:$AU$519,3,)=0,0,(VLOOKUP($D492,$C$5:$AU$519,15,)/VLOOKUP($D492,$C$5:$AU$519,3,))*$E492)</f>
        <v>0</v>
      </c>
      <c r="R492" s="98">
        <f>IF(VLOOKUP($D492,$C$5:$AU$519,3,)=0,0,(VLOOKUP($D492,$C$5:$AU$519,16,)/VLOOKUP($D492,$C$5:$AU$519,3,))*$E492)</f>
        <v>0</v>
      </c>
      <c r="S492" s="98">
        <f>IF(VLOOKUP($D492,$C$5:$AU$519,3,)=0,0,(VLOOKUP($D492,$C$5:$AU$519,17,)/VLOOKUP($D492,$C$5:$AU$519,3,))*$E492)</f>
        <v>0</v>
      </c>
      <c r="T492" s="98">
        <f>IF(VLOOKUP($D492,$C$5:$AU$519,3,)=0,0,(VLOOKUP($D492,$C$5:$AU$519,18,)/VLOOKUP($D492,$C$5:$AU$519,3,))*$E492)</f>
        <v>0</v>
      </c>
      <c r="U492" s="98">
        <f>IF(VLOOKUP($D492,$C$5:$AU$519,3,)=0,0,(VLOOKUP($D492,$C$5:$AU$519,19,)/VLOOKUP($D492,$C$5:$AU$519,3,))*$E492)</f>
        <v>0</v>
      </c>
      <c r="V492" s="98">
        <f>IF(VLOOKUP($D492,$C$5:$AU$519,3,)=0,0,(VLOOKUP($D492,$C$5:$AU$519,20,)/VLOOKUP($D492,$C$5:$AU$519,3,))*$E492)</f>
        <v>0</v>
      </c>
      <c r="W492" s="98">
        <f>IF(VLOOKUP($D492,$C$5:$AU$519,3,)=0,0,(VLOOKUP($D492,$C$5:$AU$519,21,)/VLOOKUP($D492,$C$5:$AU$519,3,))*$E492)</f>
        <v>0</v>
      </c>
      <c r="X492" s="98">
        <f>IF(VLOOKUP($D492,$C$5:$AU$519,3,)=0,0,(VLOOKUP($D492,$C$5:$AU$519,22,)/VLOOKUP($D492,$C$5:$AU$519,3,))*$E492)</f>
        <v>0</v>
      </c>
      <c r="Y492" s="98">
        <f>IF(VLOOKUP($D492,$C$5:$AU$519,3,)=0,0,(VLOOKUP($D492,$C$5:$AU$519,23,)/VLOOKUP($D492,$C$5:$AU$519,3,))*$E492)</f>
        <v>0</v>
      </c>
      <c r="Z492" s="98">
        <f>IF(VLOOKUP($D492,$C$5:$AU$519,3,)=0,0,(VLOOKUP($D492,$C$5:$AU$519,24,)/VLOOKUP($D492,$C$5:$AU$519,3,))*$E492)</f>
        <v>0</v>
      </c>
      <c r="AA492" s="98">
        <f>IF(VLOOKUP($D492,$C$5:$AU$519,3,)=0,0,(VLOOKUP($D492,$C$5:$AU$519,25,)/VLOOKUP($D492,$C$5:$AU$519,3,))*$E492)</f>
        <v>0</v>
      </c>
      <c r="AB492" s="98">
        <f>IF(VLOOKUP($D492,$C$5:$AU$519,3,)=0,0,(VLOOKUP($D492,$C$5:$AU$519,26,)/VLOOKUP($D492,$C$5:$AU$519,3,))*$E492)</f>
        <v>0</v>
      </c>
      <c r="AC492" s="98">
        <f>IF(VLOOKUP($D492,$C$5:$AU$519,3,)=0,0,(VLOOKUP($D492,$C$5:$AU$519,27,)/VLOOKUP($D492,$C$5:$AU$519,3,))*$E492)</f>
        <v>0</v>
      </c>
      <c r="AD492" s="98">
        <f>IF(VLOOKUP($D492,$C$5:$AU$519,3,)=0,0,(VLOOKUP($D492,$C$5:$AU$519,28,)/VLOOKUP($D492,$C$5:$AU$519,3,))*$E492)</f>
        <v>0</v>
      </c>
      <c r="AE492" s="98">
        <f>IF(VLOOKUP($D492,$C$5:$AU$519,3,)=0,0,(VLOOKUP($D492,$C$5:$AU$519,29,)/VLOOKUP($D492,$C$5:$AU$519,3,))*$E492)</f>
        <v>0</v>
      </c>
      <c r="AF492" s="98">
        <f>IF(VLOOKUP($D492,$C$5:$AU$519,3,)=0,0,(VLOOKUP($D492,$C$5:$AU$519,30,)/VLOOKUP($D492,$C$5:$AU$519,3,))*$E492)</f>
        <v>0</v>
      </c>
      <c r="AG492" s="98">
        <f>SUM(F492:AF492)</f>
        <v>0.9999999999110829</v>
      </c>
      <c r="AH492" s="29" t="str">
        <f t="shared" si="213"/>
        <v>ok</v>
      </c>
    </row>
    <row r="493" spans="1:34" x14ac:dyDescent="0.2">
      <c r="E493" s="272"/>
      <c r="F493" s="98"/>
      <c r="G493" s="98"/>
      <c r="H493" s="98"/>
      <c r="I493" s="98"/>
      <c r="J493" s="98"/>
      <c r="K493" s="98"/>
      <c r="L493" s="98"/>
      <c r="M493" s="98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29"/>
    </row>
    <row r="494" spans="1:34" x14ac:dyDescent="0.2">
      <c r="A494" s="14" t="s">
        <v>659</v>
      </c>
      <c r="C494" s="14" t="s">
        <v>664</v>
      </c>
      <c r="E494" s="255">
        <v>444140080</v>
      </c>
      <c r="F494" s="49">
        <f>F421</f>
        <v>333689905</v>
      </c>
      <c r="G494" s="49">
        <f t="shared" ref="G494:O494" si="215">G421</f>
        <v>25940828</v>
      </c>
      <c r="H494" s="49">
        <f t="shared" si="215"/>
        <v>65478568</v>
      </c>
      <c r="I494" s="49">
        <f t="shared" si="215"/>
        <v>881159</v>
      </c>
      <c r="J494" s="49">
        <f t="shared" si="215"/>
        <v>6968834</v>
      </c>
      <c r="K494" s="49">
        <f t="shared" si="215"/>
        <v>10129708</v>
      </c>
      <c r="L494" s="49">
        <f t="shared" si="215"/>
        <v>1051078</v>
      </c>
      <c r="M494" s="49">
        <v>0</v>
      </c>
      <c r="N494" s="49">
        <f t="shared" si="215"/>
        <v>0</v>
      </c>
      <c r="O494" s="49">
        <f t="shared" si="215"/>
        <v>0</v>
      </c>
      <c r="P494" s="49">
        <f t="shared" ref="P494:Z494" si="216">P421</f>
        <v>0</v>
      </c>
      <c r="Q494" s="49">
        <f t="shared" si="216"/>
        <v>0</v>
      </c>
      <c r="R494" s="49">
        <f t="shared" si="216"/>
        <v>0</v>
      </c>
      <c r="S494" s="49">
        <f t="shared" si="216"/>
        <v>0</v>
      </c>
      <c r="T494" s="49">
        <f t="shared" si="216"/>
        <v>0</v>
      </c>
      <c r="U494" s="49">
        <f t="shared" si="216"/>
        <v>0</v>
      </c>
      <c r="V494" s="49">
        <f t="shared" si="216"/>
        <v>0</v>
      </c>
      <c r="W494" s="49">
        <f t="shared" si="216"/>
        <v>0</v>
      </c>
      <c r="X494" s="49">
        <f t="shared" si="216"/>
        <v>0</v>
      </c>
      <c r="Y494" s="49">
        <f t="shared" si="216"/>
        <v>0</v>
      </c>
      <c r="Z494" s="49">
        <f t="shared" si="216"/>
        <v>0</v>
      </c>
      <c r="AA494" s="49">
        <v>0</v>
      </c>
      <c r="AB494" s="49">
        <v>0</v>
      </c>
      <c r="AC494" s="49">
        <v>0</v>
      </c>
      <c r="AD494" s="49">
        <v>0</v>
      </c>
      <c r="AE494" s="49">
        <v>0</v>
      </c>
      <c r="AF494" s="49">
        <f>AF421</f>
        <v>0</v>
      </c>
      <c r="AG494" s="90">
        <f>SUM(F494:AF494)</f>
        <v>444140080</v>
      </c>
      <c r="AH494" s="29" t="str">
        <f t="shared" ref="AH494:AH499" si="217">IF(ABS(E494-AG494)&lt;0.01,"ok","err")</f>
        <v>ok</v>
      </c>
    </row>
    <row r="495" spans="1:34" x14ac:dyDescent="0.2">
      <c r="A495" s="14" t="s">
        <v>660</v>
      </c>
      <c r="E495" s="256">
        <f>E124</f>
        <v>46970894.971726887</v>
      </c>
      <c r="M495" s="246"/>
      <c r="AG495" s="90">
        <f>E495</f>
        <v>46970894.971726887</v>
      </c>
      <c r="AH495" s="29" t="str">
        <f t="shared" si="217"/>
        <v>ok</v>
      </c>
    </row>
    <row r="496" spans="1:34" x14ac:dyDescent="0.2">
      <c r="A496" s="14" t="s">
        <v>594</v>
      </c>
      <c r="E496" s="254">
        <f>M496</f>
        <v>15356325.810000001</v>
      </c>
      <c r="F496" s="49">
        <v>0</v>
      </c>
      <c r="G496" s="49">
        <v>0</v>
      </c>
      <c r="H496" s="49">
        <v>0</v>
      </c>
      <c r="I496" s="49">
        <v>0</v>
      </c>
      <c r="J496" s="49">
        <v>0</v>
      </c>
      <c r="K496" s="49">
        <v>0</v>
      </c>
      <c r="L496" s="49">
        <v>0</v>
      </c>
      <c r="M496" s="49">
        <f>'Purchased Power'!O29+'Purchased Power'!O30</f>
        <v>15356325.810000001</v>
      </c>
      <c r="N496" s="49">
        <v>0</v>
      </c>
      <c r="O496" s="49">
        <v>0</v>
      </c>
      <c r="P496" s="49">
        <v>0</v>
      </c>
      <c r="Q496" s="49">
        <v>0</v>
      </c>
      <c r="R496" s="49">
        <v>0</v>
      </c>
      <c r="S496" s="49">
        <v>0</v>
      </c>
      <c r="T496" s="49">
        <v>0</v>
      </c>
      <c r="U496" s="49">
        <v>0</v>
      </c>
      <c r="V496" s="49">
        <v>0</v>
      </c>
      <c r="W496" s="49">
        <v>0</v>
      </c>
      <c r="X496" s="49">
        <v>0</v>
      </c>
      <c r="Y496" s="49">
        <v>0</v>
      </c>
      <c r="Z496" s="49">
        <v>0</v>
      </c>
      <c r="AA496" s="49">
        <v>0</v>
      </c>
      <c r="AB496" s="49">
        <v>0</v>
      </c>
      <c r="AC496" s="49">
        <v>0</v>
      </c>
      <c r="AD496" s="49">
        <v>0</v>
      </c>
      <c r="AE496" s="49">
        <v>0</v>
      </c>
      <c r="AF496" s="49">
        <v>0</v>
      </c>
      <c r="AG496" s="90">
        <f>SUM(F496:AF496)</f>
        <v>15356325.810000001</v>
      </c>
      <c r="AH496" s="29" t="str">
        <f t="shared" si="217"/>
        <v>ok</v>
      </c>
    </row>
    <row r="497" spans="1:41" x14ac:dyDescent="0.2">
      <c r="A497" s="14" t="s">
        <v>661</v>
      </c>
      <c r="D497" s="14" t="s">
        <v>664</v>
      </c>
      <c r="E497" s="256">
        <f>E495-E496</f>
        <v>31614569.161726885</v>
      </c>
      <c r="F497" s="65">
        <f>IF(VLOOKUP($D497,$C$5:$AU$519,3,)=0,0,(VLOOKUP($D497,$C$5:$AU$519,4,)/VLOOKUP($D497,$C$5:$AU$519,3,))*$E497)</f>
        <v>23752557.03153963</v>
      </c>
      <c r="G497" s="65">
        <f>IF(VLOOKUP($D497,$C$5:$AU$519,3,)=0,0,(VLOOKUP($D497,$C$5:$AU$519,5,)/VLOOKUP($D497,$C$5:$AU$519,3,))*$E497)</f>
        <v>1846507.7525056088</v>
      </c>
      <c r="H497" s="65">
        <f>IF(VLOOKUP($D497,$C$5:$AU$519,3,)=0,0,(VLOOKUP($D497,$C$5:$AU$519,6,)/VLOOKUP($D497,$C$5:$AU$519,3,))*$E497)</f>
        <v>4660864.465658755</v>
      </c>
      <c r="I497" s="65">
        <f>IF(VLOOKUP($D497,$C$5:$AU$519,3,)=0,0,(VLOOKUP($D497,$C$5:$AU$519,7,)/VLOOKUP($D497,$C$5:$AU$519,3,))*$E497)</f>
        <v>62722.243279593458</v>
      </c>
      <c r="J497" s="65">
        <f>IF(VLOOKUP($D497,$C$5:$AU$519,3,)=0,0,(VLOOKUP($D497,$C$5:$AU$519,8,)/VLOOKUP($D497,$C$5:$AU$519,3,))*$E497)</f>
        <v>496052.24655607261</v>
      </c>
      <c r="K497" s="65">
        <f>IF(VLOOKUP($D497,$C$5:$AU$519,3,)=0,0,(VLOOKUP($D497,$C$5:$AU$519,9,)/VLOOKUP($D497,$C$5:$AU$519,3,))*$E497)</f>
        <v>721048.08499628783</v>
      </c>
      <c r="L497" s="65">
        <f>IF(VLOOKUP($D497,$C$5:$AU$519,3,)=0,0,(VLOOKUP($D497,$C$5:$AU$519,10,)/VLOOKUP($D497,$C$5:$AU$519,3,))*$E497)</f>
        <v>74817.337190936625</v>
      </c>
      <c r="M497" s="65">
        <f>IF(VLOOKUP($D497,$C$5:$AU$519,3,)=0,0,(VLOOKUP($D497,$C$5:$AU$519,11,)/VLOOKUP($D497,$C$5:$AU$519,3,))*$E497)</f>
        <v>0</v>
      </c>
      <c r="N497" s="65">
        <f>IF(VLOOKUP($D497,$C$5:$AU$519,3,)=0,0,(VLOOKUP($D497,$C$5:$AU$519,12,)/VLOOKUP($D497,$C$5:$AU$519,3,))*$E497)</f>
        <v>0</v>
      </c>
      <c r="O497" s="65">
        <f>IF(VLOOKUP($D497,$C$5:$AU$519,3,)=0,0,(VLOOKUP($D497,$C$5:$AU$519,13,)/VLOOKUP($D497,$C$5:$AU$519,3,))*$E497)</f>
        <v>0</v>
      </c>
      <c r="P497" s="65">
        <f>IF(VLOOKUP($D497,$C$5:$AU$519,3,)=0,0,(VLOOKUP($D497,$C$5:$AU$519,14,)/VLOOKUP($D497,$C$5:$AU$519,3,))*$E497)</f>
        <v>0</v>
      </c>
      <c r="Q497" s="65">
        <f>IF(VLOOKUP($D497,$C$5:$AU$519,3,)=0,0,(VLOOKUP($D497,$C$5:$AU$519,15,)/VLOOKUP($D497,$C$5:$AU$519,3,))*$E497)</f>
        <v>0</v>
      </c>
      <c r="R497" s="65">
        <f>IF(VLOOKUP($D497,$C$5:$AU$519,3,)=0,0,(VLOOKUP($D497,$C$5:$AU$519,16,)/VLOOKUP($D497,$C$5:$AU$519,3,))*$E497)</f>
        <v>0</v>
      </c>
      <c r="S497" s="65">
        <f>IF(VLOOKUP($D497,$C$5:$AU$519,3,)=0,0,(VLOOKUP($D497,$C$5:$AU$519,17,)/VLOOKUP($D497,$C$5:$AU$519,3,))*$E497)</f>
        <v>0</v>
      </c>
      <c r="T497" s="65">
        <f>IF(VLOOKUP($D497,$C$5:$AU$519,3,)=0,0,(VLOOKUP($D497,$C$5:$AU$519,18,)/VLOOKUP($D497,$C$5:$AU$519,3,))*$E497)</f>
        <v>0</v>
      </c>
      <c r="U497" s="65">
        <f>IF(VLOOKUP($D497,$C$5:$AU$519,3,)=0,0,(VLOOKUP($D497,$C$5:$AU$519,19,)/VLOOKUP($D497,$C$5:$AU$519,3,))*$E497)</f>
        <v>0</v>
      </c>
      <c r="V497" s="65">
        <f>IF(VLOOKUP($D497,$C$5:$AU$519,3,)=0,0,(VLOOKUP($D497,$C$5:$AU$519,20,)/VLOOKUP($D497,$C$5:$AU$519,3,))*$E497)</f>
        <v>0</v>
      </c>
      <c r="W497" s="65">
        <f>IF(VLOOKUP($D497,$C$5:$AU$519,3,)=0,0,(VLOOKUP($D497,$C$5:$AU$519,21,)/VLOOKUP($D497,$C$5:$AU$519,3,))*$E497)</f>
        <v>0</v>
      </c>
      <c r="X497" s="65">
        <f>IF(VLOOKUP($D497,$C$5:$AU$519,3,)=0,0,(VLOOKUP($D497,$C$5:$AU$519,22,)/VLOOKUP($D497,$C$5:$AU$519,3,))*$E497)</f>
        <v>0</v>
      </c>
      <c r="Y497" s="65">
        <f>IF(VLOOKUP($D497,$C$5:$AU$519,3,)=0,0,(VLOOKUP($D497,$C$5:$AU$519,23,)/VLOOKUP($D497,$C$5:$AU$519,3,))*$E497)</f>
        <v>0</v>
      </c>
      <c r="Z497" s="65">
        <f>IF(VLOOKUP($D497,$C$5:$AU$519,3,)=0,0,(VLOOKUP($D497,$C$5:$AU$519,24,)/VLOOKUP($D497,$C$5:$AU$519,3,))*$E497)</f>
        <v>0</v>
      </c>
      <c r="AA497" s="65">
        <f>IF(VLOOKUP($D497,$C$5:$AU$519,3,)=0,0,(VLOOKUP($D497,$C$5:$AU$519,25,)/VLOOKUP($D497,$C$5:$AU$519,3,))*$E497)</f>
        <v>0</v>
      </c>
      <c r="AB497" s="65">
        <f>IF(VLOOKUP($D497,$C$5:$AU$519,3,)=0,0,(VLOOKUP($D497,$C$5:$AU$519,26,)/VLOOKUP($D497,$C$5:$AU$519,3,))*$E497)</f>
        <v>0</v>
      </c>
      <c r="AC497" s="65">
        <f>IF(VLOOKUP($D497,$C$5:$AU$519,3,)=0,0,(VLOOKUP($D497,$C$5:$AU$519,27,)/VLOOKUP($D497,$C$5:$AU$519,3,))*$E497)</f>
        <v>0</v>
      </c>
      <c r="AD497" s="65">
        <f>IF(VLOOKUP($D497,$C$5:$AU$519,3,)=0,0,(VLOOKUP($D497,$C$5:$AU$519,28,)/VLOOKUP($D497,$C$5:$AU$519,3,))*$E497)</f>
        <v>0</v>
      </c>
      <c r="AE497" s="65">
        <f>IF(VLOOKUP($D497,$C$5:$AU$519,3,)=0,0,(VLOOKUP($D497,$C$5:$AU$519,29,)/VLOOKUP($D497,$C$5:$AU$519,3,))*$E497)</f>
        <v>0</v>
      </c>
      <c r="AF497" s="65">
        <f>IF(VLOOKUP($D497,$C$5:$AU$519,3,)=0,0,(VLOOKUP($D497,$C$5:$AU$519,30,)/VLOOKUP($D497,$C$5:$AU$519,3,))*$E497)</f>
        <v>0</v>
      </c>
      <c r="AG497" s="90">
        <f>SUM(F497:AF497)</f>
        <v>31614569.161726885</v>
      </c>
      <c r="AH497" s="29" t="str">
        <f t="shared" si="217"/>
        <v>ok</v>
      </c>
    </row>
    <row r="498" spans="1:41" x14ac:dyDescent="0.2">
      <c r="A498" s="14" t="s">
        <v>662</v>
      </c>
      <c r="C498" s="14" t="s">
        <v>665</v>
      </c>
      <c r="E498" s="256">
        <f t="shared" ref="E498:AF498" si="218">E496+E497</f>
        <v>46970894.971726887</v>
      </c>
      <c r="F498" s="90">
        <f t="shared" si="218"/>
        <v>23752557.03153963</v>
      </c>
      <c r="G498" s="90">
        <f t="shared" si="218"/>
        <v>1846507.7525056088</v>
      </c>
      <c r="H498" s="90">
        <f t="shared" si="218"/>
        <v>4660864.465658755</v>
      </c>
      <c r="I498" s="90">
        <f t="shared" si="218"/>
        <v>62722.243279593458</v>
      </c>
      <c r="J498" s="90">
        <f t="shared" si="218"/>
        <v>496052.24655607261</v>
      </c>
      <c r="K498" s="90">
        <f t="shared" si="218"/>
        <v>721048.08499628783</v>
      </c>
      <c r="L498" s="90">
        <f t="shared" si="218"/>
        <v>74817.337190936625</v>
      </c>
      <c r="M498" s="90">
        <f t="shared" si="218"/>
        <v>15356325.810000001</v>
      </c>
      <c r="N498" s="90">
        <f t="shared" si="218"/>
        <v>0</v>
      </c>
      <c r="O498" s="90">
        <f t="shared" si="218"/>
        <v>0</v>
      </c>
      <c r="P498" s="90">
        <f t="shared" si="218"/>
        <v>0</v>
      </c>
      <c r="Q498" s="90">
        <f t="shared" si="218"/>
        <v>0</v>
      </c>
      <c r="R498" s="90">
        <f t="shared" si="218"/>
        <v>0</v>
      </c>
      <c r="S498" s="90">
        <f t="shared" si="218"/>
        <v>0</v>
      </c>
      <c r="T498" s="90">
        <f t="shared" si="218"/>
        <v>0</v>
      </c>
      <c r="U498" s="90">
        <f t="shared" si="218"/>
        <v>0</v>
      </c>
      <c r="V498" s="90">
        <f t="shared" si="218"/>
        <v>0</v>
      </c>
      <c r="W498" s="90">
        <f t="shared" si="218"/>
        <v>0</v>
      </c>
      <c r="X498" s="90">
        <f t="shared" si="218"/>
        <v>0</v>
      </c>
      <c r="Y498" s="90">
        <f t="shared" si="218"/>
        <v>0</v>
      </c>
      <c r="Z498" s="90">
        <f t="shared" si="218"/>
        <v>0</v>
      </c>
      <c r="AA498" s="90">
        <f t="shared" si="218"/>
        <v>0</v>
      </c>
      <c r="AB498" s="90">
        <f t="shared" si="218"/>
        <v>0</v>
      </c>
      <c r="AC498" s="90">
        <f t="shared" si="218"/>
        <v>0</v>
      </c>
      <c r="AD498" s="90">
        <f t="shared" si="218"/>
        <v>0</v>
      </c>
      <c r="AE498" s="90">
        <f t="shared" si="218"/>
        <v>0</v>
      </c>
      <c r="AF498" s="90">
        <f t="shared" si="218"/>
        <v>0</v>
      </c>
      <c r="AG498" s="90">
        <f>SUM(F498:AF498)</f>
        <v>46970894.971726887</v>
      </c>
      <c r="AH498" s="29" t="str">
        <f t="shared" si="217"/>
        <v>ok</v>
      </c>
    </row>
    <row r="499" spans="1:41" x14ac:dyDescent="0.2">
      <c r="A499" s="14" t="s">
        <v>663</v>
      </c>
      <c r="C499" s="14" t="s">
        <v>666</v>
      </c>
      <c r="D499" s="14" t="s">
        <v>665</v>
      </c>
      <c r="E499" s="272">
        <v>1</v>
      </c>
      <c r="F499" s="98">
        <f>IF(VLOOKUP($D499,$C$5:$AU$519,3,)=0,0,(VLOOKUP($D499,$C$5:$AU$519,4,)/VLOOKUP($D499,$C$5:$AU$519,3,))*$E499)</f>
        <v>0.5056867033476149</v>
      </c>
      <c r="G499" s="98">
        <f>IF(VLOOKUP($D499,$C$5:$AU$519,3,)=0,0,(VLOOKUP($D499,$C$5:$AU$519,5,)/VLOOKUP($D499,$C$5:$AU$519,3,))*$E499)</f>
        <v>3.931174301909883E-2</v>
      </c>
      <c r="H499" s="98">
        <f>IF(VLOOKUP($D499,$C$5:$AU$519,3,)=0,0,(VLOOKUP($D499,$C$5:$AU$519,6,)/VLOOKUP($D499,$C$5:$AU$519,3,))*$E499)</f>
        <v>9.9228777064270579E-2</v>
      </c>
      <c r="I499" s="98">
        <f>IF(VLOOKUP($D499,$C$5:$AU$519,3,)=0,0,(VLOOKUP($D499,$C$5:$AU$519,7,)/VLOOKUP($D499,$C$5:$AU$519,3,))*$E499)</f>
        <v>1.335342733353234E-3</v>
      </c>
      <c r="J499" s="98">
        <f>IF(VLOOKUP($D499,$C$5:$AU$519,3,)=0,0,(VLOOKUP($D499,$C$5:$AU$519,8,)/VLOOKUP($D499,$C$5:$AU$519,3,))*$E499)</f>
        <v>1.0560842982759016E-2</v>
      </c>
      <c r="K499" s="98">
        <f>IF(VLOOKUP($D499,$C$5:$AU$519,3,)=0,0,(VLOOKUP($D499,$C$5:$AU$519,9,)/VLOOKUP($D499,$C$5:$AU$519,3,))*$E499)</f>
        <v>1.5350954786582353E-2</v>
      </c>
      <c r="L499" s="98">
        <f>IF(VLOOKUP($D499,$C$5:$AU$519,3,)=0,0,(VLOOKUP($D499,$C$5:$AU$519,10,)/VLOOKUP($D499,$C$5:$AU$519,3,))*$E499)</f>
        <v>1.5928446165646047E-3</v>
      </c>
      <c r="M499" s="98">
        <f>IF(VLOOKUP($D499,$C$5:$AU$519,3,)=0,0,(VLOOKUP($D499,$C$5:$AU$519,11,)/VLOOKUP($D499,$C$5:$AU$519,3,))*$E499)</f>
        <v>0.32693279144975645</v>
      </c>
      <c r="N499" s="98">
        <f>IF(VLOOKUP($D499,$C$5:$AU$519,3,)=0,0,(VLOOKUP($D499,$C$5:$AU$519,12,)/VLOOKUP($D499,$C$5:$AU$519,3,))*$E499)</f>
        <v>0</v>
      </c>
      <c r="O499" s="98">
        <f>IF(VLOOKUP($D499,$C$5:$AU$519,3,)=0,0,(VLOOKUP($D499,$C$5:$AU$519,13,)/VLOOKUP($D499,$C$5:$AU$519,3,))*$E499)</f>
        <v>0</v>
      </c>
      <c r="P499" s="98">
        <f>IF(VLOOKUP($D499,$C$5:$AU$519,3,)=0,0,(VLOOKUP($D499,$C$5:$AU$519,14,)/VLOOKUP($D499,$C$5:$AU$519,3,))*$E499)</f>
        <v>0</v>
      </c>
      <c r="Q499" s="98">
        <f>IF(VLOOKUP($D499,$C$5:$AU$519,3,)=0,0,(VLOOKUP($D499,$C$5:$AU$519,15,)/VLOOKUP($D499,$C$5:$AU$519,3,))*$E499)</f>
        <v>0</v>
      </c>
      <c r="R499" s="98">
        <f>IF(VLOOKUP($D499,$C$5:$AU$519,3,)=0,0,(VLOOKUP($D499,$C$5:$AU$519,16,)/VLOOKUP($D499,$C$5:$AU$519,3,))*$E499)</f>
        <v>0</v>
      </c>
      <c r="S499" s="98">
        <f>IF(VLOOKUP($D499,$C$5:$AU$519,3,)=0,0,(VLOOKUP($D499,$C$5:$AU$519,17,)/VLOOKUP($D499,$C$5:$AU$519,3,))*$E499)</f>
        <v>0</v>
      </c>
      <c r="T499" s="98">
        <f>IF(VLOOKUP($D499,$C$5:$AU$519,3,)=0,0,(VLOOKUP($D499,$C$5:$AU$519,18,)/VLOOKUP($D499,$C$5:$AU$519,3,))*$E499)</f>
        <v>0</v>
      </c>
      <c r="U499" s="98">
        <f>IF(VLOOKUP($D499,$C$5:$AU$519,3,)=0,0,(VLOOKUP($D499,$C$5:$AU$519,19,)/VLOOKUP($D499,$C$5:$AU$519,3,))*$E499)</f>
        <v>0</v>
      </c>
      <c r="V499" s="98">
        <f>IF(VLOOKUP($D499,$C$5:$AU$519,3,)=0,0,(VLOOKUP($D499,$C$5:$AU$519,20,)/VLOOKUP($D499,$C$5:$AU$519,3,))*$E499)</f>
        <v>0</v>
      </c>
      <c r="W499" s="98">
        <f>IF(VLOOKUP($D499,$C$5:$AU$519,3,)=0,0,(VLOOKUP($D499,$C$5:$AU$519,21,)/VLOOKUP($D499,$C$5:$AU$519,3,))*$E499)</f>
        <v>0</v>
      </c>
      <c r="X499" s="98">
        <f>IF(VLOOKUP($D499,$C$5:$AU$519,3,)=0,0,(VLOOKUP($D499,$C$5:$AU$519,22,)/VLOOKUP($D499,$C$5:$AU$519,3,))*$E499)</f>
        <v>0</v>
      </c>
      <c r="Y499" s="98">
        <f>IF(VLOOKUP($D499,$C$5:$AU$519,3,)=0,0,(VLOOKUP($D499,$C$5:$AU$519,23,)/VLOOKUP($D499,$C$5:$AU$519,3,))*$E499)</f>
        <v>0</v>
      </c>
      <c r="Z499" s="98">
        <f>IF(VLOOKUP($D499,$C$5:$AU$519,3,)=0,0,(VLOOKUP($D499,$C$5:$AU$519,24,)/VLOOKUP($D499,$C$5:$AU$519,3,))*$E499)</f>
        <v>0</v>
      </c>
      <c r="AA499" s="98">
        <f>IF(VLOOKUP($D499,$C$5:$AU$519,3,)=0,0,(VLOOKUP($D499,$C$5:$AU$519,25,)/VLOOKUP($D499,$C$5:$AU$519,3,))*$E499)</f>
        <v>0</v>
      </c>
      <c r="AB499" s="98">
        <f>IF(VLOOKUP($D499,$C$5:$AU$519,3,)=0,0,(VLOOKUP($D499,$C$5:$AU$519,26,)/VLOOKUP($D499,$C$5:$AU$519,3,))*$E499)</f>
        <v>0</v>
      </c>
      <c r="AC499" s="98">
        <f>IF(VLOOKUP($D499,$C$5:$AU$519,3,)=0,0,(VLOOKUP($D499,$C$5:$AU$519,27,)/VLOOKUP($D499,$C$5:$AU$519,3,))*$E499)</f>
        <v>0</v>
      </c>
      <c r="AD499" s="98">
        <f>IF(VLOOKUP($D499,$C$5:$AU$519,3,)=0,0,(VLOOKUP($D499,$C$5:$AU$519,28,)/VLOOKUP($D499,$C$5:$AU$519,3,))*$E499)</f>
        <v>0</v>
      </c>
      <c r="AE499" s="98">
        <f>IF(VLOOKUP($D499,$C$5:$AU$519,3,)=0,0,(VLOOKUP($D499,$C$5:$AU$519,29,)/VLOOKUP($D499,$C$5:$AU$519,3,))*$E499)</f>
        <v>0</v>
      </c>
      <c r="AF499" s="98">
        <f>IF(VLOOKUP($D499,$C$5:$AU$519,3,)=0,0,(VLOOKUP($D499,$C$5:$AU$519,30,)/VLOOKUP($D499,$C$5:$AU$519,3,))*$E499)</f>
        <v>0</v>
      </c>
      <c r="AG499" s="98">
        <f>SUM(F499:AF499)</f>
        <v>1</v>
      </c>
      <c r="AH499" s="29" t="str">
        <f t="shared" si="217"/>
        <v>ok</v>
      </c>
    </row>
    <row r="500" spans="1:41" x14ac:dyDescent="0.2">
      <c r="E500" s="272"/>
      <c r="F500" s="98"/>
      <c r="G500" s="98"/>
      <c r="H500" s="98"/>
      <c r="I500" s="98"/>
      <c r="J500" s="98"/>
      <c r="K500" s="98"/>
      <c r="L500" s="98"/>
      <c r="M500" s="98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29"/>
    </row>
    <row r="501" spans="1:41" x14ac:dyDescent="0.2">
      <c r="A501" s="13" t="s">
        <v>327</v>
      </c>
    </row>
    <row r="502" spans="1:41" x14ac:dyDescent="0.2">
      <c r="AJ502" s="87"/>
      <c r="AK502" s="172"/>
      <c r="AL502" s="87"/>
      <c r="AM502" s="87"/>
      <c r="AN502" s="87"/>
      <c r="AO502" s="87"/>
    </row>
    <row r="503" spans="1:41" x14ac:dyDescent="0.2">
      <c r="A503" s="14" t="s">
        <v>645</v>
      </c>
      <c r="E503" s="256">
        <f t="shared" ref="E503:R503" si="219">E123+E199+E237+E275</f>
        <v>19459969.028273102</v>
      </c>
      <c r="F503" s="90">
        <f t="shared" si="219"/>
        <v>9911910.9232596401</v>
      </c>
      <c r="G503" s="90">
        <f t="shared" si="219"/>
        <v>880918.7365070309</v>
      </c>
      <c r="H503" s="90">
        <f t="shared" si="219"/>
        <v>1805996.5586089513</v>
      </c>
      <c r="I503" s="90">
        <f t="shared" si="219"/>
        <v>25508.259321579972</v>
      </c>
      <c r="J503" s="90">
        <f t="shared" si="219"/>
        <v>259839.51801815562</v>
      </c>
      <c r="K503" s="90">
        <f t="shared" si="219"/>
        <v>180248.428222207</v>
      </c>
      <c r="L503" s="90">
        <f t="shared" si="219"/>
        <v>18631.562605212697</v>
      </c>
      <c r="M503" s="90">
        <f t="shared" si="219"/>
        <v>6376915.04</v>
      </c>
      <c r="N503" s="90">
        <f t="shared" si="219"/>
        <v>0</v>
      </c>
      <c r="O503" s="90">
        <f t="shared" si="219"/>
        <v>0</v>
      </c>
      <c r="P503" s="90">
        <f t="shared" si="219"/>
        <v>0</v>
      </c>
      <c r="Q503" s="90">
        <f t="shared" si="219"/>
        <v>0</v>
      </c>
      <c r="R503" s="90">
        <f t="shared" si="219"/>
        <v>0</v>
      </c>
      <c r="S503" s="90">
        <f t="shared" ref="S503:AF503" si="220">S123</f>
        <v>0</v>
      </c>
      <c r="T503" s="90">
        <f t="shared" si="220"/>
        <v>0</v>
      </c>
      <c r="U503" s="90">
        <f t="shared" si="220"/>
        <v>0</v>
      </c>
      <c r="V503" s="90">
        <f t="shared" si="220"/>
        <v>0</v>
      </c>
      <c r="W503" s="90">
        <f t="shared" si="220"/>
        <v>0</v>
      </c>
      <c r="X503" s="90">
        <f t="shared" si="220"/>
        <v>0</v>
      </c>
      <c r="Y503" s="90">
        <f t="shared" si="220"/>
        <v>0</v>
      </c>
      <c r="Z503" s="90">
        <f t="shared" si="220"/>
        <v>0</v>
      </c>
      <c r="AA503" s="90">
        <f t="shared" si="220"/>
        <v>0</v>
      </c>
      <c r="AB503" s="90">
        <f t="shared" si="220"/>
        <v>0</v>
      </c>
      <c r="AC503" s="90">
        <f t="shared" si="220"/>
        <v>0</v>
      </c>
      <c r="AD503" s="90">
        <f t="shared" si="220"/>
        <v>0</v>
      </c>
      <c r="AE503" s="90">
        <f t="shared" si="220"/>
        <v>0</v>
      </c>
      <c r="AF503" s="90">
        <f t="shared" si="220"/>
        <v>0</v>
      </c>
      <c r="AG503" s="90">
        <f>SUM(F503:AF503)</f>
        <v>19459969.026542779</v>
      </c>
      <c r="AH503" s="29" t="str">
        <f t="shared" ref="AH503:AH508" si="221">IF(ABS(E503-AG503)&lt;0.01,"ok","err")</f>
        <v>ok</v>
      </c>
      <c r="AJ503" s="76"/>
      <c r="AK503" s="76"/>
      <c r="AL503" s="76"/>
      <c r="AM503" s="76"/>
      <c r="AN503" s="76"/>
      <c r="AO503" s="76"/>
    </row>
    <row r="504" spans="1:41" x14ac:dyDescent="0.2">
      <c r="A504" s="14" t="s">
        <v>646</v>
      </c>
      <c r="E504" s="256">
        <f t="shared" ref="E504:R504" si="222">E124+E200+E238+E276</f>
        <v>46970894.971726887</v>
      </c>
      <c r="F504" s="90">
        <f t="shared" si="222"/>
        <v>23752557.03153963</v>
      </c>
      <c r="G504" s="90">
        <f t="shared" si="222"/>
        <v>1846507.7525056088</v>
      </c>
      <c r="H504" s="90">
        <f t="shared" si="222"/>
        <v>4660864.465658755</v>
      </c>
      <c r="I504" s="90">
        <f t="shared" si="222"/>
        <v>62722.243279593458</v>
      </c>
      <c r="J504" s="90">
        <f t="shared" si="222"/>
        <v>496052.24655607261</v>
      </c>
      <c r="K504" s="90">
        <f t="shared" si="222"/>
        <v>721048.08499628783</v>
      </c>
      <c r="L504" s="90">
        <f t="shared" si="222"/>
        <v>74817.337190936625</v>
      </c>
      <c r="M504" s="90">
        <f t="shared" si="222"/>
        <v>15356325.810000001</v>
      </c>
      <c r="N504" s="90">
        <f t="shared" si="222"/>
        <v>0</v>
      </c>
      <c r="O504" s="90">
        <f t="shared" si="222"/>
        <v>0</v>
      </c>
      <c r="P504" s="90">
        <f t="shared" si="222"/>
        <v>0</v>
      </c>
      <c r="Q504" s="90">
        <f t="shared" si="222"/>
        <v>0</v>
      </c>
      <c r="R504" s="90">
        <f t="shared" si="222"/>
        <v>0</v>
      </c>
      <c r="S504" s="90">
        <f t="shared" ref="S504:AF504" si="223">S124</f>
        <v>0</v>
      </c>
      <c r="T504" s="90">
        <f t="shared" si="223"/>
        <v>0</v>
      </c>
      <c r="U504" s="90">
        <f t="shared" si="223"/>
        <v>0</v>
      </c>
      <c r="V504" s="90">
        <f t="shared" si="223"/>
        <v>0</v>
      </c>
      <c r="W504" s="90">
        <f t="shared" si="223"/>
        <v>0</v>
      </c>
      <c r="X504" s="90">
        <f t="shared" si="223"/>
        <v>0</v>
      </c>
      <c r="Y504" s="90">
        <f t="shared" si="223"/>
        <v>0</v>
      </c>
      <c r="Z504" s="90">
        <f t="shared" si="223"/>
        <v>0</v>
      </c>
      <c r="AA504" s="90">
        <f t="shared" si="223"/>
        <v>0</v>
      </c>
      <c r="AB504" s="90">
        <f t="shared" si="223"/>
        <v>0</v>
      </c>
      <c r="AC504" s="90">
        <f t="shared" si="223"/>
        <v>0</v>
      </c>
      <c r="AD504" s="90">
        <f t="shared" si="223"/>
        <v>0</v>
      </c>
      <c r="AE504" s="90">
        <f t="shared" si="223"/>
        <v>0</v>
      </c>
      <c r="AF504" s="90">
        <f t="shared" si="223"/>
        <v>0</v>
      </c>
      <c r="AG504" s="90">
        <f>SUM(F504:AF504)</f>
        <v>46970894.971726887</v>
      </c>
      <c r="AH504" s="29" t="str">
        <f t="shared" si="221"/>
        <v>ok</v>
      </c>
      <c r="AJ504" s="76"/>
      <c r="AK504" s="76"/>
      <c r="AL504" s="76"/>
      <c r="AM504" s="76"/>
      <c r="AN504" s="76"/>
      <c r="AO504" s="76"/>
    </row>
    <row r="505" spans="1:41" x14ac:dyDescent="0.2">
      <c r="A505" s="14" t="s">
        <v>895</v>
      </c>
      <c r="E505" s="256">
        <f t="shared" ref="E505:R505" si="224">E128+E204+E242+E280</f>
        <v>0</v>
      </c>
      <c r="F505" s="90">
        <f t="shared" si="224"/>
        <v>0</v>
      </c>
      <c r="G505" s="90">
        <f t="shared" si="224"/>
        <v>0</v>
      </c>
      <c r="H505" s="90">
        <f t="shared" si="224"/>
        <v>0</v>
      </c>
      <c r="I505" s="90">
        <f t="shared" si="224"/>
        <v>0</v>
      </c>
      <c r="J505" s="90">
        <f t="shared" si="224"/>
        <v>0</v>
      </c>
      <c r="K505" s="90">
        <f t="shared" si="224"/>
        <v>0</v>
      </c>
      <c r="L505" s="90">
        <f t="shared" si="224"/>
        <v>0</v>
      </c>
      <c r="M505" s="90">
        <f t="shared" si="224"/>
        <v>0</v>
      </c>
      <c r="N505" s="90">
        <f t="shared" si="224"/>
        <v>0</v>
      </c>
      <c r="O505" s="90">
        <f t="shared" si="224"/>
        <v>0</v>
      </c>
      <c r="P505" s="90">
        <f t="shared" si="224"/>
        <v>0</v>
      </c>
      <c r="Q505" s="90">
        <f t="shared" si="224"/>
        <v>0</v>
      </c>
      <c r="R505" s="90">
        <f t="shared" si="224"/>
        <v>0</v>
      </c>
      <c r="S505" s="90"/>
      <c r="T505" s="90"/>
      <c r="U505" s="90"/>
      <c r="V505" s="90"/>
      <c r="W505" s="90"/>
      <c r="X505" s="90"/>
      <c r="Y505" s="90"/>
      <c r="Z505" s="90"/>
      <c r="AA505" s="90"/>
      <c r="AB505" s="90"/>
      <c r="AC505" s="90"/>
      <c r="AD505" s="90"/>
      <c r="AE505" s="90"/>
      <c r="AF505" s="90"/>
      <c r="AG505" s="90">
        <f>SUM(F505:AF505)</f>
        <v>0</v>
      </c>
      <c r="AH505" s="29" t="str">
        <f t="shared" si="221"/>
        <v>ok</v>
      </c>
      <c r="AJ505" s="76"/>
      <c r="AK505" s="76"/>
      <c r="AL505" s="76"/>
      <c r="AM505" s="76"/>
      <c r="AN505" s="76"/>
      <c r="AO505" s="76"/>
    </row>
    <row r="506" spans="1:41" x14ac:dyDescent="0.2">
      <c r="A506" s="14" t="s">
        <v>647</v>
      </c>
      <c r="D506" s="220">
        <f>E506/(E506+E507)</f>
        <v>0.34424895215710183</v>
      </c>
      <c r="E506" s="256">
        <f t="shared" ref="E506:AF506" si="225">E131+E134+E139+E207+E210+E215+E245+E248+E253+E283+E286+E291</f>
        <v>6049889.1083697947</v>
      </c>
      <c r="F506" s="90">
        <f t="shared" si="225"/>
        <v>4975539.906937656</v>
      </c>
      <c r="G506" s="90">
        <f t="shared" si="225"/>
        <v>333481.9215343105</v>
      </c>
      <c r="H506" s="90">
        <f t="shared" si="225"/>
        <v>572191.8875762216</v>
      </c>
      <c r="I506" s="90">
        <f t="shared" si="225"/>
        <v>7897.0391834148813</v>
      </c>
      <c r="J506" s="90">
        <f t="shared" si="225"/>
        <v>92060.463619404676</v>
      </c>
      <c r="K506" s="90">
        <f t="shared" si="225"/>
        <v>62264.693849607029</v>
      </c>
      <c r="L506" s="90">
        <f t="shared" si="225"/>
        <v>6453.1956691801806</v>
      </c>
      <c r="M506" s="90">
        <f t="shared" si="225"/>
        <v>0</v>
      </c>
      <c r="N506" s="90">
        <f t="shared" si="225"/>
        <v>0</v>
      </c>
      <c r="O506" s="90">
        <f t="shared" si="225"/>
        <v>0</v>
      </c>
      <c r="P506" s="90">
        <f t="shared" si="225"/>
        <v>0</v>
      </c>
      <c r="Q506" s="90">
        <f t="shared" si="225"/>
        <v>0</v>
      </c>
      <c r="R506" s="90">
        <f t="shared" si="225"/>
        <v>0</v>
      </c>
      <c r="S506" s="90">
        <f t="shared" si="225"/>
        <v>0</v>
      </c>
      <c r="T506" s="90">
        <f t="shared" si="225"/>
        <v>0</v>
      </c>
      <c r="U506" s="90">
        <f t="shared" si="225"/>
        <v>0</v>
      </c>
      <c r="V506" s="90">
        <f t="shared" si="225"/>
        <v>0</v>
      </c>
      <c r="W506" s="90">
        <f t="shared" si="225"/>
        <v>0</v>
      </c>
      <c r="X506" s="90">
        <f t="shared" si="225"/>
        <v>0</v>
      </c>
      <c r="Y506" s="90">
        <f t="shared" si="225"/>
        <v>0</v>
      </c>
      <c r="Z506" s="90">
        <f t="shared" si="225"/>
        <v>0</v>
      </c>
      <c r="AA506" s="90">
        <f t="shared" si="225"/>
        <v>0</v>
      </c>
      <c r="AB506" s="90">
        <f t="shared" si="225"/>
        <v>0</v>
      </c>
      <c r="AC506" s="90">
        <f t="shared" si="225"/>
        <v>0</v>
      </c>
      <c r="AD506" s="90">
        <f t="shared" si="225"/>
        <v>0</v>
      </c>
      <c r="AE506" s="90">
        <f t="shared" si="225"/>
        <v>0</v>
      </c>
      <c r="AF506" s="90">
        <f t="shared" si="225"/>
        <v>0</v>
      </c>
      <c r="AG506" s="90">
        <f>SUM(F506:AF506)</f>
        <v>6049889.1083697937</v>
      </c>
      <c r="AH506" s="29" t="str">
        <f t="shared" si="221"/>
        <v>ok</v>
      </c>
      <c r="AJ506" s="76"/>
      <c r="AK506" s="76"/>
      <c r="AL506" s="76"/>
      <c r="AM506" s="76"/>
      <c r="AN506" s="76"/>
      <c r="AO506" s="76"/>
    </row>
    <row r="507" spans="1:41" x14ac:dyDescent="0.2">
      <c r="A507" s="14" t="s">
        <v>648</v>
      </c>
      <c r="D507" s="220">
        <f>E507/(E506+E507)</f>
        <v>0.65575104784289817</v>
      </c>
      <c r="E507" s="254">
        <f t="shared" ref="E507:AD507" si="226">E135+E140+E144+E147+E150+E153+E211+E216+E220+E223+E226+E229+E249+E254+E258+E261+E264+E267+E287+E292+E296+E299+E302+E305</f>
        <v>11524279.441630209</v>
      </c>
      <c r="F507" s="65">
        <f t="shared" si="226"/>
        <v>10259826.084493315</v>
      </c>
      <c r="G507" s="65">
        <f t="shared" si="226"/>
        <v>661549.64431136718</v>
      </c>
      <c r="H507" s="65">
        <f t="shared" si="226"/>
        <v>239756.74363213684</v>
      </c>
      <c r="I507" s="65">
        <f t="shared" si="226"/>
        <v>8694.9220278017929</v>
      </c>
      <c r="J507" s="65">
        <f t="shared" si="226"/>
        <v>11165.072264927985</v>
      </c>
      <c r="K507" s="65">
        <f t="shared" si="226"/>
        <v>310585.27587283798</v>
      </c>
      <c r="L507" s="65">
        <f t="shared" si="226"/>
        <v>32701.699027818948</v>
      </c>
      <c r="M507" s="65">
        <f t="shared" si="226"/>
        <v>0</v>
      </c>
      <c r="N507" s="65">
        <f t="shared" si="226"/>
        <v>0</v>
      </c>
      <c r="O507" s="65">
        <f t="shared" si="226"/>
        <v>0</v>
      </c>
      <c r="P507" s="65">
        <f t="shared" si="226"/>
        <v>0</v>
      </c>
      <c r="Q507" s="65">
        <f t="shared" si="226"/>
        <v>0</v>
      </c>
      <c r="R507" s="65">
        <f t="shared" si="226"/>
        <v>0</v>
      </c>
      <c r="S507" s="65">
        <f t="shared" si="226"/>
        <v>0</v>
      </c>
      <c r="T507" s="65">
        <f t="shared" si="226"/>
        <v>0</v>
      </c>
      <c r="U507" s="65">
        <f t="shared" si="226"/>
        <v>0</v>
      </c>
      <c r="V507" s="65">
        <f t="shared" si="226"/>
        <v>0</v>
      </c>
      <c r="W507" s="65">
        <f t="shared" si="226"/>
        <v>0</v>
      </c>
      <c r="X507" s="65">
        <f t="shared" si="226"/>
        <v>0</v>
      </c>
      <c r="Y507" s="65">
        <f t="shared" si="226"/>
        <v>0</v>
      </c>
      <c r="Z507" s="65">
        <f t="shared" si="226"/>
        <v>0</v>
      </c>
      <c r="AA507" s="65">
        <f t="shared" si="226"/>
        <v>0</v>
      </c>
      <c r="AB507" s="65">
        <f t="shared" si="226"/>
        <v>0</v>
      </c>
      <c r="AC507" s="65">
        <f t="shared" si="226"/>
        <v>0</v>
      </c>
      <c r="AD507" s="65">
        <f t="shared" si="226"/>
        <v>0</v>
      </c>
      <c r="AE507" s="65"/>
      <c r="AF507" s="65">
        <f>AF135+AF140+AF144+AF147+AF150+AF153+AF211+AF216+AF220+AF223+AF226+AF229+AF249+AF254+AF258+AF261+AF264+AF267+AF287+AF292+AF296+AF299+AF302+AF305</f>
        <v>0</v>
      </c>
      <c r="AG507" s="90">
        <f>SUM(F507:AF507)</f>
        <v>11524279.441630207</v>
      </c>
      <c r="AH507" s="29" t="str">
        <f t="shared" si="221"/>
        <v>ok</v>
      </c>
      <c r="AJ507" s="76"/>
      <c r="AK507" s="76"/>
      <c r="AL507" s="76"/>
      <c r="AM507" s="76"/>
      <c r="AN507" s="76"/>
      <c r="AO507" s="76"/>
    </row>
    <row r="508" spans="1:41" x14ac:dyDescent="0.2">
      <c r="A508" s="14" t="s">
        <v>0</v>
      </c>
      <c r="E508" s="271">
        <f>SUM(E503:E507)</f>
        <v>84005032.549999997</v>
      </c>
      <c r="F508" s="101">
        <f t="shared" ref="F508:R508" si="227">SUM(F503:F507)</f>
        <v>48899833.946230248</v>
      </c>
      <c r="G508" s="101">
        <f t="shared" si="227"/>
        <v>3722458.0548583176</v>
      </c>
      <c r="H508" s="101">
        <f t="shared" si="227"/>
        <v>7278809.6554760644</v>
      </c>
      <c r="I508" s="101">
        <f t="shared" si="227"/>
        <v>104822.46381239009</v>
      </c>
      <c r="J508" s="101">
        <f t="shared" si="227"/>
        <v>859117.30045856093</v>
      </c>
      <c r="K508" s="101">
        <f t="shared" si="227"/>
        <v>1274146.4829409397</v>
      </c>
      <c r="L508" s="101">
        <f t="shared" si="227"/>
        <v>132603.79449314845</v>
      </c>
      <c r="M508" s="101">
        <f t="shared" si="227"/>
        <v>21733240.850000001</v>
      </c>
      <c r="N508" s="101">
        <f t="shared" si="227"/>
        <v>0</v>
      </c>
      <c r="O508" s="101">
        <f t="shared" si="227"/>
        <v>0</v>
      </c>
      <c r="P508" s="101">
        <f t="shared" si="227"/>
        <v>0</v>
      </c>
      <c r="Q508" s="101">
        <f t="shared" si="227"/>
        <v>0</v>
      </c>
      <c r="R508" s="101">
        <f t="shared" si="227"/>
        <v>0</v>
      </c>
      <c r="S508" s="101">
        <f t="shared" ref="S508:AG508" si="228">SUM(S503:S507)</f>
        <v>0</v>
      </c>
      <c r="T508" s="101">
        <f t="shared" si="228"/>
        <v>0</v>
      </c>
      <c r="U508" s="101">
        <f t="shared" si="228"/>
        <v>0</v>
      </c>
      <c r="V508" s="101">
        <f t="shared" si="228"/>
        <v>0</v>
      </c>
      <c r="W508" s="101">
        <f t="shared" si="228"/>
        <v>0</v>
      </c>
      <c r="X508" s="101">
        <f t="shared" si="228"/>
        <v>0</v>
      </c>
      <c r="Y508" s="101">
        <f t="shared" si="228"/>
        <v>0</v>
      </c>
      <c r="Z508" s="101">
        <f t="shared" si="228"/>
        <v>0</v>
      </c>
      <c r="AA508" s="101">
        <f t="shared" si="228"/>
        <v>0</v>
      </c>
      <c r="AB508" s="101">
        <f t="shared" si="228"/>
        <v>0</v>
      </c>
      <c r="AC508" s="101">
        <f t="shared" si="228"/>
        <v>0</v>
      </c>
      <c r="AD508" s="101">
        <f t="shared" si="228"/>
        <v>0</v>
      </c>
      <c r="AE508" s="101">
        <f t="shared" si="228"/>
        <v>0</v>
      </c>
      <c r="AF508" s="101">
        <f t="shared" si="228"/>
        <v>0</v>
      </c>
      <c r="AG508" s="101">
        <f t="shared" si="228"/>
        <v>84005032.548269659</v>
      </c>
      <c r="AH508" s="29" t="str">
        <f t="shared" si="221"/>
        <v>ok</v>
      </c>
      <c r="AJ508" s="76"/>
      <c r="AK508" s="76"/>
      <c r="AL508" s="76"/>
      <c r="AM508" s="76"/>
      <c r="AN508" s="76"/>
      <c r="AO508" s="76"/>
    </row>
    <row r="510" spans="1:41" x14ac:dyDescent="0.2">
      <c r="A510" s="13" t="s">
        <v>697</v>
      </c>
      <c r="E510" s="256"/>
    </row>
    <row r="511" spans="1:41" x14ac:dyDescent="0.2">
      <c r="AJ511" s="87"/>
      <c r="AK511" s="172"/>
      <c r="AL511" s="87"/>
      <c r="AM511" s="87"/>
      <c r="AN511" s="87"/>
      <c r="AO511" s="87"/>
    </row>
    <row r="512" spans="1:41" x14ac:dyDescent="0.2">
      <c r="A512" s="14" t="s">
        <v>645</v>
      </c>
      <c r="D512" s="90"/>
      <c r="E512" s="256">
        <f>E503+0.37*E359+E360</f>
        <v>19930533.120273102</v>
      </c>
      <c r="F512" s="90">
        <f t="shared" ref="F512:L512" si="229">F503+0.37*F359+F360</f>
        <v>9594804.368298186</v>
      </c>
      <c r="G512" s="90">
        <f t="shared" si="229"/>
        <v>846164.36365676858</v>
      </c>
      <c r="H512" s="90">
        <f t="shared" si="229"/>
        <v>1753523.5437099012</v>
      </c>
      <c r="I512" s="90">
        <f t="shared" si="229"/>
        <v>24691.860995050054</v>
      </c>
      <c r="J512" s="90">
        <f t="shared" si="229"/>
        <v>248064.65500117667</v>
      </c>
      <c r="K512" s="90">
        <f t="shared" si="229"/>
        <v>180769.18945845027</v>
      </c>
      <c r="L512" s="90">
        <f t="shared" si="229"/>
        <v>18692.129643862521</v>
      </c>
      <c r="M512" s="90">
        <f t="shared" ref="M512" si="230">M503+0.37*M359+M360</f>
        <v>7263823.0077793822</v>
      </c>
      <c r="N512" s="90">
        <v>0</v>
      </c>
      <c r="O512" s="90">
        <v>0</v>
      </c>
      <c r="P512" s="90">
        <v>0</v>
      </c>
      <c r="Q512" s="90">
        <v>0</v>
      </c>
      <c r="R512" s="90">
        <v>0</v>
      </c>
      <c r="S512" s="90">
        <v>0</v>
      </c>
      <c r="T512" s="90">
        <v>0</v>
      </c>
      <c r="U512" s="90">
        <v>0</v>
      </c>
      <c r="V512" s="90">
        <v>0</v>
      </c>
      <c r="W512" s="90">
        <v>0</v>
      </c>
      <c r="X512" s="90">
        <v>0</v>
      </c>
      <c r="Y512" s="90">
        <v>0</v>
      </c>
      <c r="Z512" s="90">
        <v>0</v>
      </c>
      <c r="AA512" s="90">
        <v>0</v>
      </c>
      <c r="AB512" s="90">
        <v>0</v>
      </c>
      <c r="AC512" s="90">
        <v>0</v>
      </c>
      <c r="AD512" s="90">
        <v>0</v>
      </c>
      <c r="AE512" s="90">
        <v>0</v>
      </c>
      <c r="AF512" s="90">
        <v>0</v>
      </c>
      <c r="AG512" s="90">
        <f t="shared" ref="AG512:AG517" si="231">SUM(F512:AF512)</f>
        <v>19930533.118542776</v>
      </c>
      <c r="AH512" s="29" t="str">
        <f t="shared" ref="AH512:AH517" si="232">IF(ABS(E512-AG512)&lt;0.01,"ok","err")</f>
        <v>ok</v>
      </c>
      <c r="AJ512" s="76"/>
      <c r="AK512" s="76"/>
      <c r="AL512" s="76"/>
      <c r="AM512" s="76"/>
      <c r="AN512" s="76"/>
      <c r="AO512" s="76"/>
    </row>
    <row r="513" spans="1:41" x14ac:dyDescent="0.2">
      <c r="A513" s="14" t="s">
        <v>646</v>
      </c>
      <c r="D513" s="90"/>
      <c r="E513" s="256">
        <f>E504+E358+E361+0.63*E359+E363</f>
        <v>36623592.289726883</v>
      </c>
      <c r="F513" s="90">
        <f t="shared" ref="F513:L513" si="233">F504+F358+F361+0.63*F359+F363</f>
        <v>19347819.723451123</v>
      </c>
      <c r="G513" s="90">
        <f t="shared" si="233"/>
        <v>1462431.9644830376</v>
      </c>
      <c r="H513" s="90">
        <f t="shared" si="233"/>
        <v>3827245.3842162811</v>
      </c>
      <c r="I513" s="90">
        <f t="shared" si="233"/>
        <v>98402.764475512056</v>
      </c>
      <c r="J513" s="90">
        <f t="shared" si="233"/>
        <v>394195.90795987862</v>
      </c>
      <c r="K513" s="90">
        <f t="shared" si="233"/>
        <v>605994.8113291316</v>
      </c>
      <c r="L513" s="90">
        <f t="shared" si="233"/>
        <v>62890.309857094879</v>
      </c>
      <c r="M513" s="90">
        <f t="shared" ref="M513" si="234">M504+M358+M361+0.63*M359+M363</f>
        <v>10824611.425546557</v>
      </c>
      <c r="N513" s="90">
        <v>0</v>
      </c>
      <c r="O513" s="90">
        <v>0</v>
      </c>
      <c r="P513" s="90">
        <v>0</v>
      </c>
      <c r="Q513" s="90">
        <v>0</v>
      </c>
      <c r="R513" s="90">
        <v>0</v>
      </c>
      <c r="S513" s="90">
        <v>0</v>
      </c>
      <c r="T513" s="90">
        <v>0</v>
      </c>
      <c r="U513" s="90">
        <v>0</v>
      </c>
      <c r="V513" s="90">
        <v>0</v>
      </c>
      <c r="W513" s="90">
        <v>0</v>
      </c>
      <c r="X513" s="90">
        <v>0</v>
      </c>
      <c r="Y513" s="90">
        <v>0</v>
      </c>
      <c r="Z513" s="90">
        <v>0</v>
      </c>
      <c r="AA513" s="90">
        <v>0</v>
      </c>
      <c r="AB513" s="90">
        <v>0</v>
      </c>
      <c r="AC513" s="90">
        <v>0</v>
      </c>
      <c r="AD513" s="90">
        <v>0</v>
      </c>
      <c r="AE513" s="90">
        <v>0</v>
      </c>
      <c r="AF513" s="90">
        <v>0</v>
      </c>
      <c r="AG513" s="90">
        <f t="shared" si="231"/>
        <v>36623592.291318618</v>
      </c>
      <c r="AH513" s="29" t="str">
        <f t="shared" si="232"/>
        <v>ok</v>
      </c>
      <c r="AJ513" s="76"/>
      <c r="AK513" s="76"/>
      <c r="AL513" s="76"/>
      <c r="AM513" s="76"/>
      <c r="AN513" s="76"/>
      <c r="AO513" s="76"/>
    </row>
    <row r="514" spans="1:41" x14ac:dyDescent="0.2">
      <c r="A514" s="14" t="s">
        <v>895</v>
      </c>
      <c r="D514" s="90"/>
      <c r="E514" s="256">
        <f t="shared" ref="E514" si="235">E505</f>
        <v>0</v>
      </c>
      <c r="F514" s="90">
        <f t="shared" ref="F514:L514" si="236">F505</f>
        <v>0</v>
      </c>
      <c r="G514" s="90">
        <f t="shared" si="236"/>
        <v>0</v>
      </c>
      <c r="H514" s="90">
        <f t="shared" si="236"/>
        <v>0</v>
      </c>
      <c r="I514" s="90">
        <f t="shared" si="236"/>
        <v>0</v>
      </c>
      <c r="J514" s="90">
        <f t="shared" si="236"/>
        <v>0</v>
      </c>
      <c r="K514" s="90">
        <f t="shared" si="236"/>
        <v>0</v>
      </c>
      <c r="L514" s="90">
        <f t="shared" si="236"/>
        <v>0</v>
      </c>
      <c r="M514" s="90">
        <f t="shared" ref="M514" si="237">M505</f>
        <v>0</v>
      </c>
      <c r="N514" s="90">
        <v>0</v>
      </c>
      <c r="O514" s="90">
        <v>0</v>
      </c>
      <c r="P514" s="90">
        <v>0</v>
      </c>
      <c r="Q514" s="90">
        <v>0</v>
      </c>
      <c r="R514" s="90">
        <v>0</v>
      </c>
      <c r="S514" s="90">
        <v>0</v>
      </c>
      <c r="T514" s="90">
        <v>0</v>
      </c>
      <c r="U514" s="90">
        <v>0</v>
      </c>
      <c r="V514" s="90">
        <v>0</v>
      </c>
      <c r="W514" s="90">
        <v>0</v>
      </c>
      <c r="X514" s="90">
        <v>0</v>
      </c>
      <c r="Y514" s="90">
        <v>0</v>
      </c>
      <c r="Z514" s="90">
        <v>0</v>
      </c>
      <c r="AA514" s="90">
        <v>0</v>
      </c>
      <c r="AB514" s="90">
        <v>0</v>
      </c>
      <c r="AC514" s="90">
        <v>0</v>
      </c>
      <c r="AD514" s="90">
        <v>0</v>
      </c>
      <c r="AE514" s="90">
        <v>0</v>
      </c>
      <c r="AF514" s="90">
        <v>0</v>
      </c>
      <c r="AG514" s="90">
        <f t="shared" si="231"/>
        <v>0</v>
      </c>
      <c r="AH514" s="29" t="str">
        <f t="shared" si="232"/>
        <v>ok</v>
      </c>
      <c r="AJ514" s="76"/>
      <c r="AK514" s="76"/>
      <c r="AL514" s="76"/>
      <c r="AM514" s="76"/>
      <c r="AN514" s="76"/>
      <c r="AO514" s="76"/>
    </row>
    <row r="515" spans="1:41" x14ac:dyDescent="0.2">
      <c r="A515" s="14" t="s">
        <v>647</v>
      </c>
      <c r="D515" s="90"/>
      <c r="E515" s="256">
        <f>E506+$D506*(E362+E364+E365+E366+E367+E368+E369+E370)</f>
        <v>6091329.8777211234</v>
      </c>
      <c r="F515" s="90">
        <f t="shared" ref="F515:L515" si="238">F506+$D506*(F362+F364+F365+F366+F367+F368+F369+F370)</f>
        <v>5014353.6721776873</v>
      </c>
      <c r="G515" s="90">
        <f t="shared" si="238"/>
        <v>335916.03047687782</v>
      </c>
      <c r="H515" s="90">
        <f t="shared" si="238"/>
        <v>573285.05566174584</v>
      </c>
      <c r="I515" s="90">
        <f t="shared" si="238"/>
        <v>7932.9635995029548</v>
      </c>
      <c r="J515" s="90">
        <f t="shared" si="238"/>
        <v>92159.649809900409</v>
      </c>
      <c r="K515" s="90">
        <f t="shared" si="238"/>
        <v>61322.291002180507</v>
      </c>
      <c r="L515" s="90">
        <f t="shared" si="238"/>
        <v>6360.214993228592</v>
      </c>
      <c r="M515" s="90">
        <f t="shared" ref="M515" si="239">M506+$D506*(M362+M364+M365+M366+M367+M368+M369+M370)</f>
        <v>0</v>
      </c>
      <c r="N515" s="90">
        <v>0</v>
      </c>
      <c r="O515" s="90">
        <v>0</v>
      </c>
      <c r="P515" s="90">
        <v>0</v>
      </c>
      <c r="Q515" s="90">
        <v>0</v>
      </c>
      <c r="R515" s="90">
        <v>0</v>
      </c>
      <c r="S515" s="90">
        <v>0</v>
      </c>
      <c r="T515" s="90">
        <v>0</v>
      </c>
      <c r="U515" s="90">
        <v>0</v>
      </c>
      <c r="V515" s="90">
        <v>0</v>
      </c>
      <c r="W515" s="90">
        <v>0</v>
      </c>
      <c r="X515" s="90">
        <v>0</v>
      </c>
      <c r="Y515" s="90">
        <v>0</v>
      </c>
      <c r="Z515" s="90">
        <v>0</v>
      </c>
      <c r="AA515" s="90">
        <v>0</v>
      </c>
      <c r="AB515" s="90">
        <v>0</v>
      </c>
      <c r="AC515" s="90">
        <v>0</v>
      </c>
      <c r="AD515" s="90">
        <v>0</v>
      </c>
      <c r="AE515" s="90">
        <v>0</v>
      </c>
      <c r="AF515" s="90">
        <v>0</v>
      </c>
      <c r="AG515" s="90">
        <f t="shared" si="231"/>
        <v>6091329.8777211225</v>
      </c>
      <c r="AH515" s="29" t="str">
        <f t="shared" si="232"/>
        <v>ok</v>
      </c>
      <c r="AJ515" s="76"/>
      <c r="AK515" s="76"/>
      <c r="AL515" s="76"/>
      <c r="AM515" s="76"/>
      <c r="AN515" s="76"/>
      <c r="AO515" s="76"/>
    </row>
    <row r="516" spans="1:41" x14ac:dyDescent="0.2">
      <c r="A516" s="14" t="s">
        <v>648</v>
      </c>
      <c r="D516" s="90"/>
      <c r="E516" s="256">
        <f>E507+$D507*(E362+E364+E365+E366+E367+E368+E369+E370)</f>
        <v>11603218.906094136</v>
      </c>
      <c r="F516" s="90">
        <f t="shared" ref="F516:L516" si="240">F507+$D507*(F362+F364+F365+F366+F367+F368+F369+F370)</f>
        <v>10333761.435835397</v>
      </c>
      <c r="G516" s="90">
        <f t="shared" si="240"/>
        <v>666186.31634667912</v>
      </c>
      <c r="H516" s="90">
        <f t="shared" si="240"/>
        <v>241839.09163366043</v>
      </c>
      <c r="I516" s="90">
        <f t="shared" si="240"/>
        <v>8763.3535316459875</v>
      </c>
      <c r="J516" s="90">
        <f t="shared" si="240"/>
        <v>11354.009509156507</v>
      </c>
      <c r="K516" s="90">
        <f t="shared" si="240"/>
        <v>308790.11672763876</v>
      </c>
      <c r="L516" s="90">
        <f t="shared" si="240"/>
        <v>32524.582509954951</v>
      </c>
      <c r="M516" s="90">
        <f t="shared" ref="M516" si="241">M507+$D507*(M362+M364+M365+M366+M367+M368+M369+M370)</f>
        <v>0</v>
      </c>
      <c r="N516" s="90">
        <v>0</v>
      </c>
      <c r="O516" s="90">
        <v>0</v>
      </c>
      <c r="P516" s="90">
        <v>0</v>
      </c>
      <c r="Q516" s="90">
        <v>0</v>
      </c>
      <c r="R516" s="90">
        <v>0</v>
      </c>
      <c r="S516" s="90">
        <v>0</v>
      </c>
      <c r="T516" s="90">
        <v>0</v>
      </c>
      <c r="U516" s="90">
        <v>0</v>
      </c>
      <c r="V516" s="90">
        <v>0</v>
      </c>
      <c r="W516" s="90">
        <v>0</v>
      </c>
      <c r="X516" s="90">
        <v>0</v>
      </c>
      <c r="Y516" s="90">
        <v>0</v>
      </c>
      <c r="Z516" s="90">
        <v>0</v>
      </c>
      <c r="AA516" s="90">
        <v>0</v>
      </c>
      <c r="AB516" s="90">
        <v>0</v>
      </c>
      <c r="AC516" s="90">
        <v>0</v>
      </c>
      <c r="AD516" s="90">
        <v>0</v>
      </c>
      <c r="AE516" s="90">
        <v>0</v>
      </c>
      <c r="AF516" s="90">
        <v>0</v>
      </c>
      <c r="AG516" s="90">
        <f t="shared" si="231"/>
        <v>11603218.906094134</v>
      </c>
      <c r="AH516" s="29" t="str">
        <f t="shared" si="232"/>
        <v>ok</v>
      </c>
      <c r="AJ516" s="76"/>
      <c r="AK516" s="76"/>
      <c r="AL516" s="76"/>
      <c r="AM516" s="76"/>
      <c r="AN516" s="76"/>
      <c r="AO516" s="76"/>
    </row>
    <row r="517" spans="1:41" x14ac:dyDescent="0.2">
      <c r="A517" s="14" t="s">
        <v>0</v>
      </c>
      <c r="E517" s="271">
        <f>SUM(E512:E516)</f>
        <v>74248674.193815246</v>
      </c>
      <c r="F517" s="101">
        <f t="shared" ref="F517:AF517" si="242">SUM(F512:F516)</f>
        <v>44290739.199762397</v>
      </c>
      <c r="G517" s="101">
        <f t="shared" si="242"/>
        <v>3310698.6749633634</v>
      </c>
      <c r="H517" s="101">
        <f t="shared" si="242"/>
        <v>6395893.0752215888</v>
      </c>
      <c r="I517" s="101">
        <f t="shared" si="242"/>
        <v>139790.94260171105</v>
      </c>
      <c r="J517" s="101">
        <f t="shared" si="242"/>
        <v>745774.22228011221</v>
      </c>
      <c r="K517" s="101">
        <f t="shared" si="242"/>
        <v>1156876.4085174012</v>
      </c>
      <c r="L517" s="101">
        <f t="shared" si="242"/>
        <v>120467.23700414096</v>
      </c>
      <c r="M517" s="101">
        <f t="shared" ref="M517" si="243">SUM(M512:M516)</f>
        <v>18088434.433325939</v>
      </c>
      <c r="N517" s="101">
        <f t="shared" si="242"/>
        <v>0</v>
      </c>
      <c r="O517" s="101">
        <f t="shared" si="242"/>
        <v>0</v>
      </c>
      <c r="P517" s="101">
        <f t="shared" si="242"/>
        <v>0</v>
      </c>
      <c r="Q517" s="101">
        <f t="shared" si="242"/>
        <v>0</v>
      </c>
      <c r="R517" s="101">
        <f t="shared" si="242"/>
        <v>0</v>
      </c>
      <c r="S517" s="90">
        <f t="shared" si="242"/>
        <v>0</v>
      </c>
      <c r="T517" s="90">
        <f t="shared" si="242"/>
        <v>0</v>
      </c>
      <c r="U517" s="90">
        <f t="shared" si="242"/>
        <v>0</v>
      </c>
      <c r="V517" s="90">
        <f t="shared" si="242"/>
        <v>0</v>
      </c>
      <c r="W517" s="90">
        <f t="shared" si="242"/>
        <v>0</v>
      </c>
      <c r="X517" s="90">
        <f t="shared" si="242"/>
        <v>0</v>
      </c>
      <c r="Y517" s="90">
        <f t="shared" si="242"/>
        <v>0</v>
      </c>
      <c r="Z517" s="90">
        <f t="shared" si="242"/>
        <v>0</v>
      </c>
      <c r="AA517" s="90">
        <f t="shared" si="242"/>
        <v>0</v>
      </c>
      <c r="AB517" s="90">
        <f t="shared" si="242"/>
        <v>0</v>
      </c>
      <c r="AC517" s="90">
        <f t="shared" si="242"/>
        <v>0</v>
      </c>
      <c r="AD517" s="90">
        <f t="shared" si="242"/>
        <v>0</v>
      </c>
      <c r="AE517" s="90">
        <f t="shared" si="242"/>
        <v>0</v>
      </c>
      <c r="AF517" s="90">
        <f t="shared" si="242"/>
        <v>0</v>
      </c>
      <c r="AG517" s="90">
        <f t="shared" si="231"/>
        <v>74248674.193676651</v>
      </c>
      <c r="AH517" s="29" t="str">
        <f t="shared" si="232"/>
        <v>ok</v>
      </c>
      <c r="AJ517" s="76"/>
      <c r="AK517" s="76"/>
      <c r="AL517" s="76"/>
      <c r="AM517" s="76"/>
      <c r="AN517" s="76"/>
      <c r="AO517" s="76"/>
    </row>
    <row r="518" spans="1:41" x14ac:dyDescent="0.2">
      <c r="D518" s="14" t="s">
        <v>1163</v>
      </c>
      <c r="E518" s="256">
        <f>E517-E508</f>
        <v>-9756358.3561847508</v>
      </c>
    </row>
    <row r="519" spans="1:41" x14ac:dyDescent="0.2">
      <c r="A519" s="13" t="s">
        <v>76</v>
      </c>
      <c r="D519" s="14" t="s">
        <v>1036</v>
      </c>
      <c r="E519" s="256">
        <f>E518-E382</f>
        <v>0</v>
      </c>
      <c r="F519" s="90"/>
      <c r="G519" s="90"/>
      <c r="H519" s="90"/>
      <c r="I519" s="90"/>
      <c r="J519" s="90"/>
      <c r="K519" s="90"/>
    </row>
    <row r="521" spans="1:41" x14ac:dyDescent="0.2">
      <c r="A521" s="14" t="s">
        <v>897</v>
      </c>
      <c r="E521" s="256">
        <f t="shared" ref="E521:R521" si="244">E85</f>
        <v>0</v>
      </c>
      <c r="F521" s="90">
        <f t="shared" si="244"/>
        <v>0</v>
      </c>
      <c r="G521" s="90">
        <f t="shared" si="244"/>
        <v>0</v>
      </c>
      <c r="H521" s="90">
        <f t="shared" si="244"/>
        <v>0</v>
      </c>
      <c r="I521" s="90">
        <f t="shared" si="244"/>
        <v>0</v>
      </c>
      <c r="J521" s="90">
        <f t="shared" si="244"/>
        <v>0</v>
      </c>
      <c r="K521" s="90">
        <f t="shared" si="244"/>
        <v>0</v>
      </c>
      <c r="L521" s="90">
        <f t="shared" si="244"/>
        <v>0</v>
      </c>
      <c r="M521" s="90">
        <f t="shared" si="244"/>
        <v>0</v>
      </c>
      <c r="N521" s="90">
        <f t="shared" si="244"/>
        <v>0</v>
      </c>
      <c r="O521" s="90">
        <f t="shared" si="244"/>
        <v>0</v>
      </c>
      <c r="P521" s="90">
        <f t="shared" si="244"/>
        <v>0</v>
      </c>
      <c r="Q521" s="90">
        <f t="shared" si="244"/>
        <v>0</v>
      </c>
      <c r="R521" s="90">
        <f t="shared" si="244"/>
        <v>0</v>
      </c>
      <c r="AG521" s="90">
        <f t="shared" ref="AG521:AG526" si="245">SUM(F521:AF521)</f>
        <v>0</v>
      </c>
      <c r="AH521" s="29" t="str">
        <f t="shared" ref="AH521:AH526" si="246">IF(ABS(E521-AG521)&lt;0.01,"ok","err")</f>
        <v>ok</v>
      </c>
    </row>
    <row r="522" spans="1:41" x14ac:dyDescent="0.2">
      <c r="A522" s="14" t="s">
        <v>898</v>
      </c>
      <c r="E522" s="256">
        <f t="shared" ref="E522:R522" si="247">E86</f>
        <v>0</v>
      </c>
      <c r="F522" s="90">
        <f t="shared" si="247"/>
        <v>0</v>
      </c>
      <c r="G522" s="90">
        <f t="shared" si="247"/>
        <v>0</v>
      </c>
      <c r="H522" s="90">
        <f t="shared" si="247"/>
        <v>0</v>
      </c>
      <c r="I522" s="90">
        <f t="shared" si="247"/>
        <v>0</v>
      </c>
      <c r="J522" s="90">
        <f t="shared" si="247"/>
        <v>0</v>
      </c>
      <c r="K522" s="90">
        <f t="shared" si="247"/>
        <v>0</v>
      </c>
      <c r="L522" s="90">
        <f t="shared" si="247"/>
        <v>0</v>
      </c>
      <c r="M522" s="90">
        <f t="shared" si="247"/>
        <v>0</v>
      </c>
      <c r="N522" s="90">
        <f t="shared" si="247"/>
        <v>0</v>
      </c>
      <c r="O522" s="90">
        <f t="shared" si="247"/>
        <v>0</v>
      </c>
      <c r="P522" s="90">
        <f t="shared" si="247"/>
        <v>0</v>
      </c>
      <c r="Q522" s="90">
        <f t="shared" si="247"/>
        <v>0</v>
      </c>
      <c r="R522" s="90">
        <f t="shared" si="247"/>
        <v>0</v>
      </c>
      <c r="AG522" s="90">
        <f t="shared" si="245"/>
        <v>0</v>
      </c>
      <c r="AH522" s="29" t="str">
        <f t="shared" si="246"/>
        <v>ok</v>
      </c>
    </row>
    <row r="523" spans="1:41" x14ac:dyDescent="0.2">
      <c r="A523" s="14" t="s">
        <v>895</v>
      </c>
      <c r="E523" s="256">
        <f t="shared" ref="E523:R523" si="248">E90</f>
        <v>0</v>
      </c>
      <c r="F523" s="90">
        <f t="shared" si="248"/>
        <v>0</v>
      </c>
      <c r="G523" s="90">
        <f t="shared" si="248"/>
        <v>0</v>
      </c>
      <c r="H523" s="90">
        <f t="shared" si="248"/>
        <v>0</v>
      </c>
      <c r="I523" s="90">
        <f t="shared" si="248"/>
        <v>0</v>
      </c>
      <c r="J523" s="90">
        <f t="shared" si="248"/>
        <v>0</v>
      </c>
      <c r="K523" s="90">
        <f t="shared" si="248"/>
        <v>0</v>
      </c>
      <c r="L523" s="90">
        <f t="shared" si="248"/>
        <v>0</v>
      </c>
      <c r="M523" s="90">
        <f t="shared" si="248"/>
        <v>0</v>
      </c>
      <c r="N523" s="90">
        <f t="shared" si="248"/>
        <v>0</v>
      </c>
      <c r="O523" s="90">
        <f t="shared" si="248"/>
        <v>0</v>
      </c>
      <c r="P523" s="90">
        <f t="shared" si="248"/>
        <v>0</v>
      </c>
      <c r="Q523" s="90">
        <f t="shared" si="248"/>
        <v>0</v>
      </c>
      <c r="R523" s="90">
        <f t="shared" si="248"/>
        <v>0</v>
      </c>
      <c r="AG523" s="90">
        <f t="shared" si="245"/>
        <v>0</v>
      </c>
      <c r="AH523" s="29" t="str">
        <f t="shared" si="246"/>
        <v>ok</v>
      </c>
    </row>
    <row r="524" spans="1:41" x14ac:dyDescent="0.2">
      <c r="A524" s="14" t="s">
        <v>647</v>
      </c>
      <c r="E524" s="256">
        <f t="shared" ref="E524:AF524" si="249">E93+E96+E101</f>
        <v>63532156.264208063</v>
      </c>
      <c r="F524" s="90">
        <f t="shared" si="249"/>
        <v>51835018.986568153</v>
      </c>
      <c r="G524" s="90">
        <f t="shared" si="249"/>
        <v>3580214.8032885324</v>
      </c>
      <c r="H524" s="90">
        <f t="shared" si="249"/>
        <v>6287124.9435942052</v>
      </c>
      <c r="I524" s="90">
        <f t="shared" si="249"/>
        <v>87056.385783811857</v>
      </c>
      <c r="J524" s="90">
        <f t="shared" si="249"/>
        <v>996500.1246340333</v>
      </c>
      <c r="K524" s="90">
        <f t="shared" si="249"/>
        <v>676184.63535325357</v>
      </c>
      <c r="L524" s="90">
        <f t="shared" si="249"/>
        <v>70056.384986077537</v>
      </c>
      <c r="M524" s="90">
        <f t="shared" si="249"/>
        <v>0</v>
      </c>
      <c r="N524" s="90">
        <f t="shared" si="249"/>
        <v>0</v>
      </c>
      <c r="O524" s="90">
        <f t="shared" si="249"/>
        <v>0</v>
      </c>
      <c r="P524" s="90">
        <f t="shared" si="249"/>
        <v>0</v>
      </c>
      <c r="Q524" s="90">
        <f t="shared" si="249"/>
        <v>0</v>
      </c>
      <c r="R524" s="90">
        <f t="shared" si="249"/>
        <v>0</v>
      </c>
      <c r="S524" s="90">
        <f t="shared" si="249"/>
        <v>0</v>
      </c>
      <c r="T524" s="90">
        <f t="shared" si="249"/>
        <v>0</v>
      </c>
      <c r="U524" s="90">
        <f t="shared" si="249"/>
        <v>0</v>
      </c>
      <c r="V524" s="90">
        <f t="shared" si="249"/>
        <v>0</v>
      </c>
      <c r="W524" s="90">
        <f t="shared" si="249"/>
        <v>0</v>
      </c>
      <c r="X524" s="90">
        <f t="shared" si="249"/>
        <v>0</v>
      </c>
      <c r="Y524" s="90">
        <f t="shared" si="249"/>
        <v>0</v>
      </c>
      <c r="Z524" s="90">
        <f t="shared" si="249"/>
        <v>0</v>
      </c>
      <c r="AA524" s="90">
        <f t="shared" si="249"/>
        <v>0</v>
      </c>
      <c r="AB524" s="90">
        <f t="shared" si="249"/>
        <v>0</v>
      </c>
      <c r="AC524" s="90">
        <f t="shared" si="249"/>
        <v>0</v>
      </c>
      <c r="AD524" s="90">
        <f t="shared" si="249"/>
        <v>0</v>
      </c>
      <c r="AE524" s="90">
        <f t="shared" si="249"/>
        <v>0</v>
      </c>
      <c r="AF524" s="90">
        <f t="shared" si="249"/>
        <v>0</v>
      </c>
      <c r="AG524" s="90">
        <f t="shared" si="245"/>
        <v>63532156.264208071</v>
      </c>
      <c r="AH524" s="29" t="str">
        <f t="shared" si="246"/>
        <v>ok</v>
      </c>
    </row>
    <row r="525" spans="1:41" x14ac:dyDescent="0.2">
      <c r="A525" s="14" t="s">
        <v>648</v>
      </c>
      <c r="E525" s="254">
        <f t="shared" ref="E525:AD525" si="250">E97+E102+E106+E109+E112+E115</f>
        <v>92226795.272907332</v>
      </c>
      <c r="F525" s="65">
        <f t="shared" si="250"/>
        <v>79193283.42134957</v>
      </c>
      <c r="G525" s="65">
        <f t="shared" si="250"/>
        <v>5132157.3835014412</v>
      </c>
      <c r="H525" s="65">
        <f t="shared" si="250"/>
        <v>1950139.9958420456</v>
      </c>
      <c r="I525" s="65">
        <f t="shared" si="250"/>
        <v>70081.767032411619</v>
      </c>
      <c r="J525" s="65">
        <f t="shared" si="250"/>
        <v>91726.489480474338</v>
      </c>
      <c r="K525" s="65">
        <f t="shared" si="250"/>
        <v>5244099.628298399</v>
      </c>
      <c r="L525" s="65">
        <f t="shared" si="250"/>
        <v>545306.58740297926</v>
      </c>
      <c r="M525" s="65">
        <f t="shared" si="250"/>
        <v>0</v>
      </c>
      <c r="N525" s="65">
        <f t="shared" si="250"/>
        <v>0</v>
      </c>
      <c r="O525" s="65">
        <f t="shared" si="250"/>
        <v>0</v>
      </c>
      <c r="P525" s="65">
        <f t="shared" si="250"/>
        <v>0</v>
      </c>
      <c r="Q525" s="65">
        <f t="shared" si="250"/>
        <v>0</v>
      </c>
      <c r="R525" s="65">
        <f t="shared" si="250"/>
        <v>0</v>
      </c>
      <c r="S525" s="65">
        <f t="shared" si="250"/>
        <v>0</v>
      </c>
      <c r="T525" s="65">
        <f t="shared" si="250"/>
        <v>0</v>
      </c>
      <c r="U525" s="65">
        <f t="shared" si="250"/>
        <v>0</v>
      </c>
      <c r="V525" s="65">
        <f t="shared" si="250"/>
        <v>0</v>
      </c>
      <c r="W525" s="65">
        <f t="shared" si="250"/>
        <v>0</v>
      </c>
      <c r="X525" s="65">
        <f t="shared" si="250"/>
        <v>0</v>
      </c>
      <c r="Y525" s="65">
        <f t="shared" si="250"/>
        <v>0</v>
      </c>
      <c r="Z525" s="65">
        <f t="shared" si="250"/>
        <v>0</v>
      </c>
      <c r="AA525" s="65">
        <f t="shared" si="250"/>
        <v>0</v>
      </c>
      <c r="AB525" s="65">
        <f t="shared" si="250"/>
        <v>0</v>
      </c>
      <c r="AC525" s="65">
        <f t="shared" si="250"/>
        <v>0</v>
      </c>
      <c r="AD525" s="65">
        <f t="shared" si="250"/>
        <v>0</v>
      </c>
      <c r="AE525" s="65"/>
      <c r="AF525" s="65">
        <f>AF97+AF102+AF106+AF109+AF112+AF115</f>
        <v>0</v>
      </c>
      <c r="AG525" s="90">
        <f t="shared" si="245"/>
        <v>92226795.272907332</v>
      </c>
      <c r="AH525" s="29" t="str">
        <f t="shared" si="246"/>
        <v>ok</v>
      </c>
    </row>
    <row r="526" spans="1:41" x14ac:dyDescent="0.2">
      <c r="A526" s="14" t="s">
        <v>0</v>
      </c>
      <c r="E526" s="271">
        <f>SUM(E521:E525)</f>
        <v>155758951.5371154</v>
      </c>
      <c r="F526" s="101">
        <f t="shared" ref="F526:R526" si="251">SUM(F521:F525)</f>
        <v>131028302.40791772</v>
      </c>
      <c r="G526" s="101">
        <f t="shared" si="251"/>
        <v>8712372.1867899746</v>
      </c>
      <c r="H526" s="101">
        <f t="shared" si="251"/>
        <v>8237264.9394362513</v>
      </c>
      <c r="I526" s="101">
        <f t="shared" si="251"/>
        <v>157138.15281622348</v>
      </c>
      <c r="J526" s="101">
        <f t="shared" si="251"/>
        <v>1088226.6141145076</v>
      </c>
      <c r="K526" s="101">
        <f t="shared" si="251"/>
        <v>5920284.2636516523</v>
      </c>
      <c r="L526" s="101">
        <f t="shared" si="251"/>
        <v>615362.97238905681</v>
      </c>
      <c r="M526" s="101">
        <f t="shared" si="251"/>
        <v>0</v>
      </c>
      <c r="N526" s="101">
        <f t="shared" si="251"/>
        <v>0</v>
      </c>
      <c r="O526" s="101">
        <f t="shared" si="251"/>
        <v>0</v>
      </c>
      <c r="P526" s="101">
        <f t="shared" si="251"/>
        <v>0</v>
      </c>
      <c r="Q526" s="101">
        <f t="shared" si="251"/>
        <v>0</v>
      </c>
      <c r="R526" s="101">
        <f t="shared" si="251"/>
        <v>0</v>
      </c>
      <c r="S526" s="178"/>
      <c r="T526" s="178"/>
      <c r="U526" s="178"/>
      <c r="V526" s="178"/>
      <c r="W526" s="178"/>
      <c r="X526" s="178"/>
      <c r="Y526" s="178"/>
      <c r="Z526" s="178"/>
      <c r="AA526" s="178"/>
      <c r="AB526" s="178"/>
      <c r="AC526" s="178"/>
      <c r="AD526" s="178"/>
      <c r="AE526" s="178"/>
      <c r="AF526" s="178"/>
      <c r="AG526" s="101">
        <f t="shared" si="245"/>
        <v>155758951.53711537</v>
      </c>
      <c r="AH526" s="29" t="str">
        <f t="shared" si="246"/>
        <v>ok</v>
      </c>
    </row>
    <row r="529" spans="1:32" x14ac:dyDescent="0.2">
      <c r="A529" s="13" t="s">
        <v>761</v>
      </c>
      <c r="C529" s="283">
        <v>2.4895614689999339E-2</v>
      </c>
      <c r="E529" s="256">
        <f>E512+(E521*$C$529)</f>
        <v>19930533.120273102</v>
      </c>
      <c r="R529" s="77"/>
    </row>
    <row r="530" spans="1:32" x14ac:dyDescent="0.2">
      <c r="A530" s="14" t="s">
        <v>897</v>
      </c>
      <c r="F530" s="90">
        <f t="shared" ref="F530:R530" si="252">F512+(F521*$C$529)</f>
        <v>9594804.368298186</v>
      </c>
      <c r="G530" s="90">
        <f t="shared" si="252"/>
        <v>846164.36365676858</v>
      </c>
      <c r="H530" s="90">
        <f t="shared" si="252"/>
        <v>1753523.5437099012</v>
      </c>
      <c r="I530" s="90">
        <f t="shared" si="252"/>
        <v>24691.860995050054</v>
      </c>
      <c r="J530" s="90">
        <f t="shared" si="252"/>
        <v>248064.65500117667</v>
      </c>
      <c r="K530" s="90">
        <f t="shared" si="252"/>
        <v>180769.18945845027</v>
      </c>
      <c r="L530" s="90">
        <f t="shared" si="252"/>
        <v>18692.129643862521</v>
      </c>
      <c r="M530" s="90">
        <f t="shared" si="252"/>
        <v>7263823.0077793822</v>
      </c>
      <c r="N530" s="90">
        <f t="shared" si="252"/>
        <v>0</v>
      </c>
      <c r="O530" s="90">
        <f t="shared" si="252"/>
        <v>0</v>
      </c>
      <c r="P530" s="90">
        <f t="shared" si="252"/>
        <v>0</v>
      </c>
      <c r="Q530" s="90">
        <f t="shared" si="252"/>
        <v>0</v>
      </c>
      <c r="R530" s="90">
        <f t="shared" si="252"/>
        <v>0</v>
      </c>
      <c r="S530" s="14">
        <f>S512</f>
        <v>0</v>
      </c>
    </row>
    <row r="531" spans="1:32" x14ac:dyDescent="0.2">
      <c r="A531" s="14" t="s">
        <v>898</v>
      </c>
      <c r="E531" s="256">
        <f>E513+(E522*$C$529)</f>
        <v>36623592.289726883</v>
      </c>
      <c r="F531" s="90">
        <f t="shared" ref="F531:R531" si="253">F513+(F522*$C$529)</f>
        <v>19347819.723451123</v>
      </c>
      <c r="G531" s="90">
        <f t="shared" si="253"/>
        <v>1462431.9644830376</v>
      </c>
      <c r="H531" s="90">
        <f t="shared" si="253"/>
        <v>3827245.3842162811</v>
      </c>
      <c r="I531" s="90">
        <f t="shared" si="253"/>
        <v>98402.764475512056</v>
      </c>
      <c r="J531" s="90">
        <f t="shared" si="253"/>
        <v>394195.90795987862</v>
      </c>
      <c r="K531" s="90">
        <f t="shared" si="253"/>
        <v>605994.8113291316</v>
      </c>
      <c r="L531" s="90">
        <f t="shared" si="253"/>
        <v>62890.309857094879</v>
      </c>
      <c r="M531" s="90">
        <f t="shared" si="253"/>
        <v>10824611.425546557</v>
      </c>
      <c r="N531" s="90">
        <f t="shared" si="253"/>
        <v>0</v>
      </c>
      <c r="O531" s="90">
        <f t="shared" si="253"/>
        <v>0</v>
      </c>
      <c r="P531" s="90">
        <f t="shared" si="253"/>
        <v>0</v>
      </c>
      <c r="Q531" s="90">
        <f t="shared" si="253"/>
        <v>0</v>
      </c>
      <c r="R531" s="90">
        <f t="shared" si="253"/>
        <v>0</v>
      </c>
      <c r="S531" s="14">
        <f>S513</f>
        <v>0</v>
      </c>
    </row>
    <row r="532" spans="1:32" x14ac:dyDescent="0.2">
      <c r="A532" s="14" t="s">
        <v>895</v>
      </c>
      <c r="E532" s="256">
        <f>E514+(E523*$C$529)</f>
        <v>0</v>
      </c>
      <c r="F532" s="90">
        <f t="shared" ref="F532:R532" si="254">F514+(F523*$C$529)</f>
        <v>0</v>
      </c>
      <c r="G532" s="90">
        <f t="shared" si="254"/>
        <v>0</v>
      </c>
      <c r="H532" s="90">
        <f t="shared" si="254"/>
        <v>0</v>
      </c>
      <c r="I532" s="90">
        <f t="shared" si="254"/>
        <v>0</v>
      </c>
      <c r="J532" s="90">
        <f t="shared" si="254"/>
        <v>0</v>
      </c>
      <c r="K532" s="90">
        <f t="shared" si="254"/>
        <v>0</v>
      </c>
      <c r="L532" s="90">
        <f t="shared" si="254"/>
        <v>0</v>
      </c>
      <c r="M532" s="90">
        <f t="shared" si="254"/>
        <v>0</v>
      </c>
      <c r="N532" s="90">
        <f t="shared" si="254"/>
        <v>0</v>
      </c>
      <c r="O532" s="90">
        <f t="shared" si="254"/>
        <v>0</v>
      </c>
      <c r="P532" s="90">
        <f t="shared" si="254"/>
        <v>0</v>
      </c>
      <c r="Q532" s="90">
        <f t="shared" si="254"/>
        <v>0</v>
      </c>
      <c r="R532" s="90">
        <f t="shared" si="254"/>
        <v>0</v>
      </c>
    </row>
    <row r="533" spans="1:32" x14ac:dyDescent="0.2">
      <c r="A533" s="14" t="s">
        <v>647</v>
      </c>
      <c r="E533" s="256">
        <f>E515+(E524*$C$529)</f>
        <v>7673001.960499675</v>
      </c>
      <c r="F533" s="90">
        <f t="shared" ref="F533:R533" si="255">F515+(F524*$C$529)</f>
        <v>6304818.3323160876</v>
      </c>
      <c r="G533" s="90">
        <f t="shared" si="255"/>
        <v>425047.67872698093</v>
      </c>
      <c r="H533" s="90">
        <f t="shared" si="255"/>
        <v>729806.89576535102</v>
      </c>
      <c r="I533" s="90">
        <f t="shared" si="255"/>
        <v>10100.285836280671</v>
      </c>
      <c r="J533" s="90">
        <f t="shared" si="255"/>
        <v>116968.13295132562</v>
      </c>
      <c r="K533" s="90">
        <f t="shared" si="255"/>
        <v>78156.323143232818</v>
      </c>
      <c r="L533" s="90">
        <f t="shared" si="255"/>
        <v>8104.3117604162326</v>
      </c>
      <c r="M533" s="90">
        <f t="shared" si="255"/>
        <v>0</v>
      </c>
      <c r="N533" s="90">
        <f t="shared" si="255"/>
        <v>0</v>
      </c>
      <c r="O533" s="90">
        <f t="shared" si="255"/>
        <v>0</v>
      </c>
      <c r="P533" s="90">
        <f t="shared" si="255"/>
        <v>0</v>
      </c>
      <c r="Q533" s="90">
        <f t="shared" si="255"/>
        <v>0</v>
      </c>
      <c r="R533" s="90">
        <f t="shared" si="255"/>
        <v>0</v>
      </c>
      <c r="S533" s="14">
        <f>S515+(S525*$C$529)</f>
        <v>0</v>
      </c>
    </row>
    <row r="534" spans="1:32" x14ac:dyDescent="0.2">
      <c r="A534" s="14" t="s">
        <v>648</v>
      </c>
      <c r="E534" s="256">
        <f>E516+(E525*$C$529)</f>
        <v>13899261.665301889</v>
      </c>
      <c r="F534" s="90">
        <f t="shared" ref="F534:R534" si="256">F516+(F525*$C$529)</f>
        <v>12305326.905929228</v>
      </c>
      <c r="G534" s="90">
        <f t="shared" si="256"/>
        <v>793954.52909476613</v>
      </c>
      <c r="H534" s="90">
        <f t="shared" si="256"/>
        <v>290389.02556170092</v>
      </c>
      <c r="I534" s="90">
        <f t="shared" si="256"/>
        <v>10508.082200479206</v>
      </c>
      <c r="J534" s="90">
        <f t="shared" si="256"/>
        <v>13637.596848128675</v>
      </c>
      <c r="K534" s="90">
        <f t="shared" si="256"/>
        <v>439345.20046972448</v>
      </c>
      <c r="L534" s="90">
        <f t="shared" si="256"/>
        <v>46100.325197857972</v>
      </c>
      <c r="M534" s="90">
        <f t="shared" si="256"/>
        <v>0</v>
      </c>
      <c r="N534" s="90">
        <f t="shared" si="256"/>
        <v>0</v>
      </c>
      <c r="O534" s="90">
        <f t="shared" si="256"/>
        <v>0</v>
      </c>
      <c r="P534" s="90">
        <f t="shared" si="256"/>
        <v>0</v>
      </c>
      <c r="Q534" s="90">
        <f t="shared" si="256"/>
        <v>0</v>
      </c>
      <c r="R534" s="90">
        <f t="shared" si="256"/>
        <v>0</v>
      </c>
      <c r="S534" s="14">
        <f>S516+(S526*$C$529)</f>
        <v>0</v>
      </c>
    </row>
    <row r="535" spans="1:32" ht="15" x14ac:dyDescent="0.35">
      <c r="A535" s="14" t="s">
        <v>0</v>
      </c>
      <c r="C535" s="221"/>
      <c r="E535" s="276">
        <f>SUM(E529:E534)</f>
        <v>78126389.035801545</v>
      </c>
      <c r="F535" s="101">
        <f t="shared" ref="F535:R535" si="257">SUM(F530:F534)</f>
        <v>47552769.329994626</v>
      </c>
      <c r="G535" s="101">
        <f t="shared" si="257"/>
        <v>3527598.5359615535</v>
      </c>
      <c r="H535" s="101">
        <f t="shared" si="257"/>
        <v>6600964.8492532345</v>
      </c>
      <c r="I535" s="101">
        <f t="shared" si="257"/>
        <v>143702.99350732198</v>
      </c>
      <c r="J535" s="101">
        <f t="shared" si="257"/>
        <v>772866.29276050965</v>
      </c>
      <c r="K535" s="101">
        <f t="shared" si="257"/>
        <v>1304265.5244005392</v>
      </c>
      <c r="L535" s="101">
        <f t="shared" si="257"/>
        <v>135787.07645923161</v>
      </c>
      <c r="M535" s="101">
        <f t="shared" si="257"/>
        <v>18088434.433325939</v>
      </c>
      <c r="N535" s="101">
        <f t="shared" si="257"/>
        <v>0</v>
      </c>
      <c r="O535" s="101">
        <f t="shared" si="257"/>
        <v>0</v>
      </c>
      <c r="P535" s="101">
        <f t="shared" si="257"/>
        <v>0</v>
      </c>
      <c r="Q535" s="101">
        <f t="shared" si="257"/>
        <v>0</v>
      </c>
      <c r="R535" s="101">
        <f t="shared" si="257"/>
        <v>0</v>
      </c>
      <c r="S535" s="14">
        <f>SUM(S530:S534)</f>
        <v>0</v>
      </c>
    </row>
    <row r="536" spans="1:32" x14ac:dyDescent="0.2">
      <c r="C536" s="90"/>
      <c r="D536" s="28" t="s">
        <v>1039</v>
      </c>
      <c r="E536" s="267">
        <v>78126389.035801545</v>
      </c>
    </row>
    <row r="537" spans="1:32" x14ac:dyDescent="0.2">
      <c r="D537" s="28" t="s">
        <v>1028</v>
      </c>
      <c r="E537" s="256">
        <f>E535-E536</f>
        <v>0</v>
      </c>
    </row>
    <row r="538" spans="1:32" x14ac:dyDescent="0.2">
      <c r="E538" s="256"/>
    </row>
    <row r="539" spans="1:32" x14ac:dyDescent="0.2">
      <c r="A539" s="13" t="s">
        <v>649</v>
      </c>
    </row>
    <row r="541" spans="1:32" x14ac:dyDescent="0.2">
      <c r="A541" s="14" t="s">
        <v>1000</v>
      </c>
      <c r="F541" s="98">
        <f t="shared" ref="F541:G544" si="258">F512/F$421</f>
        <v>2.8753654888955021E-2</v>
      </c>
      <c r="G541" s="98">
        <f t="shared" si="258"/>
        <v>3.2619019086698717E-2</v>
      </c>
      <c r="H541" s="47">
        <f>H512/H$436</f>
        <v>7.1710138275529207</v>
      </c>
      <c r="I541" s="47">
        <f>I512/I$436</f>
        <v>7.4082102210144658</v>
      </c>
      <c r="J541" s="47">
        <f>J512/J$436</f>
        <v>5.9708576538521658</v>
      </c>
      <c r="K541" s="98"/>
      <c r="L541" s="98"/>
      <c r="N541" s="98" t="e">
        <f>N512/N$421</f>
        <v>#DIV/0!</v>
      </c>
      <c r="O541" s="169"/>
      <c r="P541" s="98" t="e">
        <f>P512/P$421</f>
        <v>#DIV/0!</v>
      </c>
      <c r="Q541" s="98" t="e">
        <f>Q512/Q$421</f>
        <v>#DIV/0!</v>
      </c>
      <c r="R541" s="47" t="e">
        <f>R512/R$436</f>
        <v>#DIV/0!</v>
      </c>
      <c r="S541" s="47" t="e">
        <f>S512/S$421</f>
        <v>#DIV/0!</v>
      </c>
      <c r="T541" s="47">
        <f>T503/1251.6</f>
        <v>0</v>
      </c>
      <c r="U541" s="47" t="e">
        <f>U503/U424</f>
        <v>#DIV/0!</v>
      </c>
      <c r="V541" s="47" t="e">
        <f>V503/V424</f>
        <v>#DIV/0!</v>
      </c>
      <c r="W541" s="47" t="e">
        <f>W503/W424</f>
        <v>#DIV/0!</v>
      </c>
      <c r="X541" s="98" t="e">
        <f>X503/X421</f>
        <v>#DIV/0!</v>
      </c>
      <c r="Y541" s="47" t="e">
        <f>Y503/Y424</f>
        <v>#DIV/0!</v>
      </c>
      <c r="Z541" s="179">
        <f>Z503/3624.9</f>
        <v>0</v>
      </c>
      <c r="AA541" s="89">
        <f>AA503/9725.8</f>
        <v>0</v>
      </c>
      <c r="AB541" s="89">
        <f>AB503/12443</f>
        <v>0</v>
      </c>
      <c r="AC541" s="89">
        <f>AC503/9726</f>
        <v>0</v>
      </c>
      <c r="AD541" s="89">
        <f>AD503/10680</f>
        <v>0</v>
      </c>
      <c r="AE541" s="89"/>
      <c r="AF541" s="89"/>
    </row>
    <row r="542" spans="1:32" x14ac:dyDescent="0.2">
      <c r="A542" s="14" t="s">
        <v>899</v>
      </c>
      <c r="F542" s="98">
        <f t="shared" si="258"/>
        <v>5.7981435559014353E-2</v>
      </c>
      <c r="G542" s="98">
        <f t="shared" si="258"/>
        <v>5.6375685636674264E-2</v>
      </c>
      <c r="H542" s="98">
        <f t="shared" ref="H542:I542" si="259">H513/H$421</f>
        <v>5.8450352552247037E-2</v>
      </c>
      <c r="I542" s="98">
        <f t="shared" si="259"/>
        <v>0.11167424321321356</v>
      </c>
      <c r="J542" s="98">
        <f t="shared" ref="J542" si="260">J513/J$421</f>
        <v>5.6565547114464002E-2</v>
      </c>
      <c r="K542" s="98"/>
      <c r="L542" s="98"/>
      <c r="N542" s="98" t="e">
        <f t="shared" ref="N542" si="261">N513/N$421</f>
        <v>#DIV/0!</v>
      </c>
      <c r="O542" s="169"/>
      <c r="P542" s="98" t="e">
        <f t="shared" ref="P542:S542" si="262">P513/P$421</f>
        <v>#DIV/0!</v>
      </c>
      <c r="Q542" s="98" t="e">
        <f t="shared" si="262"/>
        <v>#DIV/0!</v>
      </c>
      <c r="R542" s="98" t="e">
        <f t="shared" si="262"/>
        <v>#DIV/0!</v>
      </c>
      <c r="S542" s="47" t="e">
        <f t="shared" si="262"/>
        <v>#DIV/0!</v>
      </c>
      <c r="T542" s="47" t="e">
        <f>T504/T$421</f>
        <v>#DIV/0!</v>
      </c>
      <c r="U542" s="47" t="e">
        <f>U504/U$424</f>
        <v>#DIV/0!</v>
      </c>
      <c r="V542" s="47" t="e">
        <f>V504/V$424</f>
        <v>#DIV/0!</v>
      </c>
      <c r="W542" s="47" t="e">
        <f>W504/W$424</f>
        <v>#DIV/0!</v>
      </c>
      <c r="X542" s="98" t="e">
        <f>X504/X$421</f>
        <v>#DIV/0!</v>
      </c>
      <c r="Y542" s="47" t="e">
        <f>Y504/Y$424</f>
        <v>#DIV/0!</v>
      </c>
      <c r="Z542" s="14" t="e">
        <f>Z504/Z$421</f>
        <v>#DIV/0!</v>
      </c>
      <c r="AA542" s="14" t="e">
        <f>AA504/AA$421</f>
        <v>#DIV/0!</v>
      </c>
      <c r="AB542" s="14" t="e">
        <f>AB504/AB$421</f>
        <v>#DIV/0!</v>
      </c>
      <c r="AC542" s="14" t="e">
        <f>AC504/AC$421</f>
        <v>#DIV/0!</v>
      </c>
      <c r="AD542" s="14" t="e">
        <f>AD504/AD$421</f>
        <v>#DIV/0!</v>
      </c>
    </row>
    <row r="543" spans="1:32" x14ac:dyDescent="0.2">
      <c r="A543" s="14" t="s">
        <v>1001</v>
      </c>
      <c r="F543" s="98">
        <f t="shared" si="258"/>
        <v>0</v>
      </c>
      <c r="G543" s="98">
        <f t="shared" si="258"/>
        <v>0</v>
      </c>
      <c r="H543" s="47">
        <f t="shared" ref="H543:I543" si="263">H514/H$436</f>
        <v>0</v>
      </c>
      <c r="I543" s="47">
        <f t="shared" si="263"/>
        <v>0</v>
      </c>
      <c r="J543" s="47">
        <f t="shared" ref="J543" si="264">J514/J$436</f>
        <v>0</v>
      </c>
      <c r="K543" s="98"/>
      <c r="L543" s="98"/>
      <c r="N543" s="98" t="e">
        <f t="shared" ref="N543:N544" si="265">N514/N$421</f>
        <v>#DIV/0!</v>
      </c>
      <c r="O543" s="169"/>
      <c r="P543" s="98" t="e">
        <f t="shared" ref="P543:Q543" si="266">P514/P$421</f>
        <v>#DIV/0!</v>
      </c>
      <c r="Q543" s="98" t="e">
        <f t="shared" si="266"/>
        <v>#DIV/0!</v>
      </c>
      <c r="R543" s="47" t="e">
        <f>R514/R$436</f>
        <v>#DIV/0!</v>
      </c>
      <c r="S543" s="47"/>
      <c r="T543" s="47"/>
      <c r="U543" s="47"/>
      <c r="V543" s="47"/>
      <c r="W543" s="47"/>
      <c r="X543" s="98"/>
      <c r="Y543" s="47"/>
    </row>
    <row r="544" spans="1:32" x14ac:dyDescent="0.2">
      <c r="A544" s="14" t="s">
        <v>1002</v>
      </c>
      <c r="F544" s="98">
        <f t="shared" si="258"/>
        <v>1.502698642375078E-2</v>
      </c>
      <c r="G544" s="98">
        <f t="shared" si="258"/>
        <v>1.294931798155702E-2</v>
      </c>
      <c r="H544" s="47">
        <f>H515/H$436</f>
        <v>2.344442466157127</v>
      </c>
      <c r="I544" s="47">
        <f>I515/I$436</f>
        <v>2.3800985285213963</v>
      </c>
      <c r="J544" s="47">
        <f>J515/J$436</f>
        <v>2.2182610031290793</v>
      </c>
      <c r="K544" s="98"/>
      <c r="L544" s="98"/>
      <c r="N544" s="98" t="e">
        <f t="shared" si="265"/>
        <v>#DIV/0!</v>
      </c>
      <c r="O544" s="169"/>
      <c r="P544" s="98" t="e">
        <f>P515/P$421</f>
        <v>#DIV/0!</v>
      </c>
      <c r="Q544" s="98" t="e">
        <f>Q515/Q$421</f>
        <v>#DIV/0!</v>
      </c>
      <c r="R544" s="47" t="e">
        <f>R515/R$436</f>
        <v>#DIV/0!</v>
      </c>
      <c r="S544" s="47" t="e">
        <f>S515/S$421</f>
        <v>#DIV/0!</v>
      </c>
      <c r="T544" s="47">
        <f>T506/1251.6</f>
        <v>0</v>
      </c>
      <c r="U544" s="47" t="e">
        <f>U506/U424</f>
        <v>#DIV/0!</v>
      </c>
      <c r="V544" s="47" t="e">
        <f>V506/V424</f>
        <v>#DIV/0!</v>
      </c>
      <c r="W544" s="47" t="e">
        <f>W506/W424</f>
        <v>#DIV/0!</v>
      </c>
      <c r="X544" s="98" t="e">
        <f>X506/X421</f>
        <v>#DIV/0!</v>
      </c>
      <c r="Y544" s="47" t="e">
        <f>Y506/Y424</f>
        <v>#DIV/0!</v>
      </c>
      <c r="Z544" s="179">
        <f>Z506/12877</f>
        <v>0</v>
      </c>
      <c r="AA544" s="89">
        <f>AA506/11922</f>
        <v>0</v>
      </c>
      <c r="AB544" s="89">
        <f>AB506/14745</f>
        <v>0</v>
      </c>
      <c r="AC544" s="89">
        <f>AC506/10526</f>
        <v>0</v>
      </c>
      <c r="AD544" s="89">
        <f>AD506/11459</f>
        <v>0</v>
      </c>
      <c r="AE544" s="89"/>
      <c r="AF544" s="89"/>
    </row>
    <row r="545" spans="1:32" s="47" customFormat="1" x14ac:dyDescent="0.2">
      <c r="A545" s="47" t="s">
        <v>900</v>
      </c>
      <c r="E545" s="266"/>
      <c r="F545" s="47">
        <f t="shared" ref="F545:S545" si="267">F516/F424</f>
        <v>29.442928963334808</v>
      </c>
      <c r="G545" s="47">
        <f t="shared" ref="G545:I545" si="268">G516/G424</f>
        <v>30.519805586708774</v>
      </c>
      <c r="H545" s="47">
        <f t="shared" ref="H545" si="269">H516/H424</f>
        <v>50.132481681936241</v>
      </c>
      <c r="I545" s="47">
        <f t="shared" si="268"/>
        <v>182.56986524262473</v>
      </c>
      <c r="J545" s="47">
        <f t="shared" ref="J545" si="270">J516/J424</f>
        <v>189.23349181927512</v>
      </c>
      <c r="M545" s="14"/>
      <c r="N545" s="47" t="e">
        <f t="shared" si="267"/>
        <v>#DIV/0!</v>
      </c>
      <c r="O545" s="169"/>
      <c r="P545" s="47" t="e">
        <f t="shared" si="267"/>
        <v>#DIV/0!</v>
      </c>
      <c r="Q545" s="47" t="e">
        <f t="shared" si="267"/>
        <v>#DIV/0!</v>
      </c>
      <c r="R545" s="47" t="e">
        <f t="shared" si="267"/>
        <v>#DIV/0!</v>
      </c>
      <c r="S545" s="47" t="e">
        <f t="shared" si="267"/>
        <v>#DIV/0!</v>
      </c>
      <c r="T545" s="47" t="e">
        <f t="shared" ref="T545:AD545" si="271">T507/T424</f>
        <v>#DIV/0!</v>
      </c>
      <c r="U545" s="47" t="e">
        <f t="shared" si="271"/>
        <v>#DIV/0!</v>
      </c>
      <c r="V545" s="47" t="e">
        <f t="shared" si="271"/>
        <v>#DIV/0!</v>
      </c>
      <c r="W545" s="47" t="e">
        <f t="shared" si="271"/>
        <v>#DIV/0!</v>
      </c>
      <c r="X545" s="47" t="e">
        <f t="shared" si="271"/>
        <v>#DIV/0!</v>
      </c>
      <c r="Y545" s="47" t="e">
        <f t="shared" si="271"/>
        <v>#DIV/0!</v>
      </c>
      <c r="Z545" s="47" t="e">
        <f t="shared" si="271"/>
        <v>#DIV/0!</v>
      </c>
      <c r="AA545" s="47" t="e">
        <f t="shared" si="271"/>
        <v>#DIV/0!</v>
      </c>
      <c r="AB545" s="47" t="e">
        <f t="shared" si="271"/>
        <v>#DIV/0!</v>
      </c>
      <c r="AC545" s="47" t="e">
        <f t="shared" si="271"/>
        <v>#DIV/0!</v>
      </c>
      <c r="AD545" s="47" t="e">
        <f t="shared" si="271"/>
        <v>#DIV/0!</v>
      </c>
    </row>
    <row r="548" spans="1:32" x14ac:dyDescent="0.2">
      <c r="A548" s="13" t="s">
        <v>650</v>
      </c>
    </row>
    <row r="549" spans="1:32" x14ac:dyDescent="0.2">
      <c r="A549" s="13"/>
    </row>
    <row r="550" spans="1:32" x14ac:dyDescent="0.2">
      <c r="A550" s="14" t="s">
        <v>1000</v>
      </c>
      <c r="F550" s="98">
        <f t="shared" ref="F550:F553" si="272">F521/F$421</f>
        <v>0</v>
      </c>
      <c r="G550" s="98">
        <f t="shared" ref="G550" si="273">G521/G$421</f>
        <v>0</v>
      </c>
      <c r="H550" s="47">
        <f>H521/H$436</f>
        <v>0</v>
      </c>
      <c r="I550" s="47">
        <f>I521/I$436</f>
        <v>0</v>
      </c>
      <c r="J550" s="47">
        <f>J521/J$436</f>
        <v>0</v>
      </c>
      <c r="K550" s="98"/>
      <c r="L550" s="47"/>
      <c r="N550" s="98" t="e">
        <f t="shared" ref="N550:N553" si="274">N521/N$421</f>
        <v>#DIV/0!</v>
      </c>
      <c r="O550" s="169"/>
      <c r="P550" s="98" t="e">
        <f t="shared" ref="P550:Q550" si="275">P521/P$421</f>
        <v>#DIV/0!</v>
      </c>
      <c r="Q550" s="98" t="e">
        <f t="shared" si="275"/>
        <v>#DIV/0!</v>
      </c>
      <c r="R550" s="47" t="e">
        <f>R521/R$436</f>
        <v>#DIV/0!</v>
      </c>
    </row>
    <row r="551" spans="1:32" x14ac:dyDescent="0.2">
      <c r="A551" s="14" t="s">
        <v>899</v>
      </c>
      <c r="F551" s="98">
        <f t="shared" si="272"/>
        <v>0</v>
      </c>
      <c r="G551" s="98">
        <f t="shared" ref="G551" si="276">G522/G$421</f>
        <v>0</v>
      </c>
      <c r="H551" s="98">
        <f>H522/H$421</f>
        <v>0</v>
      </c>
      <c r="I551" s="98">
        <f>I522/I$421</f>
        <v>0</v>
      </c>
      <c r="J551" s="98">
        <f>J522/J$421</f>
        <v>0</v>
      </c>
      <c r="K551" s="98"/>
      <c r="L551" s="98"/>
      <c r="N551" s="98" t="e">
        <f t="shared" si="274"/>
        <v>#DIV/0!</v>
      </c>
      <c r="O551" s="169"/>
      <c r="P551" s="98" t="e">
        <f t="shared" ref="P551:Q551" si="277">P522/P$421</f>
        <v>#DIV/0!</v>
      </c>
      <c r="Q551" s="98" t="e">
        <f t="shared" si="277"/>
        <v>#DIV/0!</v>
      </c>
      <c r="R551" s="98" t="e">
        <f>R522/R$421</f>
        <v>#DIV/0!</v>
      </c>
    </row>
    <row r="552" spans="1:32" x14ac:dyDescent="0.2">
      <c r="A552" s="14" t="s">
        <v>1001</v>
      </c>
      <c r="F552" s="98">
        <f t="shared" si="272"/>
        <v>0</v>
      </c>
      <c r="G552" s="98">
        <f t="shared" ref="G552" si="278">G523/G$421</f>
        <v>0</v>
      </c>
      <c r="H552" s="47">
        <f t="shared" ref="H552:I553" si="279">H523/H$436</f>
        <v>0</v>
      </c>
      <c r="I552" s="47">
        <f t="shared" si="279"/>
        <v>0</v>
      </c>
      <c r="J552" s="47">
        <f t="shared" ref="J552" si="280">J523/J$436</f>
        <v>0</v>
      </c>
      <c r="K552" s="98"/>
      <c r="L552" s="47"/>
      <c r="N552" s="98" t="e">
        <f t="shared" si="274"/>
        <v>#DIV/0!</v>
      </c>
      <c r="O552" s="169"/>
      <c r="P552" s="98" t="e">
        <f t="shared" ref="P552:Q552" si="281">P523/P$421</f>
        <v>#DIV/0!</v>
      </c>
      <c r="Q552" s="98" t="e">
        <f t="shared" si="281"/>
        <v>#DIV/0!</v>
      </c>
      <c r="R552" s="47" t="e">
        <f>R523/R$436</f>
        <v>#DIV/0!</v>
      </c>
    </row>
    <row r="553" spans="1:32" x14ac:dyDescent="0.2">
      <c r="A553" s="14" t="s">
        <v>1002</v>
      </c>
      <c r="F553" s="98">
        <f t="shared" si="272"/>
        <v>0.15533888862046383</v>
      </c>
      <c r="G553" s="98">
        <f t="shared" ref="G553" si="282">G524/G$421</f>
        <v>0.13801466951203456</v>
      </c>
      <c r="H553" s="47">
        <f t="shared" si="279"/>
        <v>25.71112322260652</v>
      </c>
      <c r="I553" s="47">
        <f t="shared" si="279"/>
        <v>26.119214225995446</v>
      </c>
      <c r="J553" s="47">
        <f t="shared" ref="J553" si="283">J524/J$436</f>
        <v>23.985522630007615</v>
      </c>
      <c r="K553" s="98"/>
      <c r="L553" s="47"/>
      <c r="N553" s="98" t="e">
        <f t="shared" si="274"/>
        <v>#DIV/0!</v>
      </c>
      <c r="O553" s="169"/>
      <c r="P553" s="98" t="e">
        <f t="shared" ref="P553:Q553" si="284">P524/P$421</f>
        <v>#DIV/0!</v>
      </c>
      <c r="Q553" s="98" t="e">
        <f t="shared" si="284"/>
        <v>#DIV/0!</v>
      </c>
      <c r="R553" s="47" t="e">
        <f>R524/R$436</f>
        <v>#DIV/0!</v>
      </c>
      <c r="S553" s="47">
        <f>S524/5037.7</f>
        <v>0</v>
      </c>
      <c r="T553" s="47">
        <f>T524/1251.6</f>
        <v>0</v>
      </c>
      <c r="U553" s="47" t="e">
        <f>U524/U424</f>
        <v>#DIV/0!</v>
      </c>
      <c r="V553" s="47" t="e">
        <f>V524/V424</f>
        <v>#DIV/0!</v>
      </c>
      <c r="W553" s="47" t="e">
        <f>W524/W424</f>
        <v>#DIV/0!</v>
      </c>
      <c r="X553" s="47" t="e">
        <f>X524/X424</f>
        <v>#DIV/0!</v>
      </c>
      <c r="Y553" s="47" t="e">
        <f>Y524/Y424</f>
        <v>#DIV/0!</v>
      </c>
      <c r="Z553" s="180">
        <f>Z524/12877</f>
        <v>0</v>
      </c>
      <c r="AA553" s="89">
        <f>AA524/11922</f>
        <v>0</v>
      </c>
      <c r="AB553" s="89">
        <f>AB524/14745</f>
        <v>0</v>
      </c>
      <c r="AC553" s="89">
        <f>AC524/10526</f>
        <v>0</v>
      </c>
      <c r="AD553" s="89">
        <f>AD524/11459</f>
        <v>0</v>
      </c>
      <c r="AE553" s="89"/>
      <c r="AF553" s="89"/>
    </row>
    <row r="554" spans="1:32" x14ac:dyDescent="0.2">
      <c r="A554" s="14" t="s">
        <v>900</v>
      </c>
      <c r="F554" s="47">
        <f t="shared" ref="F554:N554" si="285">F525/F$424</f>
        <v>225.63731828201807</v>
      </c>
      <c r="G554" s="47">
        <f t="shared" ref="G554:I554" si="286">G525/G$424</f>
        <v>235.11807694252525</v>
      </c>
      <c r="H554" s="47">
        <f t="shared" ref="H554" si="287">H525/H$424</f>
        <v>404.25787641833449</v>
      </c>
      <c r="I554" s="47">
        <f t="shared" si="286"/>
        <v>1460.0368131752421</v>
      </c>
      <c r="J554" s="47">
        <f t="shared" ref="J554" si="288">J525/J$424</f>
        <v>1528.7748246745723</v>
      </c>
      <c r="K554" s="47"/>
      <c r="L554" s="47"/>
      <c r="N554" s="47" t="e">
        <f t="shared" si="285"/>
        <v>#DIV/0!</v>
      </c>
      <c r="O554" s="169"/>
      <c r="P554" s="47" t="e">
        <f t="shared" ref="P554:Q554" si="289">P525/P$424</f>
        <v>#DIV/0!</v>
      </c>
      <c r="Q554" s="47" t="e">
        <f t="shared" si="289"/>
        <v>#DIV/0!</v>
      </c>
      <c r="R554" s="47" t="e">
        <f>R525/R$424</f>
        <v>#DIV/0!</v>
      </c>
      <c r="S554" s="47" t="e">
        <f t="shared" ref="S554:AD554" si="290">S525/S$424</f>
        <v>#DIV/0!</v>
      </c>
      <c r="T554" s="47" t="e">
        <f t="shared" si="290"/>
        <v>#DIV/0!</v>
      </c>
      <c r="U554" s="47" t="e">
        <f t="shared" si="290"/>
        <v>#DIV/0!</v>
      </c>
      <c r="V554" s="47" t="e">
        <f t="shared" si="290"/>
        <v>#DIV/0!</v>
      </c>
      <c r="W554" s="47" t="e">
        <f t="shared" si="290"/>
        <v>#DIV/0!</v>
      </c>
      <c r="X554" s="47" t="e">
        <f t="shared" si="290"/>
        <v>#DIV/0!</v>
      </c>
      <c r="Y554" s="47" t="e">
        <f t="shared" si="290"/>
        <v>#DIV/0!</v>
      </c>
      <c r="Z554" s="181" t="e">
        <f t="shared" si="290"/>
        <v>#DIV/0!</v>
      </c>
      <c r="AA554" s="181" t="e">
        <f t="shared" si="290"/>
        <v>#DIV/0!</v>
      </c>
      <c r="AB554" s="181" t="e">
        <f t="shared" si="290"/>
        <v>#DIV/0!</v>
      </c>
      <c r="AC554" s="181" t="e">
        <f t="shared" si="290"/>
        <v>#DIV/0!</v>
      </c>
      <c r="AD554" s="181" t="e">
        <f t="shared" si="290"/>
        <v>#DIV/0!</v>
      </c>
      <c r="AE554" s="181"/>
      <c r="AF554" s="181"/>
    </row>
    <row r="557" spans="1:32" x14ac:dyDescent="0.2">
      <c r="A557" s="27" t="s">
        <v>667</v>
      </c>
      <c r="B557" s="182"/>
      <c r="C557" s="14" t="s">
        <v>906</v>
      </c>
      <c r="F557" s="46">
        <f t="shared" ref="F557:R557" si="291">F394</f>
        <v>-1.3946984983847206E-3</v>
      </c>
      <c r="G557" s="46">
        <f t="shared" si="291"/>
        <v>2.2616207189142024E-2</v>
      </c>
      <c r="H557" s="46">
        <f t="shared" si="291"/>
        <v>0.20021937940591322</v>
      </c>
      <c r="I557" s="46">
        <f t="shared" ref="I557" si="292">I394</f>
        <v>0.30101990715643517</v>
      </c>
      <c r="J557" s="46">
        <f t="shared" si="291"/>
        <v>0.18694169665029794</v>
      </c>
      <c r="K557" s="46"/>
      <c r="L557" s="46"/>
      <c r="N557" s="46" t="e">
        <f t="shared" si="291"/>
        <v>#DIV/0!</v>
      </c>
      <c r="O557" s="46" t="e">
        <f t="shared" si="291"/>
        <v>#DIV/0!</v>
      </c>
      <c r="P557" s="46" t="e">
        <f t="shared" si="291"/>
        <v>#DIV/0!</v>
      </c>
      <c r="Q557" s="46" t="e">
        <f t="shared" si="291"/>
        <v>#DIV/0!</v>
      </c>
      <c r="R557" s="46" t="e">
        <f t="shared" si="291"/>
        <v>#DIV/0!</v>
      </c>
    </row>
    <row r="558" spans="1:32" x14ac:dyDescent="0.2">
      <c r="A558" s="13"/>
    </row>
    <row r="559" spans="1:32" x14ac:dyDescent="0.2">
      <c r="A559" s="13" t="s">
        <v>763</v>
      </c>
    </row>
    <row r="560" spans="1:32" x14ac:dyDescent="0.2">
      <c r="A560" s="14" t="s">
        <v>1003</v>
      </c>
      <c r="F560" s="102">
        <f t="shared" ref="F560:N560" si="293">F541</f>
        <v>2.8753654888955021E-2</v>
      </c>
      <c r="G560" s="102">
        <f t="shared" ref="G560" si="294">G541</f>
        <v>3.2619019086698717E-2</v>
      </c>
      <c r="H560" s="47">
        <f t="shared" ref="H560:I560" si="295">H541</f>
        <v>7.1710138275529207</v>
      </c>
      <c r="I560" s="47">
        <f t="shared" si="295"/>
        <v>7.4082102210144658</v>
      </c>
      <c r="J560" s="47">
        <f t="shared" ref="J560" si="296">J541</f>
        <v>5.9708576538521658</v>
      </c>
      <c r="K560" s="102"/>
      <c r="L560" s="47"/>
      <c r="N560" s="102" t="e">
        <f t="shared" si="293"/>
        <v>#DIV/0!</v>
      </c>
      <c r="P560" s="102" t="e">
        <f t="shared" ref="P560:S560" si="297">P541</f>
        <v>#DIV/0!</v>
      </c>
      <c r="Q560" s="102" t="e">
        <f t="shared" si="297"/>
        <v>#DIV/0!</v>
      </c>
      <c r="R560" s="47" t="e">
        <f>R541</f>
        <v>#DIV/0!</v>
      </c>
      <c r="S560" s="102" t="e">
        <f t="shared" si="297"/>
        <v>#DIV/0!</v>
      </c>
      <c r="T560" s="102" t="e">
        <f>#REF!</f>
        <v>#REF!</v>
      </c>
      <c r="U560" s="102" t="e">
        <f>#REF!</f>
        <v>#REF!</v>
      </c>
      <c r="V560" s="102" t="e">
        <f>#REF!</f>
        <v>#REF!</v>
      </c>
      <c r="W560" s="102" t="e">
        <f>#REF!</f>
        <v>#REF!</v>
      </c>
      <c r="X560" s="102" t="e">
        <f>#REF!</f>
        <v>#REF!</v>
      </c>
      <c r="Y560" s="102" t="e">
        <f>#REF!</f>
        <v>#REF!</v>
      </c>
      <c r="Z560" s="102" t="e">
        <f>#REF!</f>
        <v>#REF!</v>
      </c>
      <c r="AA560" s="102" t="e">
        <f>#REF!</f>
        <v>#REF!</v>
      </c>
      <c r="AB560" s="102" t="e">
        <f>#REF!</f>
        <v>#REF!</v>
      </c>
      <c r="AC560" s="102" t="e">
        <f>#REF!</f>
        <v>#REF!</v>
      </c>
      <c r="AD560" s="102" t="e">
        <f>#REF!</f>
        <v>#REF!</v>
      </c>
      <c r="AE560" s="102" t="e">
        <f>#REF!</f>
        <v>#REF!</v>
      </c>
      <c r="AF560" s="102" t="e">
        <f>#REF!</f>
        <v>#REF!</v>
      </c>
    </row>
    <row r="561" spans="1:37" x14ac:dyDescent="0.2">
      <c r="A561" s="14" t="s">
        <v>1004</v>
      </c>
      <c r="F561" s="102">
        <f t="shared" ref="F561:I561" si="298">(F521*F394)/F$421</f>
        <v>0</v>
      </c>
      <c r="G561" s="102">
        <f t="shared" si="298"/>
        <v>0</v>
      </c>
      <c r="H561" s="102">
        <f t="shared" ref="H561" si="299">(H521*H394)/H$421</f>
        <v>0</v>
      </c>
      <c r="I561" s="102">
        <f t="shared" si="298"/>
        <v>0</v>
      </c>
      <c r="J561" s="102">
        <f t="shared" ref="J561" si="300">(J521*J394)/J$421</f>
        <v>0</v>
      </c>
      <c r="K561" s="102"/>
      <c r="L561" s="47"/>
      <c r="N561" s="102" t="e">
        <f>(N521*N394)/N$421</f>
        <v>#DIV/0!</v>
      </c>
      <c r="P561" s="102" t="e">
        <f>(P521*P394)/P$421</f>
        <v>#DIV/0!</v>
      </c>
      <c r="Q561" s="102" t="e">
        <f>(Q521*Q394)/Q$421</f>
        <v>#DIV/0!</v>
      </c>
      <c r="R561" s="47" t="e">
        <f>(R521*R394)/R$436</f>
        <v>#DIV/0!</v>
      </c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</row>
    <row r="562" spans="1:37" x14ac:dyDescent="0.2">
      <c r="A562" s="14" t="s">
        <v>901</v>
      </c>
      <c r="F562" s="102">
        <f t="shared" ref="F562:S562" si="301">F542</f>
        <v>5.7981435559014353E-2</v>
      </c>
      <c r="G562" s="102">
        <f t="shared" ref="G562" si="302">G542</f>
        <v>5.6375685636674264E-2</v>
      </c>
      <c r="H562" s="102">
        <f t="shared" ref="H562:I562" si="303">H542</f>
        <v>5.8450352552247037E-2</v>
      </c>
      <c r="I562" s="102">
        <f t="shared" si="303"/>
        <v>0.11167424321321356</v>
      </c>
      <c r="J562" s="102">
        <f t="shared" ref="J562" si="304">J542</f>
        <v>5.6565547114464002E-2</v>
      </c>
      <c r="K562" s="102"/>
      <c r="L562" s="102"/>
      <c r="N562" s="102" t="e">
        <f t="shared" ref="N562" si="305">N542</f>
        <v>#DIV/0!</v>
      </c>
      <c r="P562" s="102" t="e">
        <f t="shared" si="301"/>
        <v>#DIV/0!</v>
      </c>
      <c r="Q562" s="102" t="e">
        <f t="shared" si="301"/>
        <v>#DIV/0!</v>
      </c>
      <c r="R562" s="102" t="e">
        <f t="shared" si="301"/>
        <v>#DIV/0!</v>
      </c>
      <c r="S562" s="102" t="e">
        <f t="shared" si="301"/>
        <v>#DIV/0!</v>
      </c>
      <c r="T562" s="102" t="e">
        <f>#REF!</f>
        <v>#REF!</v>
      </c>
      <c r="U562" s="102" t="e">
        <f>#REF!</f>
        <v>#REF!</v>
      </c>
      <c r="V562" s="102" t="e">
        <f>#REF!</f>
        <v>#REF!</v>
      </c>
      <c r="W562" s="102" t="e">
        <f>#REF!</f>
        <v>#REF!</v>
      </c>
      <c r="X562" s="102" t="e">
        <f>#REF!</f>
        <v>#REF!</v>
      </c>
      <c r="Y562" s="102" t="e">
        <f>#REF!</f>
        <v>#REF!</v>
      </c>
      <c r="Z562" s="102" t="e">
        <f>#REF!</f>
        <v>#REF!</v>
      </c>
      <c r="AA562" s="102" t="e">
        <f>#REF!</f>
        <v>#REF!</v>
      </c>
      <c r="AB562" s="102" t="e">
        <f>#REF!</f>
        <v>#REF!</v>
      </c>
      <c r="AC562" s="102" t="e">
        <f>#REF!</f>
        <v>#REF!</v>
      </c>
      <c r="AD562" s="102" t="e">
        <f>#REF!</f>
        <v>#REF!</v>
      </c>
      <c r="AE562" s="102" t="e">
        <f>#REF!</f>
        <v>#REF!</v>
      </c>
      <c r="AF562" s="102" t="e">
        <f>#REF!</f>
        <v>#REF!</v>
      </c>
    </row>
    <row r="563" spans="1:37" x14ac:dyDescent="0.2">
      <c r="A563" s="14" t="s">
        <v>902</v>
      </c>
      <c r="F563" s="102">
        <f t="shared" ref="F563:R563" si="306">(F522*F394)/F$421</f>
        <v>0</v>
      </c>
      <c r="G563" s="102">
        <f t="shared" ref="G563" si="307">(G522*G394)/G$421</f>
        <v>0</v>
      </c>
      <c r="H563" s="102">
        <f t="shared" ref="H563:I563" si="308">(H522*H394)/H$421</f>
        <v>0</v>
      </c>
      <c r="I563" s="102">
        <f t="shared" si="308"/>
        <v>0</v>
      </c>
      <c r="J563" s="102">
        <f t="shared" ref="J563" si="309">(J522*J394)/J$421</f>
        <v>0</v>
      </c>
      <c r="K563" s="102"/>
      <c r="L563" s="102"/>
      <c r="N563" s="102" t="e">
        <f t="shared" si="306"/>
        <v>#DIV/0!</v>
      </c>
      <c r="P563" s="102" t="e">
        <f t="shared" si="306"/>
        <v>#DIV/0!</v>
      </c>
      <c r="Q563" s="102" t="e">
        <f t="shared" si="306"/>
        <v>#DIV/0!</v>
      </c>
      <c r="R563" s="102" t="e">
        <f t="shared" si="306"/>
        <v>#DIV/0!</v>
      </c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</row>
    <row r="564" spans="1:37" x14ac:dyDescent="0.2">
      <c r="F564" s="102"/>
      <c r="G564" s="102"/>
      <c r="H564" s="102"/>
      <c r="I564" s="102"/>
      <c r="J564" s="102"/>
      <c r="K564" s="102"/>
      <c r="L564" s="102"/>
      <c r="N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</row>
    <row r="565" spans="1:37" x14ac:dyDescent="0.2">
      <c r="A565" s="13" t="s">
        <v>895</v>
      </c>
      <c r="F565" s="102"/>
      <c r="G565" s="102"/>
      <c r="H565" s="102"/>
      <c r="I565" s="102"/>
      <c r="J565" s="102"/>
      <c r="K565" s="102"/>
      <c r="L565" s="102"/>
      <c r="N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</row>
    <row r="566" spans="1:37" x14ac:dyDescent="0.2">
      <c r="A566" s="14" t="s">
        <v>1005</v>
      </c>
      <c r="F566" s="102">
        <f t="shared" ref="F566:R566" si="310">F543</f>
        <v>0</v>
      </c>
      <c r="G566" s="102">
        <f t="shared" ref="G566:H566" si="311">G543</f>
        <v>0</v>
      </c>
      <c r="H566" s="102">
        <f t="shared" si="311"/>
        <v>0</v>
      </c>
      <c r="I566" s="102">
        <f t="shared" ref="I566" si="312">I543</f>
        <v>0</v>
      </c>
      <c r="J566" s="102">
        <f t="shared" ref="J566" si="313">J543</f>
        <v>0</v>
      </c>
      <c r="K566" s="102"/>
      <c r="L566" s="102"/>
      <c r="N566" s="102" t="e">
        <f t="shared" si="310"/>
        <v>#DIV/0!</v>
      </c>
      <c r="P566" s="102" t="e">
        <f t="shared" si="310"/>
        <v>#DIV/0!</v>
      </c>
      <c r="Q566" s="102" t="e">
        <f t="shared" si="310"/>
        <v>#DIV/0!</v>
      </c>
      <c r="R566" s="47" t="e">
        <f t="shared" si="310"/>
        <v>#DIV/0!</v>
      </c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</row>
    <row r="567" spans="1:37" s="74" customFormat="1" ht="15" x14ac:dyDescent="0.2">
      <c r="A567" s="74" t="s">
        <v>1006</v>
      </c>
      <c r="E567" s="277"/>
      <c r="F567" s="106">
        <f t="shared" ref="F567:J567" si="314">(F523*F394)/F$421</f>
        <v>0</v>
      </c>
      <c r="G567" s="106">
        <f t="shared" si="314"/>
        <v>0</v>
      </c>
      <c r="H567" s="106">
        <f t="shared" si="314"/>
        <v>0</v>
      </c>
      <c r="I567" s="106">
        <f t="shared" si="314"/>
        <v>0</v>
      </c>
      <c r="J567" s="106">
        <f t="shared" si="314"/>
        <v>0</v>
      </c>
      <c r="K567" s="106"/>
      <c r="L567" s="106"/>
      <c r="M567" s="14"/>
      <c r="N567" s="106" t="e">
        <f>(N523*N394)/N$421</f>
        <v>#DIV/0!</v>
      </c>
      <c r="O567" s="14"/>
      <c r="P567" s="106" t="e">
        <f>(P523*P394)/P$421</f>
        <v>#DIV/0!</v>
      </c>
      <c r="Q567" s="106" t="e">
        <f>(Q523*Q394)/Q$421</f>
        <v>#DIV/0!</v>
      </c>
      <c r="R567" s="164" t="e">
        <f>(R523*R394)/R$436</f>
        <v>#DIV/0!</v>
      </c>
      <c r="AK567" s="78"/>
    </row>
    <row r="568" spans="1:37" x14ac:dyDescent="0.2">
      <c r="B568" s="14" t="s">
        <v>1007</v>
      </c>
      <c r="F568" s="107">
        <f t="shared" ref="F568:J568" si="315">F567+F566</f>
        <v>0</v>
      </c>
      <c r="G568" s="107">
        <f t="shared" si="315"/>
        <v>0</v>
      </c>
      <c r="H568" s="107">
        <f t="shared" si="315"/>
        <v>0</v>
      </c>
      <c r="I568" s="107">
        <f t="shared" si="315"/>
        <v>0</v>
      </c>
      <c r="J568" s="107">
        <f t="shared" si="315"/>
        <v>0</v>
      </c>
      <c r="K568" s="107"/>
      <c r="L568" s="107"/>
      <c r="N568" s="107" t="e">
        <f t="shared" ref="N568:R568" si="316">N567+N566</f>
        <v>#DIV/0!</v>
      </c>
      <c r="P568" s="107" t="e">
        <f t="shared" si="316"/>
        <v>#DIV/0!</v>
      </c>
      <c r="Q568" s="107" t="e">
        <f t="shared" si="316"/>
        <v>#DIV/0!</v>
      </c>
      <c r="R568" s="47" t="e">
        <f t="shared" si="316"/>
        <v>#DIV/0!</v>
      </c>
    </row>
    <row r="569" spans="1:37" x14ac:dyDescent="0.2">
      <c r="P569" s="47"/>
    </row>
    <row r="570" spans="1:37" x14ac:dyDescent="0.2">
      <c r="A570" s="13" t="s">
        <v>668</v>
      </c>
      <c r="P570" s="47"/>
    </row>
    <row r="571" spans="1:37" x14ac:dyDescent="0.2">
      <c r="A571" s="14" t="s">
        <v>1008</v>
      </c>
      <c r="F571" s="102">
        <f t="shared" ref="F571:S571" si="317">F544</f>
        <v>1.502698642375078E-2</v>
      </c>
      <c r="G571" s="102">
        <f t="shared" ref="G571" si="318">G544</f>
        <v>1.294931798155702E-2</v>
      </c>
      <c r="H571" s="47">
        <f t="shared" ref="H571:I571" si="319">H544</f>
        <v>2.344442466157127</v>
      </c>
      <c r="I571" s="47">
        <f t="shared" si="319"/>
        <v>2.3800985285213963</v>
      </c>
      <c r="J571" s="47">
        <f t="shared" ref="J571" si="320">J544</f>
        <v>2.2182610031290793</v>
      </c>
      <c r="K571" s="102"/>
      <c r="L571" s="47"/>
      <c r="N571" s="102" t="e">
        <f t="shared" ref="N571" si="321">N544</f>
        <v>#DIV/0!</v>
      </c>
      <c r="P571" s="102" t="e">
        <f t="shared" si="317"/>
        <v>#DIV/0!</v>
      </c>
      <c r="Q571" s="102" t="e">
        <f t="shared" si="317"/>
        <v>#DIV/0!</v>
      </c>
      <c r="R571" s="47" t="e">
        <f t="shared" si="317"/>
        <v>#DIV/0!</v>
      </c>
      <c r="S571" s="102" t="e">
        <f t="shared" si="317"/>
        <v>#DIV/0!</v>
      </c>
      <c r="T571" s="102" t="e">
        <f>#REF!</f>
        <v>#REF!</v>
      </c>
      <c r="U571" s="102" t="e">
        <f>#REF!</f>
        <v>#REF!</v>
      </c>
      <c r="V571" s="102" t="e">
        <f>#REF!</f>
        <v>#REF!</v>
      </c>
      <c r="W571" s="102" t="e">
        <f>#REF!</f>
        <v>#REF!</v>
      </c>
      <c r="X571" s="102" t="e">
        <f>#REF!</f>
        <v>#REF!</v>
      </c>
      <c r="Y571" s="102" t="e">
        <f>#REF!</f>
        <v>#REF!</v>
      </c>
      <c r="Z571" s="102" t="e">
        <f>#REF!</f>
        <v>#REF!</v>
      </c>
      <c r="AA571" s="102" t="e">
        <f>#REF!</f>
        <v>#REF!</v>
      </c>
      <c r="AB571" s="102" t="e">
        <f>#REF!</f>
        <v>#REF!</v>
      </c>
      <c r="AC571" s="102" t="e">
        <f>#REF!</f>
        <v>#REF!</v>
      </c>
      <c r="AD571" s="102" t="e">
        <f>#REF!</f>
        <v>#REF!</v>
      </c>
      <c r="AE571" s="102" t="e">
        <f>#REF!</f>
        <v>#REF!</v>
      </c>
      <c r="AF571" s="102" t="e">
        <f>#REF!</f>
        <v>#REF!</v>
      </c>
    </row>
    <row r="572" spans="1:37" ht="15" x14ac:dyDescent="0.35">
      <c r="A572" s="74" t="s">
        <v>1009</v>
      </c>
      <c r="E572" s="278"/>
      <c r="F572" s="108">
        <f t="shared" ref="F572:I572" si="322">(F524*F394)/F$421</f>
        <v>-2.1665091469971228E-4</v>
      </c>
      <c r="G572" s="108">
        <f t="shared" si="322"/>
        <v>3.1213683608251365E-3</v>
      </c>
      <c r="H572" s="109">
        <f t="shared" ref="H572" si="323">(H524*H394)/H$421</f>
        <v>1.9224675995569554E-2</v>
      </c>
      <c r="I572" s="109">
        <f t="shared" si="322"/>
        <v>2.9740041429546595E-2</v>
      </c>
      <c r="J572" s="109">
        <f t="shared" ref="J572" si="324">(J524*J394)/J$421</f>
        <v>2.6731505444285163E-2</v>
      </c>
      <c r="K572" s="108"/>
      <c r="L572" s="109"/>
      <c r="N572" s="108" t="e">
        <f>(N524*N394)/N$421</f>
        <v>#DIV/0!</v>
      </c>
      <c r="P572" s="108" t="e">
        <f>(P524*P394)/P$421</f>
        <v>#DIV/0!</v>
      </c>
      <c r="Q572" s="108" t="e">
        <f>(Q524*Q394)/Q$421</f>
        <v>#DIV/0!</v>
      </c>
      <c r="R572" s="109" t="e">
        <f>(R524*R394)/R$436</f>
        <v>#DIV/0!</v>
      </c>
      <c r="S572" s="108" t="e">
        <f>(S524*S394)/S$421</f>
        <v>#DIV/0!</v>
      </c>
      <c r="T572" s="108" t="e">
        <f>(#REF!*T330)/1026.4</f>
        <v>#REF!</v>
      </c>
      <c r="U572" s="108" t="e">
        <f>(#REF!*U330)/11504</f>
        <v>#REF!</v>
      </c>
      <c r="V572" s="108" t="e">
        <f>(#REF!*V330)/7284</f>
        <v>#REF!</v>
      </c>
      <c r="W572" s="108" t="e">
        <f>(#REF!*W330)/320.47</f>
        <v>#REF!</v>
      </c>
      <c r="X572" s="108" t="e">
        <f>(#REF!*X330)/26669</f>
        <v>#REF!</v>
      </c>
      <c r="Y572" s="108" t="e">
        <f>(#REF!*Y330)/68503</f>
        <v>#REF!</v>
      </c>
      <c r="Z572" s="108" t="e">
        <f>(#REF!*Z330)/Z$421</f>
        <v>#REF!</v>
      </c>
      <c r="AA572" s="108" t="e">
        <f>(#REF!*AA330)/17492.7</f>
        <v>#REF!</v>
      </c>
      <c r="AB572" s="108" t="e">
        <f>(#REF!*AB330)/10846</f>
        <v>#REF!</v>
      </c>
      <c r="AC572" s="108" t="e">
        <f>(#REF!*AC330)/12274</f>
        <v>#REF!</v>
      </c>
      <c r="AD572" s="108" t="e">
        <f>(#REF!*AD330)/10405</f>
        <v>#REF!</v>
      </c>
      <c r="AE572" s="108" t="e">
        <f>(#REF!*AE330)/12044</f>
        <v>#REF!</v>
      </c>
      <c r="AF572" s="108" t="e">
        <f>(#REF!*#REF!)/AF$434/12</f>
        <v>#REF!</v>
      </c>
    </row>
    <row r="573" spans="1:37" x14ac:dyDescent="0.2">
      <c r="B573" s="14" t="s">
        <v>1010</v>
      </c>
      <c r="F573" s="102">
        <f t="shared" ref="F573:I573" si="325">F571+F572</f>
        <v>1.4810335509051068E-2</v>
      </c>
      <c r="G573" s="102">
        <f t="shared" si="325"/>
        <v>1.6070686342382158E-2</v>
      </c>
      <c r="H573" s="47">
        <f t="shared" ref="H573" si="326">H571+H572</f>
        <v>2.3636671421526967</v>
      </c>
      <c r="I573" s="47">
        <f t="shared" si="325"/>
        <v>2.409838569950943</v>
      </c>
      <c r="J573" s="47">
        <f t="shared" ref="J573" si="327">J571+J572</f>
        <v>2.2449925085733646</v>
      </c>
      <c r="K573" s="102"/>
      <c r="L573" s="47"/>
      <c r="N573" s="102" t="e">
        <f>N571+N572</f>
        <v>#DIV/0!</v>
      </c>
      <c r="P573" s="102" t="e">
        <f t="shared" ref="P573:AF573" si="328">P571+P572</f>
        <v>#DIV/0!</v>
      </c>
      <c r="Q573" s="102" t="e">
        <f t="shared" si="328"/>
        <v>#DIV/0!</v>
      </c>
      <c r="R573" s="47" t="e">
        <f t="shared" si="328"/>
        <v>#DIV/0!</v>
      </c>
      <c r="S573" s="102" t="e">
        <f t="shared" si="328"/>
        <v>#DIV/0!</v>
      </c>
      <c r="T573" s="102" t="e">
        <f t="shared" si="328"/>
        <v>#REF!</v>
      </c>
      <c r="U573" s="102" t="e">
        <f t="shared" si="328"/>
        <v>#REF!</v>
      </c>
      <c r="V573" s="102" t="e">
        <f t="shared" si="328"/>
        <v>#REF!</v>
      </c>
      <c r="W573" s="102" t="e">
        <f t="shared" si="328"/>
        <v>#REF!</v>
      </c>
      <c r="X573" s="102" t="e">
        <f t="shared" si="328"/>
        <v>#REF!</v>
      </c>
      <c r="Y573" s="102" t="e">
        <f t="shared" si="328"/>
        <v>#REF!</v>
      </c>
      <c r="Z573" s="102" t="e">
        <f t="shared" si="328"/>
        <v>#REF!</v>
      </c>
      <c r="AA573" s="102" t="e">
        <f t="shared" si="328"/>
        <v>#REF!</v>
      </c>
      <c r="AB573" s="102" t="e">
        <f t="shared" si="328"/>
        <v>#REF!</v>
      </c>
      <c r="AC573" s="102" t="e">
        <f t="shared" si="328"/>
        <v>#REF!</v>
      </c>
      <c r="AD573" s="102" t="e">
        <f t="shared" si="328"/>
        <v>#REF!</v>
      </c>
      <c r="AE573" s="102" t="e">
        <f t="shared" si="328"/>
        <v>#REF!</v>
      </c>
      <c r="AF573" s="102" t="e">
        <f t="shared" si="328"/>
        <v>#REF!</v>
      </c>
    </row>
    <row r="575" spans="1:37" x14ac:dyDescent="0.2">
      <c r="A575" s="13" t="s">
        <v>669</v>
      </c>
    </row>
    <row r="576" spans="1:37" x14ac:dyDescent="0.2">
      <c r="A576" s="14" t="s">
        <v>670</v>
      </c>
      <c r="F576" s="77">
        <f t="shared" ref="F576:S576" si="329">F545</f>
        <v>29.442928963334808</v>
      </c>
      <c r="G576" s="77">
        <f t="shared" ref="G576:H576" si="330">G545</f>
        <v>30.519805586708774</v>
      </c>
      <c r="H576" s="77">
        <f t="shared" si="330"/>
        <v>50.132481681936241</v>
      </c>
      <c r="I576" s="77">
        <f t="shared" ref="I576" si="331">I545</f>
        <v>182.56986524262473</v>
      </c>
      <c r="J576" s="77">
        <f t="shared" ref="J576:N576" si="332">J545</f>
        <v>189.23349181927512</v>
      </c>
      <c r="K576" s="77"/>
      <c r="L576" s="77"/>
      <c r="N576" s="77" t="e">
        <f t="shared" si="332"/>
        <v>#DIV/0!</v>
      </c>
      <c r="P576" s="77" t="e">
        <f t="shared" si="329"/>
        <v>#DIV/0!</v>
      </c>
      <c r="Q576" s="77" t="e">
        <f t="shared" si="329"/>
        <v>#DIV/0!</v>
      </c>
      <c r="R576" s="77" t="e">
        <f t="shared" si="329"/>
        <v>#DIV/0!</v>
      </c>
      <c r="S576" s="77" t="e">
        <f t="shared" si="329"/>
        <v>#DIV/0!</v>
      </c>
      <c r="T576" s="77" t="e">
        <f>#REF!</f>
        <v>#REF!</v>
      </c>
      <c r="U576" s="77" t="e">
        <f>#REF!</f>
        <v>#REF!</v>
      </c>
      <c r="V576" s="77" t="e">
        <f>#REF!</f>
        <v>#REF!</v>
      </c>
      <c r="W576" s="77" t="e">
        <f>#REF!</f>
        <v>#REF!</v>
      </c>
      <c r="X576" s="77" t="e">
        <f>#REF!</f>
        <v>#REF!</v>
      </c>
      <c r="Y576" s="77" t="e">
        <f>#REF!</f>
        <v>#REF!</v>
      </c>
      <c r="Z576" s="77" t="e">
        <f>#REF!</f>
        <v>#REF!</v>
      </c>
      <c r="AA576" s="77" t="e">
        <f>#REF!</f>
        <v>#REF!</v>
      </c>
      <c r="AB576" s="77" t="e">
        <f>#REF!</f>
        <v>#REF!</v>
      </c>
      <c r="AC576" s="77" t="e">
        <f>#REF!</f>
        <v>#REF!</v>
      </c>
      <c r="AD576" s="77" t="e">
        <f>#REF!</f>
        <v>#REF!</v>
      </c>
      <c r="AE576" s="77" t="e">
        <f>#REF!</f>
        <v>#REF!</v>
      </c>
      <c r="AF576" s="77" t="e">
        <f>#REF!</f>
        <v>#REF!</v>
      </c>
    </row>
    <row r="577" spans="1:37" ht="15" x14ac:dyDescent="0.35">
      <c r="A577" s="14" t="s">
        <v>671</v>
      </c>
      <c r="E577" s="279"/>
      <c r="F577" s="109">
        <f t="shared" ref="F577:S577" si="333">(F525*F394)/F424</f>
        <v>-0.31469602898748589</v>
      </c>
      <c r="G577" s="109">
        <f t="shared" ref="G577:H577" si="334">(G525*G394)/G424</f>
        <v>5.3174791420447871</v>
      </c>
      <c r="H577" s="109">
        <f t="shared" si="334"/>
        <v>80.940261136431303</v>
      </c>
      <c r="I577" s="109">
        <f t="shared" ref="I577" si="335">(I525*I394)/I424</f>
        <v>439.50014594698882</v>
      </c>
      <c r="J577" s="109">
        <f t="shared" ref="J577" si="336">(J525*J394)/J424</f>
        <v>285.79175952092635</v>
      </c>
      <c r="K577" s="109"/>
      <c r="L577" s="109"/>
      <c r="N577" s="109" t="e">
        <f t="shared" si="333"/>
        <v>#DIV/0!</v>
      </c>
      <c r="P577" s="109" t="e">
        <f t="shared" si="333"/>
        <v>#DIV/0!</v>
      </c>
      <c r="Q577" s="109" t="e">
        <f t="shared" si="333"/>
        <v>#DIV/0!</v>
      </c>
      <c r="R577" s="109" t="e">
        <f t="shared" si="333"/>
        <v>#DIV/0!</v>
      </c>
      <c r="S577" s="109" t="e">
        <f t="shared" si="333"/>
        <v>#DIV/0!</v>
      </c>
      <c r="T577" s="109" t="e">
        <f>(#REF!*T330)/T424</f>
        <v>#REF!</v>
      </c>
      <c r="U577" s="109" t="e">
        <f>(#REF!*U330)/U424</f>
        <v>#REF!</v>
      </c>
      <c r="V577" s="109" t="e">
        <f>(#REF!*V330)/V424</f>
        <v>#REF!</v>
      </c>
      <c r="W577" s="109" t="e">
        <f>(#REF!*W330)/W424</f>
        <v>#REF!</v>
      </c>
      <c r="X577" s="109" t="e">
        <f>(#REF!*X330)/X424</f>
        <v>#REF!</v>
      </c>
      <c r="Y577" s="109" t="e">
        <f>(#REF!*Y330)/Y424</f>
        <v>#REF!</v>
      </c>
      <c r="Z577" s="109" t="e">
        <f>(#REF!*Z330)/Z424</f>
        <v>#REF!</v>
      </c>
      <c r="AA577" s="109" t="e">
        <f>(#REF!*AA330)/AA424</f>
        <v>#REF!</v>
      </c>
      <c r="AB577" s="109" t="e">
        <f>(#REF!*AB330)/AB424</f>
        <v>#REF!</v>
      </c>
      <c r="AC577" s="109" t="e">
        <f>(#REF!*AC330)/AC424</f>
        <v>#REF!</v>
      </c>
      <c r="AD577" s="109" t="e">
        <f>(#REF!*AD330)/AD424</f>
        <v>#REF!</v>
      </c>
      <c r="AE577" s="109" t="e">
        <f>(#REF!*AE330)/AE424</f>
        <v>#REF!</v>
      </c>
      <c r="AF577" s="109" t="e">
        <f>(#REF!*#REF!)/#REF!</f>
        <v>#REF!</v>
      </c>
    </row>
    <row r="578" spans="1:37" x14ac:dyDescent="0.2">
      <c r="B578" s="14" t="s">
        <v>672</v>
      </c>
      <c r="F578" s="77">
        <f t="shared" ref="F578:N578" si="337">F576+F577</f>
        <v>29.12823293434732</v>
      </c>
      <c r="G578" s="77">
        <f t="shared" ref="G578:H578" si="338">G576+G577</f>
        <v>35.837284728753559</v>
      </c>
      <c r="H578" s="77">
        <f t="shared" si="338"/>
        <v>131.07274281836754</v>
      </c>
      <c r="I578" s="77">
        <f t="shared" ref="I578" si="339">I576+I577</f>
        <v>622.07001118961352</v>
      </c>
      <c r="J578" s="77">
        <f t="shared" ref="J578" si="340">J576+J577</f>
        <v>475.02525134020146</v>
      </c>
      <c r="K578" s="77"/>
      <c r="L578" s="77"/>
      <c r="N578" s="77" t="e">
        <f t="shared" si="337"/>
        <v>#DIV/0!</v>
      </c>
      <c r="P578" s="77" t="e">
        <f t="shared" ref="P578:AF578" si="341">P576+P577</f>
        <v>#DIV/0!</v>
      </c>
      <c r="Q578" s="77" t="e">
        <f t="shared" si="341"/>
        <v>#DIV/0!</v>
      </c>
      <c r="R578" s="77" t="e">
        <f t="shared" si="341"/>
        <v>#DIV/0!</v>
      </c>
      <c r="S578" s="77" t="e">
        <f t="shared" si="341"/>
        <v>#DIV/0!</v>
      </c>
      <c r="T578" s="77" t="e">
        <f t="shared" si="341"/>
        <v>#REF!</v>
      </c>
      <c r="U578" s="77" t="e">
        <f t="shared" si="341"/>
        <v>#REF!</v>
      </c>
      <c r="V578" s="77" t="e">
        <f t="shared" si="341"/>
        <v>#REF!</v>
      </c>
      <c r="W578" s="77" t="e">
        <f t="shared" si="341"/>
        <v>#REF!</v>
      </c>
      <c r="X578" s="77" t="e">
        <f t="shared" si="341"/>
        <v>#REF!</v>
      </c>
      <c r="Y578" s="77" t="e">
        <f t="shared" si="341"/>
        <v>#REF!</v>
      </c>
      <c r="Z578" s="77" t="e">
        <f t="shared" si="341"/>
        <v>#REF!</v>
      </c>
      <c r="AA578" s="77" t="e">
        <f t="shared" si="341"/>
        <v>#REF!</v>
      </c>
      <c r="AB578" s="77" t="e">
        <f t="shared" si="341"/>
        <v>#REF!</v>
      </c>
      <c r="AC578" s="77" t="e">
        <f t="shared" si="341"/>
        <v>#REF!</v>
      </c>
      <c r="AD578" s="77" t="e">
        <f t="shared" si="341"/>
        <v>#REF!</v>
      </c>
      <c r="AE578" s="77" t="e">
        <f t="shared" si="341"/>
        <v>#REF!</v>
      </c>
      <c r="AF578" s="77" t="e">
        <f t="shared" si="341"/>
        <v>#REF!</v>
      </c>
    </row>
    <row r="582" spans="1:37" x14ac:dyDescent="0.2">
      <c r="A582" s="27" t="s">
        <v>673</v>
      </c>
      <c r="B582" s="182"/>
      <c r="C582" s="183">
        <f>E394</f>
        <v>1.3781712672053024E-2</v>
      </c>
      <c r="F582" s="46">
        <f t="shared" ref="F582:R582" si="342">$C$582</f>
        <v>1.3781712672053024E-2</v>
      </c>
      <c r="G582" s="46">
        <f t="shared" si="342"/>
        <v>1.3781712672053024E-2</v>
      </c>
      <c r="H582" s="46">
        <f t="shared" si="342"/>
        <v>1.3781712672053024E-2</v>
      </c>
      <c r="I582" s="46">
        <f t="shared" si="342"/>
        <v>1.3781712672053024E-2</v>
      </c>
      <c r="J582" s="46">
        <f t="shared" si="342"/>
        <v>1.3781712672053024E-2</v>
      </c>
      <c r="K582" s="46"/>
      <c r="L582" s="46"/>
      <c r="N582" s="46">
        <f t="shared" si="342"/>
        <v>1.3781712672053024E-2</v>
      </c>
      <c r="O582" s="46">
        <f t="shared" si="342"/>
        <v>1.3781712672053024E-2</v>
      </c>
      <c r="P582" s="46">
        <f t="shared" si="342"/>
        <v>1.3781712672053024E-2</v>
      </c>
      <c r="Q582" s="46">
        <f t="shared" si="342"/>
        <v>1.3781712672053024E-2</v>
      </c>
      <c r="R582" s="46">
        <f t="shared" si="342"/>
        <v>1.3781712672053024E-2</v>
      </c>
    </row>
    <row r="583" spans="1:37" x14ac:dyDescent="0.2">
      <c r="A583" s="13"/>
    </row>
    <row r="584" spans="1:37" x14ac:dyDescent="0.2">
      <c r="A584" s="13" t="s">
        <v>763</v>
      </c>
    </row>
    <row r="585" spans="1:37" x14ac:dyDescent="0.2">
      <c r="A585" s="14" t="s">
        <v>1003</v>
      </c>
      <c r="F585" s="102">
        <f t="shared" ref="F585:N585" si="343">F560</f>
        <v>2.8753654888955021E-2</v>
      </c>
      <c r="G585" s="102">
        <f t="shared" ref="G585:I585" si="344">G560</f>
        <v>3.2619019086698717E-2</v>
      </c>
      <c r="H585" s="47">
        <f t="shared" ref="H585" si="345">H560</f>
        <v>7.1710138275529207</v>
      </c>
      <c r="I585" s="47">
        <f t="shared" si="344"/>
        <v>7.4082102210144658</v>
      </c>
      <c r="J585" s="47">
        <f t="shared" ref="J585" si="346">J560</f>
        <v>5.9708576538521658</v>
      </c>
      <c r="K585" s="102"/>
      <c r="L585" s="47"/>
      <c r="N585" s="102" t="e">
        <f t="shared" si="343"/>
        <v>#DIV/0!</v>
      </c>
      <c r="P585" s="102" t="e">
        <f t="shared" ref="P585:Q585" si="347">P560</f>
        <v>#DIV/0!</v>
      </c>
      <c r="Q585" s="102" t="e">
        <f t="shared" si="347"/>
        <v>#DIV/0!</v>
      </c>
      <c r="R585" s="47" t="e">
        <f>R560</f>
        <v>#DIV/0!</v>
      </c>
      <c r="S585" s="102" t="e">
        <f t="shared" ref="S585:AE585" si="348">S541</f>
        <v>#DIV/0!</v>
      </c>
      <c r="T585" s="102">
        <f t="shared" si="348"/>
        <v>0</v>
      </c>
      <c r="U585" s="102" t="e">
        <f t="shared" si="348"/>
        <v>#DIV/0!</v>
      </c>
      <c r="V585" s="102" t="e">
        <f t="shared" si="348"/>
        <v>#DIV/0!</v>
      </c>
      <c r="W585" s="102" t="e">
        <f t="shared" si="348"/>
        <v>#DIV/0!</v>
      </c>
      <c r="X585" s="102" t="e">
        <f t="shared" si="348"/>
        <v>#DIV/0!</v>
      </c>
      <c r="Y585" s="102" t="e">
        <f t="shared" si="348"/>
        <v>#DIV/0!</v>
      </c>
      <c r="Z585" s="102">
        <f t="shared" si="348"/>
        <v>0</v>
      </c>
      <c r="AA585" s="102">
        <f t="shared" si="348"/>
        <v>0</v>
      </c>
      <c r="AB585" s="102">
        <f t="shared" si="348"/>
        <v>0</v>
      </c>
      <c r="AC585" s="102">
        <f t="shared" si="348"/>
        <v>0</v>
      </c>
      <c r="AD585" s="102">
        <f t="shared" si="348"/>
        <v>0</v>
      </c>
      <c r="AE585" s="102">
        <f t="shared" si="348"/>
        <v>0</v>
      </c>
      <c r="AF585" s="102" t="e">
        <f>#REF!</f>
        <v>#REF!</v>
      </c>
    </row>
    <row r="586" spans="1:37" x14ac:dyDescent="0.2">
      <c r="A586" s="14" t="s">
        <v>1004</v>
      </c>
      <c r="E586" s="280"/>
      <c r="F586" s="102">
        <f>(F521*$E$394)/F$421</f>
        <v>0</v>
      </c>
      <c r="G586" s="102">
        <f>(G521*$E$394)/G$421</f>
        <v>0</v>
      </c>
      <c r="H586" s="47">
        <f>(H521*$E$394)/H$436</f>
        <v>0</v>
      </c>
      <c r="I586" s="47">
        <f>(I521*$E$394)/I$436</f>
        <v>0</v>
      </c>
      <c r="J586" s="47">
        <f>(J521*$E$394)/J$436</f>
        <v>0</v>
      </c>
      <c r="K586" s="102"/>
      <c r="L586" s="47"/>
      <c r="N586" s="102" t="e">
        <f>(N521*$E$394)/N$421</f>
        <v>#DIV/0!</v>
      </c>
      <c r="P586" s="102" t="e">
        <f>(P521*$E$394)/P$421</f>
        <v>#DIV/0!</v>
      </c>
      <c r="Q586" s="102" t="e">
        <f>(Q521*$E$394)/Q$421</f>
        <v>#DIV/0!</v>
      </c>
      <c r="R586" s="47" t="e">
        <f>(R521*$E$394)/R$436</f>
        <v>#DIV/0!</v>
      </c>
      <c r="S586" s="102" t="e">
        <f t="shared" ref="S586:AE586" si="349">S542</f>
        <v>#DIV/0!</v>
      </c>
      <c r="T586" s="102" t="e">
        <f t="shared" si="349"/>
        <v>#DIV/0!</v>
      </c>
      <c r="U586" s="102" t="e">
        <f t="shared" si="349"/>
        <v>#DIV/0!</v>
      </c>
      <c r="V586" s="102" t="e">
        <f t="shared" si="349"/>
        <v>#DIV/0!</v>
      </c>
      <c r="W586" s="102" t="e">
        <f t="shared" si="349"/>
        <v>#DIV/0!</v>
      </c>
      <c r="X586" s="102" t="e">
        <f t="shared" si="349"/>
        <v>#DIV/0!</v>
      </c>
      <c r="Y586" s="102" t="e">
        <f t="shared" si="349"/>
        <v>#DIV/0!</v>
      </c>
      <c r="Z586" s="102" t="e">
        <f t="shared" si="349"/>
        <v>#DIV/0!</v>
      </c>
      <c r="AA586" s="102" t="e">
        <f t="shared" si="349"/>
        <v>#DIV/0!</v>
      </c>
      <c r="AB586" s="102" t="e">
        <f t="shared" si="349"/>
        <v>#DIV/0!</v>
      </c>
      <c r="AC586" s="102" t="e">
        <f t="shared" si="349"/>
        <v>#DIV/0!</v>
      </c>
      <c r="AD586" s="102" t="e">
        <f t="shared" si="349"/>
        <v>#DIV/0!</v>
      </c>
      <c r="AE586" s="102">
        <f t="shared" si="349"/>
        <v>0</v>
      </c>
      <c r="AF586" s="102" t="e">
        <f>#REF!</f>
        <v>#REF!</v>
      </c>
    </row>
    <row r="587" spans="1:37" x14ac:dyDescent="0.2">
      <c r="A587" s="14" t="s">
        <v>901</v>
      </c>
      <c r="F587" s="102">
        <f t="shared" ref="F587:N587" si="350">F562</f>
        <v>5.7981435559014353E-2</v>
      </c>
      <c r="G587" s="102">
        <f t="shared" ref="G587:I587" si="351">G562</f>
        <v>5.6375685636674264E-2</v>
      </c>
      <c r="H587" s="102">
        <f t="shared" ref="H587" si="352">H562</f>
        <v>5.8450352552247037E-2</v>
      </c>
      <c r="I587" s="102">
        <f t="shared" si="351"/>
        <v>0.11167424321321356</v>
      </c>
      <c r="J587" s="102">
        <f t="shared" ref="J587" si="353">J562</f>
        <v>5.6565547114464002E-2</v>
      </c>
      <c r="K587" s="102"/>
      <c r="L587" s="102"/>
      <c r="N587" s="102" t="e">
        <f t="shared" si="350"/>
        <v>#DIV/0!</v>
      </c>
      <c r="P587" s="102" t="e">
        <f t="shared" ref="P587:Q587" si="354">P562</f>
        <v>#DIV/0!</v>
      </c>
      <c r="Q587" s="102" t="e">
        <f t="shared" si="354"/>
        <v>#DIV/0!</v>
      </c>
      <c r="R587" s="102" t="e">
        <f>R562</f>
        <v>#DIV/0!</v>
      </c>
      <c r="S587" s="102">
        <f>S567</f>
        <v>0</v>
      </c>
      <c r="T587" s="102" t="e">
        <f>#REF!</f>
        <v>#REF!</v>
      </c>
      <c r="U587" s="102" t="e">
        <f>#REF!</f>
        <v>#REF!</v>
      </c>
      <c r="V587" s="102" t="e">
        <f>#REF!</f>
        <v>#REF!</v>
      </c>
      <c r="W587" s="102" t="e">
        <f>#REF!</f>
        <v>#REF!</v>
      </c>
      <c r="X587" s="102" t="e">
        <f>#REF!</f>
        <v>#REF!</v>
      </c>
      <c r="Y587" s="102" t="e">
        <f>#REF!</f>
        <v>#REF!</v>
      </c>
      <c r="Z587" s="102" t="e">
        <f>#REF!</f>
        <v>#REF!</v>
      </c>
      <c r="AA587" s="102" t="e">
        <f>#REF!</f>
        <v>#REF!</v>
      </c>
      <c r="AB587" s="102" t="e">
        <f>#REF!</f>
        <v>#REF!</v>
      </c>
      <c r="AC587" s="102" t="e">
        <f>#REF!</f>
        <v>#REF!</v>
      </c>
      <c r="AD587" s="102" t="e">
        <f>#REF!</f>
        <v>#REF!</v>
      </c>
      <c r="AE587" s="102" t="e">
        <f>#REF!</f>
        <v>#REF!</v>
      </c>
      <c r="AF587" s="102" t="e">
        <f>#REF!</f>
        <v>#REF!</v>
      </c>
    </row>
    <row r="588" spans="1:37" x14ac:dyDescent="0.2">
      <c r="A588" s="14" t="s">
        <v>902</v>
      </c>
      <c r="D588" s="102"/>
      <c r="F588" s="102">
        <f t="shared" ref="F588:R588" si="355">(F522*$E$394)/F$421</f>
        <v>0</v>
      </c>
      <c r="G588" s="102">
        <f t="shared" ref="G588:I588" si="356">(G522*$E$394)/G$421</f>
        <v>0</v>
      </c>
      <c r="H588" s="48">
        <f t="shared" ref="H588" si="357">(H522*$E$394)/H$421</f>
        <v>0</v>
      </c>
      <c r="I588" s="48">
        <f t="shared" si="356"/>
        <v>0</v>
      </c>
      <c r="J588" s="48">
        <f t="shared" ref="J588" si="358">(J522*$E$394)/J$421</f>
        <v>0</v>
      </c>
      <c r="K588" s="102"/>
      <c r="L588" s="48"/>
      <c r="N588" s="102" t="e">
        <f t="shared" ref="N588" si="359">(N522*$E$394)/N$421</f>
        <v>#DIV/0!</v>
      </c>
      <c r="P588" s="102" t="e">
        <f t="shared" si="355"/>
        <v>#DIV/0!</v>
      </c>
      <c r="Q588" s="102" t="e">
        <f t="shared" si="355"/>
        <v>#DIV/0!</v>
      </c>
      <c r="R588" s="48" t="e">
        <f t="shared" si="355"/>
        <v>#DIV/0!</v>
      </c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</row>
    <row r="589" spans="1:37" x14ac:dyDescent="0.2">
      <c r="F589" s="102"/>
      <c r="G589" s="102"/>
      <c r="H589" s="102"/>
      <c r="I589" s="102"/>
      <c r="J589" s="102"/>
      <c r="K589" s="102"/>
      <c r="L589" s="102"/>
      <c r="N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</row>
    <row r="590" spans="1:37" x14ac:dyDescent="0.2">
      <c r="A590" s="13" t="s">
        <v>895</v>
      </c>
      <c r="F590" s="102"/>
      <c r="G590" s="102"/>
      <c r="H590" s="102"/>
      <c r="I590" s="102"/>
      <c r="J590" s="102"/>
      <c r="K590" s="102"/>
      <c r="L590" s="102"/>
      <c r="N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</row>
    <row r="591" spans="1:37" x14ac:dyDescent="0.2">
      <c r="A591" s="14" t="s">
        <v>1005</v>
      </c>
      <c r="F591" s="102">
        <f t="shared" ref="F591:N591" si="360">F566</f>
        <v>0</v>
      </c>
      <c r="G591" s="102">
        <f t="shared" ref="G591:I591" si="361">G566</f>
        <v>0</v>
      </c>
      <c r="H591" s="102">
        <f t="shared" si="361"/>
        <v>0</v>
      </c>
      <c r="I591" s="47">
        <f t="shared" si="361"/>
        <v>0</v>
      </c>
      <c r="J591" s="102">
        <f t="shared" ref="J591" si="362">J566</f>
        <v>0</v>
      </c>
      <c r="K591" s="102"/>
      <c r="L591" s="47"/>
      <c r="N591" s="102" t="e">
        <f t="shared" si="360"/>
        <v>#DIV/0!</v>
      </c>
      <c r="P591" s="102" t="e">
        <f t="shared" ref="P591:Q591" si="363">P566</f>
        <v>#DIV/0!</v>
      </c>
      <c r="Q591" s="102" t="e">
        <f t="shared" si="363"/>
        <v>#DIV/0!</v>
      </c>
      <c r="R591" s="47" t="e">
        <f>R566</f>
        <v>#DIV/0!</v>
      </c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</row>
    <row r="592" spans="1:37" s="74" customFormat="1" ht="15" x14ac:dyDescent="0.35">
      <c r="A592" s="74" t="s">
        <v>1006</v>
      </c>
      <c r="D592" s="110"/>
      <c r="E592" s="281"/>
      <c r="F592" s="108">
        <f>(F523*$E$394)/F$421</f>
        <v>0</v>
      </c>
      <c r="G592" s="108">
        <f>(G523*$E$394)/G$421</f>
        <v>0</v>
      </c>
      <c r="H592" s="108">
        <f>(H523*$E$394)/H$421</f>
        <v>0</v>
      </c>
      <c r="I592" s="109">
        <f>(I523*$E$394)/I$436</f>
        <v>0</v>
      </c>
      <c r="J592" s="108">
        <f>(J523*$E$394)/J$421</f>
        <v>0</v>
      </c>
      <c r="K592" s="108"/>
      <c r="L592" s="109"/>
      <c r="M592" s="14"/>
      <c r="N592" s="108" t="e">
        <f>(N523*$E$394)/N$421</f>
        <v>#DIV/0!</v>
      </c>
      <c r="O592" s="14"/>
      <c r="P592" s="108" t="e">
        <f>(P523*$E$394)/P$421</f>
        <v>#DIV/0!</v>
      </c>
      <c r="Q592" s="108" t="e">
        <f>(Q523*$E$394)/Q$421</f>
        <v>#DIV/0!</v>
      </c>
      <c r="R592" s="109" t="e">
        <f>(R523*$E$394)/R$436</f>
        <v>#DIV/0!</v>
      </c>
      <c r="AK592" s="78"/>
    </row>
    <row r="593" spans="1:32" x14ac:dyDescent="0.2">
      <c r="B593" s="14" t="s">
        <v>1007</v>
      </c>
      <c r="F593" s="102">
        <f>F591+F592</f>
        <v>0</v>
      </c>
      <c r="G593" s="102">
        <f>G591+G592</f>
        <v>0</v>
      </c>
      <c r="H593" s="102">
        <f>H591+H592</f>
        <v>0</v>
      </c>
      <c r="I593" s="47">
        <f t="shared" ref="I593" si="364">I591+I592</f>
        <v>0</v>
      </c>
      <c r="J593" s="102">
        <f>J591+J592</f>
        <v>0</v>
      </c>
      <c r="K593" s="102"/>
      <c r="L593" s="47"/>
      <c r="N593" s="102" t="e">
        <f>N591+N592</f>
        <v>#DIV/0!</v>
      </c>
      <c r="P593" s="102" t="e">
        <f t="shared" ref="P593:R593" si="365">P591+P592</f>
        <v>#DIV/0!</v>
      </c>
      <c r="Q593" s="102" t="e">
        <f t="shared" si="365"/>
        <v>#DIV/0!</v>
      </c>
      <c r="R593" s="47" t="e">
        <f t="shared" si="365"/>
        <v>#DIV/0!</v>
      </c>
    </row>
    <row r="594" spans="1:32" x14ac:dyDescent="0.2">
      <c r="P594" s="47"/>
    </row>
    <row r="595" spans="1:32" x14ac:dyDescent="0.2">
      <c r="A595" s="13" t="s">
        <v>668</v>
      </c>
      <c r="P595" s="47"/>
    </row>
    <row r="596" spans="1:32" x14ac:dyDescent="0.2">
      <c r="A596" s="14" t="s">
        <v>1008</v>
      </c>
      <c r="F596" s="102">
        <f t="shared" ref="F596:S596" si="366">F544</f>
        <v>1.502698642375078E-2</v>
      </c>
      <c r="G596" s="102">
        <f t="shared" ref="G596:I596" si="367">G544</f>
        <v>1.294931798155702E-2</v>
      </c>
      <c r="H596" s="47">
        <f t="shared" ref="H596" si="368">H544</f>
        <v>2.344442466157127</v>
      </c>
      <c r="I596" s="47">
        <f t="shared" si="367"/>
        <v>2.3800985285213963</v>
      </c>
      <c r="J596" s="47">
        <f t="shared" ref="J596" si="369">J544</f>
        <v>2.2182610031290793</v>
      </c>
      <c r="K596" s="102"/>
      <c r="L596" s="47"/>
      <c r="N596" s="102" t="e">
        <f t="shared" ref="N596" si="370">N544</f>
        <v>#DIV/0!</v>
      </c>
      <c r="P596" s="102" t="e">
        <f t="shared" si="366"/>
        <v>#DIV/0!</v>
      </c>
      <c r="Q596" s="102" t="e">
        <f t="shared" si="366"/>
        <v>#DIV/0!</v>
      </c>
      <c r="R596" s="47" t="e">
        <f t="shared" si="366"/>
        <v>#DIV/0!</v>
      </c>
      <c r="S596" s="102" t="e">
        <f t="shared" si="366"/>
        <v>#DIV/0!</v>
      </c>
      <c r="T596" s="102" t="e">
        <f>#REF!</f>
        <v>#REF!</v>
      </c>
      <c r="U596" s="102" t="e">
        <f>#REF!</f>
        <v>#REF!</v>
      </c>
      <c r="V596" s="102" t="e">
        <f>#REF!</f>
        <v>#REF!</v>
      </c>
      <c r="W596" s="102" t="e">
        <f>#REF!</f>
        <v>#REF!</v>
      </c>
      <c r="X596" s="102" t="e">
        <f>#REF!</f>
        <v>#REF!</v>
      </c>
      <c r="Y596" s="102" t="e">
        <f>#REF!</f>
        <v>#REF!</v>
      </c>
      <c r="Z596" s="102" t="e">
        <f>#REF!</f>
        <v>#REF!</v>
      </c>
      <c r="AA596" s="102" t="e">
        <f>#REF!</f>
        <v>#REF!</v>
      </c>
      <c r="AB596" s="102" t="e">
        <f>#REF!</f>
        <v>#REF!</v>
      </c>
      <c r="AC596" s="102" t="e">
        <f>#REF!</f>
        <v>#REF!</v>
      </c>
      <c r="AD596" s="102" t="e">
        <f>#REF!</f>
        <v>#REF!</v>
      </c>
      <c r="AE596" s="102" t="e">
        <f>#REF!</f>
        <v>#REF!</v>
      </c>
      <c r="AF596" s="102" t="e">
        <f>#REF!</f>
        <v>#REF!</v>
      </c>
    </row>
    <row r="597" spans="1:32" ht="15" x14ac:dyDescent="0.35">
      <c r="A597" s="74" t="s">
        <v>1009</v>
      </c>
      <c r="D597" s="111"/>
      <c r="F597" s="108">
        <f>(F524*$E$394)/F421</f>
        <v>2.1408359297632796E-3</v>
      </c>
      <c r="G597" s="108">
        <f>(G524*$E$394)/G421</f>
        <v>1.9020785197432168E-3</v>
      </c>
      <c r="H597" s="109">
        <f>(H524*$E$394)/H436</f>
        <v>0.35434331272971303</v>
      </c>
      <c r="I597" s="109">
        <f>(I524*$E$394)/I436</f>
        <v>0.35996750568246905</v>
      </c>
      <c r="J597" s="109">
        <f>(J524*$E$394)/J436</f>
        <v>0.33056158117579054</v>
      </c>
      <c r="K597" s="108"/>
      <c r="L597" s="109"/>
      <c r="N597" s="108" t="e">
        <f>(N524*$E$394)/N421</f>
        <v>#DIV/0!</v>
      </c>
      <c r="P597" s="108" t="e">
        <f>(P524*$E$394)/P421</f>
        <v>#DIV/0!</v>
      </c>
      <c r="Q597" s="108" t="e">
        <f>(Q524*$E$394)/Q421</f>
        <v>#DIV/0!</v>
      </c>
      <c r="R597" s="109" t="e">
        <f>(R524*$E$394)/R436</f>
        <v>#DIV/0!</v>
      </c>
      <c r="S597" s="108" t="e">
        <f>(S524*$E$394)/S421</f>
        <v>#DIV/0!</v>
      </c>
      <c r="T597" s="108" t="e">
        <f>(#REF!*$E$330)/1026.4</f>
        <v>#REF!</v>
      </c>
      <c r="U597" s="108" t="e">
        <f>(#REF!*$E$330)/11504</f>
        <v>#REF!</v>
      </c>
      <c r="V597" s="108" t="e">
        <f>(#REF!*$E$330)/7284</f>
        <v>#REF!</v>
      </c>
      <c r="W597" s="108" t="e">
        <f>(#REF!*$E$330)/320.47</f>
        <v>#REF!</v>
      </c>
      <c r="X597" s="108" t="e">
        <f>(#REF!*$E$330)/26669</f>
        <v>#REF!</v>
      </c>
      <c r="Y597" s="108" t="e">
        <f>(#REF!*$E$330)/68503</f>
        <v>#REF!</v>
      </c>
      <c r="Z597" s="108" t="e">
        <f>(#REF!*$E$330)/Z421</f>
        <v>#REF!</v>
      </c>
      <c r="AA597" s="108" t="e">
        <f>(#REF!*$E$330)/17492.7</f>
        <v>#REF!</v>
      </c>
      <c r="AB597" s="108" t="e">
        <f>(#REF!*$E$330)/10846</f>
        <v>#REF!</v>
      </c>
      <c r="AC597" s="108" t="e">
        <f>(#REF!*$E$330)/12274</f>
        <v>#REF!</v>
      </c>
      <c r="AD597" s="108" t="e">
        <f>(#REF!*$E$330)/10405</f>
        <v>#REF!</v>
      </c>
      <c r="AE597" s="108" t="e">
        <f>(#REF!*$E$330)/120444</f>
        <v>#REF!</v>
      </c>
      <c r="AF597" s="108" t="e">
        <f>(#REF!*$E$330)/AF501/12</f>
        <v>#REF!</v>
      </c>
    </row>
    <row r="598" spans="1:32" x14ac:dyDescent="0.2">
      <c r="B598" s="14" t="s">
        <v>1010</v>
      </c>
      <c r="F598" s="102">
        <f t="shared" ref="F598:AF598" si="371">F596+F597</f>
        <v>1.7167822353514061E-2</v>
      </c>
      <c r="G598" s="102">
        <f t="shared" ref="G598:I598" si="372">G596+G597</f>
        <v>1.4851396501300237E-2</v>
      </c>
      <c r="H598" s="47">
        <f t="shared" ref="H598" si="373">H596+H597</f>
        <v>2.6987857788868399</v>
      </c>
      <c r="I598" s="47">
        <f t="shared" si="372"/>
        <v>2.7400660342038652</v>
      </c>
      <c r="J598" s="47">
        <f t="shared" ref="J598" si="374">J596+J597</f>
        <v>2.5488225843048697</v>
      </c>
      <c r="K598" s="102"/>
      <c r="L598" s="47"/>
      <c r="N598" s="102" t="e">
        <f t="shared" ref="N598" si="375">N596+N597</f>
        <v>#DIV/0!</v>
      </c>
      <c r="P598" s="102" t="e">
        <f t="shared" si="371"/>
        <v>#DIV/0!</v>
      </c>
      <c r="Q598" s="102" t="e">
        <f t="shared" si="371"/>
        <v>#DIV/0!</v>
      </c>
      <c r="R598" s="47" t="e">
        <f t="shared" si="371"/>
        <v>#DIV/0!</v>
      </c>
      <c r="S598" s="102" t="e">
        <f t="shared" si="371"/>
        <v>#DIV/0!</v>
      </c>
      <c r="T598" s="102" t="e">
        <f t="shared" si="371"/>
        <v>#REF!</v>
      </c>
      <c r="U598" s="102" t="e">
        <f t="shared" si="371"/>
        <v>#REF!</v>
      </c>
      <c r="V598" s="102" t="e">
        <f t="shared" si="371"/>
        <v>#REF!</v>
      </c>
      <c r="W598" s="102" t="e">
        <f t="shared" si="371"/>
        <v>#REF!</v>
      </c>
      <c r="X598" s="102" t="e">
        <f t="shared" si="371"/>
        <v>#REF!</v>
      </c>
      <c r="Y598" s="102" t="e">
        <f t="shared" si="371"/>
        <v>#REF!</v>
      </c>
      <c r="Z598" s="102" t="e">
        <f t="shared" si="371"/>
        <v>#REF!</v>
      </c>
      <c r="AA598" s="102" t="e">
        <f t="shared" si="371"/>
        <v>#REF!</v>
      </c>
      <c r="AB598" s="102" t="e">
        <f t="shared" si="371"/>
        <v>#REF!</v>
      </c>
      <c r="AC598" s="102" t="e">
        <f t="shared" si="371"/>
        <v>#REF!</v>
      </c>
      <c r="AD598" s="102" t="e">
        <f t="shared" si="371"/>
        <v>#REF!</v>
      </c>
      <c r="AE598" s="102" t="e">
        <f t="shared" si="371"/>
        <v>#REF!</v>
      </c>
      <c r="AF598" s="102" t="e">
        <f t="shared" si="371"/>
        <v>#REF!</v>
      </c>
    </row>
    <row r="600" spans="1:32" x14ac:dyDescent="0.2">
      <c r="A600" s="13" t="s">
        <v>669</v>
      </c>
    </row>
    <row r="601" spans="1:32" x14ac:dyDescent="0.2">
      <c r="A601" s="14" t="s">
        <v>670</v>
      </c>
      <c r="F601" s="77">
        <f t="shared" ref="F601:S601" si="376">F545</f>
        <v>29.442928963334808</v>
      </c>
      <c r="G601" s="77">
        <f t="shared" ref="G601:I601" si="377">G545</f>
        <v>30.519805586708774</v>
      </c>
      <c r="H601" s="77">
        <f t="shared" si="377"/>
        <v>50.132481681936241</v>
      </c>
      <c r="I601" s="77">
        <f t="shared" si="377"/>
        <v>182.56986524262473</v>
      </c>
      <c r="J601" s="77">
        <f t="shared" ref="J601" si="378">J545</f>
        <v>189.23349181927512</v>
      </c>
      <c r="K601" s="77"/>
      <c r="L601" s="77"/>
      <c r="N601" s="77" t="e">
        <f t="shared" ref="N601" si="379">N545</f>
        <v>#DIV/0!</v>
      </c>
      <c r="P601" s="77" t="e">
        <f t="shared" si="376"/>
        <v>#DIV/0!</v>
      </c>
      <c r="Q601" s="77" t="e">
        <f t="shared" si="376"/>
        <v>#DIV/0!</v>
      </c>
      <c r="R601" s="77" t="e">
        <f t="shared" si="376"/>
        <v>#DIV/0!</v>
      </c>
      <c r="S601" s="77" t="e">
        <f t="shared" si="376"/>
        <v>#DIV/0!</v>
      </c>
      <c r="T601" s="77" t="e">
        <f>#REF!</f>
        <v>#REF!</v>
      </c>
      <c r="U601" s="77" t="e">
        <f>#REF!</f>
        <v>#REF!</v>
      </c>
      <c r="V601" s="77" t="e">
        <f>#REF!</f>
        <v>#REF!</v>
      </c>
      <c r="W601" s="77" t="e">
        <f>#REF!</f>
        <v>#REF!</v>
      </c>
      <c r="X601" s="77" t="e">
        <f>#REF!</f>
        <v>#REF!</v>
      </c>
      <c r="Y601" s="77" t="e">
        <f>#REF!</f>
        <v>#REF!</v>
      </c>
      <c r="Z601" s="77" t="e">
        <f>#REF!</f>
        <v>#REF!</v>
      </c>
      <c r="AA601" s="77" t="e">
        <f>#REF!</f>
        <v>#REF!</v>
      </c>
      <c r="AB601" s="77" t="e">
        <f>#REF!</f>
        <v>#REF!</v>
      </c>
      <c r="AC601" s="77" t="e">
        <f>#REF!</f>
        <v>#REF!</v>
      </c>
      <c r="AD601" s="77" t="e">
        <f>#REF!</f>
        <v>#REF!</v>
      </c>
      <c r="AE601" s="77" t="e">
        <f>#REF!</f>
        <v>#REF!</v>
      </c>
      <c r="AF601" s="77" t="e">
        <f>#REF!</f>
        <v>#REF!</v>
      </c>
    </row>
    <row r="602" spans="1:32" ht="15" x14ac:dyDescent="0.35">
      <c r="A602" s="14" t="s">
        <v>671</v>
      </c>
      <c r="D602" s="77"/>
      <c r="F602" s="109">
        <f t="shared" ref="F602:AF602" si="380">(F525*$E$394)/F424</f>
        <v>3.1096686886553502</v>
      </c>
      <c r="G602" s="109">
        <f t="shared" ref="G602:I602" si="381">(G525*$E$394)/G424</f>
        <v>3.2403297804275382</v>
      </c>
      <c r="H602" s="109">
        <f t="shared" si="381"/>
        <v>5.5713658982118055</v>
      </c>
      <c r="I602" s="109">
        <f t="shared" si="381"/>
        <v>20.121807849801147</v>
      </c>
      <c r="J602" s="109">
        <f t="shared" ref="J602" si="382">(J525*$E$394)/J424</f>
        <v>21.069135373933193</v>
      </c>
      <c r="K602" s="109"/>
      <c r="L602" s="109"/>
      <c r="N602" s="109" t="e">
        <f t="shared" si="380"/>
        <v>#DIV/0!</v>
      </c>
      <c r="P602" s="109" t="e">
        <f t="shared" si="380"/>
        <v>#DIV/0!</v>
      </c>
      <c r="Q602" s="109" t="e">
        <f t="shared" si="380"/>
        <v>#DIV/0!</v>
      </c>
      <c r="R602" s="109" t="e">
        <f t="shared" si="380"/>
        <v>#DIV/0!</v>
      </c>
      <c r="S602" s="109" t="e">
        <f t="shared" si="380"/>
        <v>#DIV/0!</v>
      </c>
      <c r="T602" s="109" t="e">
        <f t="shared" si="380"/>
        <v>#DIV/0!</v>
      </c>
      <c r="U602" s="109" t="e">
        <f t="shared" si="380"/>
        <v>#DIV/0!</v>
      </c>
      <c r="V602" s="109" t="e">
        <f t="shared" si="380"/>
        <v>#DIV/0!</v>
      </c>
      <c r="W602" s="109" t="e">
        <f t="shared" si="380"/>
        <v>#DIV/0!</v>
      </c>
      <c r="X602" s="109" t="e">
        <f t="shared" si="380"/>
        <v>#DIV/0!</v>
      </c>
      <c r="Y602" s="109" t="e">
        <f t="shared" si="380"/>
        <v>#DIV/0!</v>
      </c>
      <c r="Z602" s="109" t="e">
        <f t="shared" si="380"/>
        <v>#DIV/0!</v>
      </c>
      <c r="AA602" s="109" t="e">
        <f t="shared" si="380"/>
        <v>#DIV/0!</v>
      </c>
      <c r="AB602" s="109" t="e">
        <f t="shared" si="380"/>
        <v>#DIV/0!</v>
      </c>
      <c r="AC602" s="109" t="e">
        <f t="shared" si="380"/>
        <v>#DIV/0!</v>
      </c>
      <c r="AD602" s="109" t="e">
        <f t="shared" si="380"/>
        <v>#DIV/0!</v>
      </c>
      <c r="AE602" s="109" t="e">
        <f t="shared" si="380"/>
        <v>#DIV/0!</v>
      </c>
      <c r="AF602" s="109" t="e">
        <f t="shared" si="380"/>
        <v>#DIV/0!</v>
      </c>
    </row>
    <row r="603" spans="1:32" x14ac:dyDescent="0.2">
      <c r="B603" s="14" t="s">
        <v>672</v>
      </c>
      <c r="F603" s="77">
        <f t="shared" ref="F603:AF603" si="383">F601+F602</f>
        <v>32.552597651990155</v>
      </c>
      <c r="G603" s="77">
        <f t="shared" ref="G603:I603" si="384">G601+G602</f>
        <v>33.760135367136314</v>
      </c>
      <c r="H603" s="77">
        <f t="shared" si="384"/>
        <v>55.70384758014805</v>
      </c>
      <c r="I603" s="77">
        <f t="shared" si="384"/>
        <v>202.69167309242587</v>
      </c>
      <c r="J603" s="77">
        <f t="shared" ref="J603" si="385">J601+J602</f>
        <v>210.30262719320831</v>
      </c>
      <c r="K603" s="77"/>
      <c r="L603" s="77"/>
      <c r="N603" s="77" t="e">
        <f t="shared" ref="N603" si="386">N601+N602</f>
        <v>#DIV/0!</v>
      </c>
      <c r="P603" s="77" t="e">
        <f t="shared" si="383"/>
        <v>#DIV/0!</v>
      </c>
      <c r="Q603" s="77" t="e">
        <f t="shared" si="383"/>
        <v>#DIV/0!</v>
      </c>
      <c r="R603" s="77" t="e">
        <f t="shared" si="383"/>
        <v>#DIV/0!</v>
      </c>
      <c r="S603" s="77" t="e">
        <f t="shared" si="383"/>
        <v>#DIV/0!</v>
      </c>
      <c r="T603" s="77" t="e">
        <f t="shared" si="383"/>
        <v>#REF!</v>
      </c>
      <c r="U603" s="77" t="e">
        <f t="shared" si="383"/>
        <v>#REF!</v>
      </c>
      <c r="V603" s="77" t="e">
        <f t="shared" si="383"/>
        <v>#REF!</v>
      </c>
      <c r="W603" s="77" t="e">
        <f t="shared" si="383"/>
        <v>#REF!</v>
      </c>
      <c r="X603" s="77" t="e">
        <f t="shared" si="383"/>
        <v>#REF!</v>
      </c>
      <c r="Y603" s="77" t="e">
        <f t="shared" si="383"/>
        <v>#REF!</v>
      </c>
      <c r="Z603" s="77" t="e">
        <f t="shared" si="383"/>
        <v>#REF!</v>
      </c>
      <c r="AA603" s="77" t="e">
        <f t="shared" si="383"/>
        <v>#REF!</v>
      </c>
      <c r="AB603" s="77" t="e">
        <f t="shared" si="383"/>
        <v>#REF!</v>
      </c>
      <c r="AC603" s="77" t="e">
        <f t="shared" si="383"/>
        <v>#REF!</v>
      </c>
      <c r="AD603" s="77" t="e">
        <f t="shared" si="383"/>
        <v>#REF!</v>
      </c>
      <c r="AE603" s="77" t="e">
        <f t="shared" si="383"/>
        <v>#REF!</v>
      </c>
      <c r="AF603" s="77" t="e">
        <f t="shared" si="383"/>
        <v>#REF!</v>
      </c>
    </row>
    <row r="608" spans="1:32" x14ac:dyDescent="0.2">
      <c r="A608" s="27" t="s">
        <v>698</v>
      </c>
      <c r="C608" s="183">
        <f>C529</f>
        <v>2.4895614689999339E-2</v>
      </c>
      <c r="F608" s="66">
        <f>$C$529</f>
        <v>2.4895614689999339E-2</v>
      </c>
      <c r="G608" s="66">
        <f t="shared" ref="G608:S608" si="387">$C$529</f>
        <v>2.4895614689999339E-2</v>
      </c>
      <c r="H608" s="66">
        <f t="shared" si="387"/>
        <v>2.4895614689999339E-2</v>
      </c>
      <c r="I608" s="66">
        <f t="shared" si="387"/>
        <v>2.4895614689999339E-2</v>
      </c>
      <c r="J608" s="66">
        <f t="shared" si="387"/>
        <v>2.4895614689999339E-2</v>
      </c>
      <c r="K608" s="66"/>
      <c r="L608" s="66"/>
      <c r="N608" s="66">
        <f t="shared" si="387"/>
        <v>2.4895614689999339E-2</v>
      </c>
      <c r="O608" s="66">
        <f t="shared" si="387"/>
        <v>2.4895614689999339E-2</v>
      </c>
      <c r="P608" s="66">
        <f t="shared" si="387"/>
        <v>2.4895614689999339E-2</v>
      </c>
      <c r="Q608" s="66">
        <f t="shared" si="387"/>
        <v>2.4895614689999339E-2</v>
      </c>
      <c r="R608" s="66">
        <f t="shared" si="387"/>
        <v>2.4895614689999339E-2</v>
      </c>
      <c r="S608" s="66">
        <f t="shared" si="387"/>
        <v>2.4895614689999339E-2</v>
      </c>
      <c r="T608" s="66">
        <v>0.2</v>
      </c>
      <c r="U608" s="66">
        <v>0.2</v>
      </c>
      <c r="V608" s="66">
        <v>0.08</v>
      </c>
      <c r="W608" s="66">
        <v>0.08</v>
      </c>
      <c r="X608" s="66">
        <v>0.2</v>
      </c>
      <c r="Y608" s="66">
        <v>0.08</v>
      </c>
      <c r="Z608" s="66">
        <v>0.08</v>
      </c>
      <c r="AA608" s="66">
        <v>0.08</v>
      </c>
      <c r="AB608" s="66">
        <v>0.08</v>
      </c>
      <c r="AC608" s="66">
        <v>0.08</v>
      </c>
      <c r="AD608" s="66">
        <v>0.08</v>
      </c>
      <c r="AE608" s="66">
        <v>0.08</v>
      </c>
      <c r="AF608" s="66">
        <v>0.08</v>
      </c>
    </row>
    <row r="609" spans="1:37" x14ac:dyDescent="0.2">
      <c r="A609" s="13"/>
    </row>
    <row r="610" spans="1:37" x14ac:dyDescent="0.2">
      <c r="A610" s="13" t="s">
        <v>763</v>
      </c>
    </row>
    <row r="611" spans="1:37" x14ac:dyDescent="0.2">
      <c r="A611" s="14" t="s">
        <v>1003</v>
      </c>
      <c r="F611" s="102">
        <f t="shared" ref="F611:N611" si="388">F560</f>
        <v>2.8753654888955021E-2</v>
      </c>
      <c r="G611" s="102">
        <f t="shared" ref="G611:I611" si="389">G560</f>
        <v>3.2619019086698717E-2</v>
      </c>
      <c r="H611" s="47">
        <f t="shared" ref="H611" si="390">H560</f>
        <v>7.1710138275529207</v>
      </c>
      <c r="I611" s="47">
        <f t="shared" si="389"/>
        <v>7.4082102210144658</v>
      </c>
      <c r="J611" s="47">
        <f t="shared" ref="J611" si="391">J560</f>
        <v>5.9708576538521658</v>
      </c>
      <c r="K611" s="102"/>
      <c r="L611" s="47"/>
      <c r="N611" s="102" t="e">
        <f t="shared" si="388"/>
        <v>#DIV/0!</v>
      </c>
      <c r="P611" s="102" t="e">
        <f t="shared" ref="P611:Q611" si="392">P560</f>
        <v>#DIV/0!</v>
      </c>
      <c r="Q611" s="102" t="e">
        <f t="shared" si="392"/>
        <v>#DIV/0!</v>
      </c>
      <c r="R611" s="47" t="e">
        <f>R560</f>
        <v>#DIV/0!</v>
      </c>
      <c r="S611" s="102" t="e">
        <f t="shared" ref="S611:AF611" si="393">S585</f>
        <v>#DIV/0!</v>
      </c>
      <c r="T611" s="102">
        <f t="shared" si="393"/>
        <v>0</v>
      </c>
      <c r="U611" s="102" t="e">
        <f t="shared" si="393"/>
        <v>#DIV/0!</v>
      </c>
      <c r="V611" s="102" t="e">
        <f t="shared" si="393"/>
        <v>#DIV/0!</v>
      </c>
      <c r="W611" s="102" t="e">
        <f t="shared" si="393"/>
        <v>#DIV/0!</v>
      </c>
      <c r="X611" s="102" t="e">
        <f t="shared" si="393"/>
        <v>#DIV/0!</v>
      </c>
      <c r="Y611" s="102" t="e">
        <f t="shared" si="393"/>
        <v>#DIV/0!</v>
      </c>
      <c r="Z611" s="102">
        <f t="shared" si="393"/>
        <v>0</v>
      </c>
      <c r="AA611" s="102">
        <f t="shared" si="393"/>
        <v>0</v>
      </c>
      <c r="AB611" s="102">
        <f t="shared" si="393"/>
        <v>0</v>
      </c>
      <c r="AC611" s="102">
        <f t="shared" si="393"/>
        <v>0</v>
      </c>
      <c r="AD611" s="102">
        <f t="shared" si="393"/>
        <v>0</v>
      </c>
      <c r="AE611" s="102">
        <f t="shared" si="393"/>
        <v>0</v>
      </c>
      <c r="AF611" s="102" t="e">
        <f t="shared" si="393"/>
        <v>#REF!</v>
      </c>
    </row>
    <row r="612" spans="1:37" x14ac:dyDescent="0.2">
      <c r="A612" s="14" t="s">
        <v>1004</v>
      </c>
      <c r="D612" s="102"/>
      <c r="F612" s="102">
        <f>(F521*$C$529)/F$421</f>
        <v>0</v>
      </c>
      <c r="G612" s="102">
        <f>(G521*$C$529)/G$421</f>
        <v>0</v>
      </c>
      <c r="H612" s="47">
        <f>(H521*$C$529)/H$436</f>
        <v>0</v>
      </c>
      <c r="I612" s="47">
        <f>(I521*$C$529)/I$436</f>
        <v>0</v>
      </c>
      <c r="J612" s="47">
        <f>(J521*$C$529)/J$436</f>
        <v>0</v>
      </c>
      <c r="K612" s="102"/>
      <c r="L612" s="47"/>
      <c r="N612" s="102" t="e">
        <f>(N521*$C$529)/N$421</f>
        <v>#DIV/0!</v>
      </c>
      <c r="P612" s="102" t="e">
        <f>(P521*$C$529)/P$421</f>
        <v>#DIV/0!</v>
      </c>
      <c r="Q612" s="102" t="e">
        <f>(Q521*$C$529)/Q$421</f>
        <v>#DIV/0!</v>
      </c>
      <c r="R612" s="47" t="e">
        <f>(R521*$C$529)/R$436</f>
        <v>#DIV/0!</v>
      </c>
      <c r="S612" s="102" t="e">
        <f t="shared" ref="S612:AF612" si="394">S586</f>
        <v>#DIV/0!</v>
      </c>
      <c r="T612" s="102" t="e">
        <f t="shared" si="394"/>
        <v>#DIV/0!</v>
      </c>
      <c r="U612" s="102" t="e">
        <f t="shared" si="394"/>
        <v>#DIV/0!</v>
      </c>
      <c r="V612" s="102" t="e">
        <f t="shared" si="394"/>
        <v>#DIV/0!</v>
      </c>
      <c r="W612" s="102" t="e">
        <f t="shared" si="394"/>
        <v>#DIV/0!</v>
      </c>
      <c r="X612" s="102" t="e">
        <f t="shared" si="394"/>
        <v>#DIV/0!</v>
      </c>
      <c r="Y612" s="102" t="e">
        <f t="shared" si="394"/>
        <v>#DIV/0!</v>
      </c>
      <c r="Z612" s="102" t="e">
        <f t="shared" si="394"/>
        <v>#DIV/0!</v>
      </c>
      <c r="AA612" s="102" t="e">
        <f t="shared" si="394"/>
        <v>#DIV/0!</v>
      </c>
      <c r="AB612" s="102" t="e">
        <f t="shared" si="394"/>
        <v>#DIV/0!</v>
      </c>
      <c r="AC612" s="102" t="e">
        <f t="shared" si="394"/>
        <v>#DIV/0!</v>
      </c>
      <c r="AD612" s="102" t="e">
        <f t="shared" si="394"/>
        <v>#DIV/0!</v>
      </c>
      <c r="AE612" s="102">
        <f t="shared" si="394"/>
        <v>0</v>
      </c>
      <c r="AF612" s="102" t="e">
        <f t="shared" si="394"/>
        <v>#REF!</v>
      </c>
    </row>
    <row r="613" spans="1:37" x14ac:dyDescent="0.2">
      <c r="A613" s="14" t="s">
        <v>901</v>
      </c>
      <c r="F613" s="102">
        <f t="shared" ref="F613:N613" si="395">F562</f>
        <v>5.7981435559014353E-2</v>
      </c>
      <c r="G613" s="102">
        <f t="shared" ref="G613:I613" si="396">G562</f>
        <v>5.6375685636674264E-2</v>
      </c>
      <c r="H613" s="102">
        <f t="shared" ref="H613" si="397">H562</f>
        <v>5.8450352552247037E-2</v>
      </c>
      <c r="I613" s="102">
        <f t="shared" si="396"/>
        <v>0.11167424321321356</v>
      </c>
      <c r="J613" s="102">
        <f t="shared" ref="J613" si="398">J562</f>
        <v>5.6565547114464002E-2</v>
      </c>
      <c r="K613" s="102"/>
      <c r="L613" s="102"/>
      <c r="N613" s="102" t="e">
        <f t="shared" si="395"/>
        <v>#DIV/0!</v>
      </c>
      <c r="P613" s="102" t="e">
        <f t="shared" ref="P613:Q613" si="399">P562</f>
        <v>#DIV/0!</v>
      </c>
      <c r="Q613" s="102" t="e">
        <f t="shared" si="399"/>
        <v>#DIV/0!</v>
      </c>
      <c r="R613" s="102" t="e">
        <f>R562</f>
        <v>#DIV/0!</v>
      </c>
      <c r="S613" s="102">
        <f>S593</f>
        <v>0</v>
      </c>
      <c r="T613" s="102" t="e">
        <f>#REF!</f>
        <v>#REF!</v>
      </c>
      <c r="U613" s="102" t="e">
        <f>#REF!</f>
        <v>#REF!</v>
      </c>
      <c r="V613" s="102" t="e">
        <f>#REF!</f>
        <v>#REF!</v>
      </c>
      <c r="W613" s="102" t="e">
        <f>#REF!</f>
        <v>#REF!</v>
      </c>
      <c r="X613" s="102" t="e">
        <f>#REF!</f>
        <v>#REF!</v>
      </c>
      <c r="Y613" s="102" t="e">
        <f>#REF!</f>
        <v>#REF!</v>
      </c>
      <c r="Z613" s="102" t="e">
        <f>#REF!</f>
        <v>#REF!</v>
      </c>
      <c r="AA613" s="102" t="e">
        <f>#REF!</f>
        <v>#REF!</v>
      </c>
      <c r="AB613" s="102" t="e">
        <f>#REF!</f>
        <v>#REF!</v>
      </c>
      <c r="AC613" s="102" t="e">
        <f>#REF!</f>
        <v>#REF!</v>
      </c>
      <c r="AD613" s="102" t="e">
        <f>#REF!</f>
        <v>#REF!</v>
      </c>
      <c r="AE613" s="102" t="e">
        <f>#REF!</f>
        <v>#REF!</v>
      </c>
      <c r="AF613" s="102" t="e">
        <f>#REF!</f>
        <v>#REF!</v>
      </c>
    </row>
    <row r="614" spans="1:37" x14ac:dyDescent="0.2">
      <c r="A614" s="14" t="s">
        <v>902</v>
      </c>
      <c r="D614" s="102"/>
      <c r="F614" s="102">
        <f t="shared" ref="F614:R614" si="400">(F522*$C$529)/F$421</f>
        <v>0</v>
      </c>
      <c r="G614" s="102">
        <f t="shared" ref="G614:I614" si="401">(G522*$C$529)/G$421</f>
        <v>0</v>
      </c>
      <c r="H614" s="102">
        <f t="shared" ref="H614" si="402">(H522*$C$529)/H$421</f>
        <v>0</v>
      </c>
      <c r="I614" s="102">
        <f t="shared" si="401"/>
        <v>0</v>
      </c>
      <c r="J614" s="102">
        <f t="shared" ref="J614" si="403">(J522*$C$529)/J$421</f>
        <v>0</v>
      </c>
      <c r="K614" s="102"/>
      <c r="L614" s="102"/>
      <c r="N614" s="102" t="e">
        <f t="shared" si="400"/>
        <v>#DIV/0!</v>
      </c>
      <c r="P614" s="102" t="e">
        <f t="shared" si="400"/>
        <v>#DIV/0!</v>
      </c>
      <c r="Q614" s="102" t="e">
        <f t="shared" si="400"/>
        <v>#DIV/0!</v>
      </c>
      <c r="R614" s="102" t="e">
        <f t="shared" si="400"/>
        <v>#DIV/0!</v>
      </c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</row>
    <row r="615" spans="1:37" x14ac:dyDescent="0.2">
      <c r="E615" s="278"/>
      <c r="F615" s="102"/>
      <c r="G615" s="102"/>
      <c r="H615" s="102"/>
      <c r="I615" s="102"/>
      <c r="J615" s="102"/>
      <c r="K615" s="102"/>
      <c r="L615" s="102"/>
      <c r="N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</row>
    <row r="616" spans="1:37" x14ac:dyDescent="0.2">
      <c r="A616" s="13" t="s">
        <v>895</v>
      </c>
      <c r="F616" s="102"/>
      <c r="G616" s="102"/>
      <c r="H616" s="102"/>
      <c r="I616" s="102"/>
      <c r="J616" s="102"/>
      <c r="K616" s="102"/>
      <c r="L616" s="102"/>
      <c r="N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</row>
    <row r="617" spans="1:37" x14ac:dyDescent="0.2">
      <c r="A617" s="14" t="s">
        <v>1005</v>
      </c>
      <c r="F617" s="102">
        <f t="shared" ref="F617:N617" si="404">F566</f>
        <v>0</v>
      </c>
      <c r="G617" s="102">
        <f t="shared" ref="G617:I617" si="405">G566</f>
        <v>0</v>
      </c>
      <c r="H617" s="102">
        <f t="shared" si="405"/>
        <v>0</v>
      </c>
      <c r="I617" s="47">
        <f t="shared" si="405"/>
        <v>0</v>
      </c>
      <c r="J617" s="102">
        <f t="shared" ref="J617" si="406">J566</f>
        <v>0</v>
      </c>
      <c r="K617" s="102"/>
      <c r="L617" s="47"/>
      <c r="N617" s="102" t="e">
        <f t="shared" si="404"/>
        <v>#DIV/0!</v>
      </c>
      <c r="P617" s="102" t="e">
        <f t="shared" ref="P617:Q617" si="407">P566</f>
        <v>#DIV/0!</v>
      </c>
      <c r="Q617" s="102" t="e">
        <f t="shared" si="407"/>
        <v>#DIV/0!</v>
      </c>
      <c r="R617" s="47" t="e">
        <f>R566</f>
        <v>#DIV/0!</v>
      </c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</row>
    <row r="618" spans="1:37" s="74" customFormat="1" ht="15" x14ac:dyDescent="0.35">
      <c r="A618" s="74" t="s">
        <v>1006</v>
      </c>
      <c r="D618" s="102"/>
      <c r="E618" s="281"/>
      <c r="F618" s="108">
        <f>(F523*$C$529)/F$421</f>
        <v>0</v>
      </c>
      <c r="G618" s="108">
        <f>(G523*$C$529)/G$421</f>
        <v>0</v>
      </c>
      <c r="H618" s="108">
        <f>(H523*$C$529)/H$421</f>
        <v>0</v>
      </c>
      <c r="I618" s="109">
        <f>(I523*$C$529)/I$436</f>
        <v>0</v>
      </c>
      <c r="J618" s="108">
        <f>(J523*$C$529)/J$421</f>
        <v>0</v>
      </c>
      <c r="K618" s="108"/>
      <c r="L618" s="109"/>
      <c r="M618" s="14"/>
      <c r="N618" s="108" t="e">
        <f>(N523*$C$529)/N$421</f>
        <v>#DIV/0!</v>
      </c>
      <c r="O618" s="14"/>
      <c r="P618" s="108" t="e">
        <f>(P523*$C$529)/P$421</f>
        <v>#DIV/0!</v>
      </c>
      <c r="Q618" s="108" t="e">
        <f>(Q523*$C$529)/Q$421</f>
        <v>#DIV/0!</v>
      </c>
      <c r="R618" s="109" t="e">
        <f>(R523*$C$529)/R$436</f>
        <v>#DIV/0!</v>
      </c>
      <c r="AK618" s="78"/>
    </row>
    <row r="619" spans="1:37" x14ac:dyDescent="0.2">
      <c r="B619" s="14" t="s">
        <v>1007</v>
      </c>
      <c r="F619" s="102">
        <f>F617+F618</f>
        <v>0</v>
      </c>
      <c r="G619" s="102">
        <f>G617+G618</f>
        <v>0</v>
      </c>
      <c r="H619" s="102">
        <f>H617+H618</f>
        <v>0</v>
      </c>
      <c r="I619" s="47">
        <f t="shared" ref="I619" si="408">I617+I618</f>
        <v>0</v>
      </c>
      <c r="J619" s="102">
        <f>J617+J618</f>
        <v>0</v>
      </c>
      <c r="K619" s="102"/>
      <c r="L619" s="47"/>
      <c r="N619" s="102" t="e">
        <f>N617+N618</f>
        <v>#DIV/0!</v>
      </c>
      <c r="P619" s="102" t="e">
        <f t="shared" ref="P619:R619" si="409">P617+P618</f>
        <v>#DIV/0!</v>
      </c>
      <c r="Q619" s="102" t="e">
        <f t="shared" si="409"/>
        <v>#DIV/0!</v>
      </c>
      <c r="R619" s="47" t="e">
        <f t="shared" si="409"/>
        <v>#DIV/0!</v>
      </c>
    </row>
    <row r="620" spans="1:37" x14ac:dyDescent="0.2">
      <c r="F620" s="102"/>
      <c r="G620" s="102"/>
      <c r="H620" s="102"/>
      <c r="I620" s="102"/>
      <c r="J620" s="102"/>
      <c r="K620" s="102"/>
      <c r="L620" s="102"/>
      <c r="N620" s="102"/>
      <c r="P620" s="102"/>
      <c r="Q620" s="102"/>
      <c r="R620" s="102"/>
    </row>
    <row r="621" spans="1:37" x14ac:dyDescent="0.2">
      <c r="A621" s="13" t="s">
        <v>668</v>
      </c>
      <c r="P621" s="47"/>
    </row>
    <row r="622" spans="1:37" x14ac:dyDescent="0.2">
      <c r="A622" s="14" t="s">
        <v>1008</v>
      </c>
      <c r="F622" s="102">
        <f>F571</f>
        <v>1.502698642375078E-2</v>
      </c>
      <c r="G622" s="102">
        <f>G571</f>
        <v>1.294931798155702E-2</v>
      </c>
      <c r="H622" s="47">
        <f t="shared" ref="H622:I622" si="410">H596</f>
        <v>2.344442466157127</v>
      </c>
      <c r="I622" s="47">
        <f t="shared" si="410"/>
        <v>2.3800985285213963</v>
      </c>
      <c r="J622" s="47">
        <f t="shared" ref="J622" si="411">J596</f>
        <v>2.2182610031290793</v>
      </c>
      <c r="K622" s="102"/>
      <c r="L622" s="47"/>
      <c r="N622" s="102" t="e">
        <f>N571</f>
        <v>#DIV/0!</v>
      </c>
      <c r="P622" s="102" t="e">
        <f t="shared" ref="P622:AE622" si="412">P596</f>
        <v>#DIV/0!</v>
      </c>
      <c r="Q622" s="102" t="e">
        <f t="shared" si="412"/>
        <v>#DIV/0!</v>
      </c>
      <c r="R622" s="47" t="e">
        <f t="shared" si="412"/>
        <v>#DIV/0!</v>
      </c>
      <c r="S622" s="102" t="e">
        <f t="shared" si="412"/>
        <v>#DIV/0!</v>
      </c>
      <c r="T622" s="102" t="e">
        <f t="shared" si="412"/>
        <v>#REF!</v>
      </c>
      <c r="U622" s="102" t="e">
        <f t="shared" si="412"/>
        <v>#REF!</v>
      </c>
      <c r="V622" s="102" t="e">
        <f t="shared" si="412"/>
        <v>#REF!</v>
      </c>
      <c r="W622" s="102" t="e">
        <f t="shared" si="412"/>
        <v>#REF!</v>
      </c>
      <c r="X622" s="102" t="e">
        <f t="shared" si="412"/>
        <v>#REF!</v>
      </c>
      <c r="Y622" s="102" t="e">
        <f t="shared" si="412"/>
        <v>#REF!</v>
      </c>
      <c r="Z622" s="102" t="e">
        <f t="shared" si="412"/>
        <v>#REF!</v>
      </c>
      <c r="AA622" s="102" t="e">
        <f t="shared" si="412"/>
        <v>#REF!</v>
      </c>
      <c r="AB622" s="102" t="e">
        <f t="shared" si="412"/>
        <v>#REF!</v>
      </c>
      <c r="AC622" s="102" t="e">
        <f t="shared" si="412"/>
        <v>#REF!</v>
      </c>
      <c r="AD622" s="102" t="e">
        <f t="shared" si="412"/>
        <v>#REF!</v>
      </c>
      <c r="AE622" s="102" t="e">
        <f t="shared" si="412"/>
        <v>#REF!</v>
      </c>
      <c r="AF622" s="102">
        <f>AF544</f>
        <v>0</v>
      </c>
    </row>
    <row r="623" spans="1:37" ht="15" x14ac:dyDescent="0.35">
      <c r="A623" s="74" t="s">
        <v>1009</v>
      </c>
      <c r="D623" s="102"/>
      <c r="F623" s="108">
        <f>(F524*F608)/F421</f>
        <v>3.8672571174677901E-3</v>
      </c>
      <c r="G623" s="108">
        <f>(G524*G608)/G421</f>
        <v>3.4359600337392116E-3</v>
      </c>
      <c r="H623" s="109">
        <f>(H524*H608)/H436</f>
        <v>0.640094216997106</v>
      </c>
      <c r="I623" s="109">
        <f>(I524*I608)/I436</f>
        <v>0.65025389337593198</v>
      </c>
      <c r="J623" s="109">
        <f>(J524*J608)/J436</f>
        <v>0.59713432953492918</v>
      </c>
      <c r="K623" s="108"/>
      <c r="L623" s="109"/>
      <c r="N623" s="108" t="e">
        <f>(N524*N608)/N421</f>
        <v>#DIV/0!</v>
      </c>
      <c r="P623" s="108" t="e">
        <f>(P524*P608)/P421</f>
        <v>#DIV/0!</v>
      </c>
      <c r="Q623" s="108" t="e">
        <f>(Q524*Q608)/Q421</f>
        <v>#DIV/0!</v>
      </c>
      <c r="R623" s="109" t="e">
        <f>(R524*R608)/R436</f>
        <v>#DIV/0!</v>
      </c>
      <c r="S623" s="108" t="e">
        <f t="shared" ref="S623:AF623" si="413">(S524*S608)/S421</f>
        <v>#DIV/0!</v>
      </c>
      <c r="T623" s="108" t="e">
        <f t="shared" si="413"/>
        <v>#DIV/0!</v>
      </c>
      <c r="U623" s="108" t="e">
        <f t="shared" si="413"/>
        <v>#DIV/0!</v>
      </c>
      <c r="V623" s="108" t="e">
        <f t="shared" si="413"/>
        <v>#DIV/0!</v>
      </c>
      <c r="W623" s="108" t="e">
        <f t="shared" si="413"/>
        <v>#DIV/0!</v>
      </c>
      <c r="X623" s="108" t="e">
        <f t="shared" si="413"/>
        <v>#DIV/0!</v>
      </c>
      <c r="Y623" s="108" t="e">
        <f t="shared" si="413"/>
        <v>#DIV/0!</v>
      </c>
      <c r="Z623" s="108" t="e">
        <f t="shared" si="413"/>
        <v>#DIV/0!</v>
      </c>
      <c r="AA623" s="108" t="e">
        <f t="shared" si="413"/>
        <v>#DIV/0!</v>
      </c>
      <c r="AB623" s="108" t="e">
        <f t="shared" si="413"/>
        <v>#DIV/0!</v>
      </c>
      <c r="AC623" s="108" t="e">
        <f t="shared" si="413"/>
        <v>#DIV/0!</v>
      </c>
      <c r="AD623" s="108" t="e">
        <f t="shared" si="413"/>
        <v>#DIV/0!</v>
      </c>
      <c r="AE623" s="108" t="e">
        <f t="shared" si="413"/>
        <v>#DIV/0!</v>
      </c>
      <c r="AF623" s="108" t="e">
        <f t="shared" si="413"/>
        <v>#DIV/0!</v>
      </c>
    </row>
    <row r="624" spans="1:37" x14ac:dyDescent="0.2">
      <c r="B624" s="14" t="s">
        <v>1010</v>
      </c>
      <c r="F624" s="102">
        <f t="shared" ref="F624:AF624" si="414">F622+F623</f>
        <v>1.8894243541218571E-2</v>
      </c>
      <c r="G624" s="102">
        <f t="shared" ref="G624" si="415">G622+G623</f>
        <v>1.6385278015296233E-2</v>
      </c>
      <c r="H624" s="47">
        <f>H622+H623</f>
        <v>2.984536683154233</v>
      </c>
      <c r="I624" s="47">
        <f>I622+I623</f>
        <v>3.0303524218973283</v>
      </c>
      <c r="J624" s="47">
        <f>J622+J623</f>
        <v>2.8153953326640084</v>
      </c>
      <c r="K624" s="102"/>
      <c r="L624" s="47"/>
      <c r="N624" s="102" t="e">
        <f t="shared" ref="N624" si="416">N622+N623</f>
        <v>#DIV/0!</v>
      </c>
      <c r="P624" s="47" t="e">
        <f t="shared" si="414"/>
        <v>#DIV/0!</v>
      </c>
      <c r="Q624" s="102" t="e">
        <f t="shared" si="414"/>
        <v>#DIV/0!</v>
      </c>
      <c r="R624" s="47" t="e">
        <f>R622+R623</f>
        <v>#DIV/0!</v>
      </c>
      <c r="S624" s="102" t="e">
        <f t="shared" si="414"/>
        <v>#DIV/0!</v>
      </c>
      <c r="T624" s="102" t="e">
        <f t="shared" si="414"/>
        <v>#REF!</v>
      </c>
      <c r="U624" s="102" t="e">
        <f t="shared" si="414"/>
        <v>#REF!</v>
      </c>
      <c r="V624" s="102" t="e">
        <f t="shared" si="414"/>
        <v>#REF!</v>
      </c>
      <c r="W624" s="102" t="e">
        <f t="shared" si="414"/>
        <v>#REF!</v>
      </c>
      <c r="X624" s="102" t="e">
        <f t="shared" si="414"/>
        <v>#REF!</v>
      </c>
      <c r="Y624" s="102" t="e">
        <f t="shared" si="414"/>
        <v>#REF!</v>
      </c>
      <c r="Z624" s="102" t="e">
        <f t="shared" si="414"/>
        <v>#REF!</v>
      </c>
      <c r="AA624" s="102" t="e">
        <f t="shared" si="414"/>
        <v>#REF!</v>
      </c>
      <c r="AB624" s="102" t="e">
        <f t="shared" si="414"/>
        <v>#REF!</v>
      </c>
      <c r="AC624" s="102" t="e">
        <f t="shared" si="414"/>
        <v>#REF!</v>
      </c>
      <c r="AD624" s="102" t="e">
        <f t="shared" si="414"/>
        <v>#REF!</v>
      </c>
      <c r="AE624" s="102" t="e">
        <f t="shared" si="414"/>
        <v>#REF!</v>
      </c>
      <c r="AF624" s="102" t="e">
        <f t="shared" si="414"/>
        <v>#DIV/0!</v>
      </c>
    </row>
    <row r="626" spans="1:32" x14ac:dyDescent="0.2">
      <c r="A626" s="13" t="s">
        <v>669</v>
      </c>
    </row>
    <row r="627" spans="1:32" x14ac:dyDescent="0.2">
      <c r="A627" s="14" t="s">
        <v>670</v>
      </c>
      <c r="F627" s="77">
        <f t="shared" ref="F627:AE627" si="417">F601</f>
        <v>29.442928963334808</v>
      </c>
      <c r="G627" s="77">
        <f t="shared" ref="G627:I627" si="418">G601</f>
        <v>30.519805586708774</v>
      </c>
      <c r="H627" s="77">
        <f t="shared" si="418"/>
        <v>50.132481681936241</v>
      </c>
      <c r="I627" s="77">
        <f t="shared" si="418"/>
        <v>182.56986524262473</v>
      </c>
      <c r="J627" s="77">
        <f t="shared" ref="J627" si="419">J601</f>
        <v>189.23349181927512</v>
      </c>
      <c r="K627" s="77"/>
      <c r="L627" s="77"/>
      <c r="N627" s="77" t="e">
        <f t="shared" ref="N627" si="420">N601</f>
        <v>#DIV/0!</v>
      </c>
      <c r="P627" s="77" t="e">
        <f t="shared" si="417"/>
        <v>#DIV/0!</v>
      </c>
      <c r="Q627" s="77" t="e">
        <f t="shared" si="417"/>
        <v>#DIV/0!</v>
      </c>
      <c r="R627" s="77" t="e">
        <f t="shared" si="417"/>
        <v>#DIV/0!</v>
      </c>
      <c r="S627" s="77" t="e">
        <f t="shared" si="417"/>
        <v>#DIV/0!</v>
      </c>
      <c r="T627" s="77" t="e">
        <f t="shared" si="417"/>
        <v>#REF!</v>
      </c>
      <c r="U627" s="77" t="e">
        <f t="shared" si="417"/>
        <v>#REF!</v>
      </c>
      <c r="V627" s="77" t="e">
        <f t="shared" si="417"/>
        <v>#REF!</v>
      </c>
      <c r="W627" s="77" t="e">
        <f t="shared" si="417"/>
        <v>#REF!</v>
      </c>
      <c r="X627" s="77" t="e">
        <f t="shared" si="417"/>
        <v>#REF!</v>
      </c>
      <c r="Y627" s="77" t="e">
        <f t="shared" si="417"/>
        <v>#REF!</v>
      </c>
      <c r="Z627" s="77" t="e">
        <f t="shared" si="417"/>
        <v>#REF!</v>
      </c>
      <c r="AA627" s="77" t="e">
        <f t="shared" si="417"/>
        <v>#REF!</v>
      </c>
      <c r="AB627" s="77" t="e">
        <f t="shared" si="417"/>
        <v>#REF!</v>
      </c>
      <c r="AC627" s="77" t="e">
        <f t="shared" si="417"/>
        <v>#REF!</v>
      </c>
      <c r="AD627" s="77" t="e">
        <f t="shared" si="417"/>
        <v>#REF!</v>
      </c>
      <c r="AE627" s="77" t="e">
        <f t="shared" si="417"/>
        <v>#REF!</v>
      </c>
      <c r="AF627" s="77">
        <f>AF545</f>
        <v>0</v>
      </c>
    </row>
    <row r="628" spans="1:32" ht="15" x14ac:dyDescent="0.35">
      <c r="A628" s="14" t="s">
        <v>671</v>
      </c>
      <c r="D628" s="47"/>
      <c r="F628" s="109">
        <f t="shared" ref="F628:AF628" si="421">(F525*F$608)/F424</f>
        <v>5.6173797356338646</v>
      </c>
      <c r="G628" s="109">
        <f t="shared" ref="G628:I628" si="422">(G525*G$608)/G424</f>
        <v>5.8534090502147267</v>
      </c>
      <c r="H628" s="109">
        <f t="shared" si="422"/>
        <v>10.064248326708226</v>
      </c>
      <c r="I628" s="109">
        <f t="shared" si="422"/>
        <v>36.348513934025377</v>
      </c>
      <c r="J628" s="109">
        <f t="shared" ref="J628" si="423">(J525*J$608)/J424</f>
        <v>38.059788982869449</v>
      </c>
      <c r="K628" s="109"/>
      <c r="L628" s="109"/>
      <c r="N628" s="109" t="e">
        <f t="shared" si="421"/>
        <v>#DIV/0!</v>
      </c>
      <c r="P628" s="109" t="e">
        <f t="shared" si="421"/>
        <v>#DIV/0!</v>
      </c>
      <c r="Q628" s="109" t="e">
        <f t="shared" si="421"/>
        <v>#DIV/0!</v>
      </c>
      <c r="R628" s="109" t="e">
        <f t="shared" si="421"/>
        <v>#DIV/0!</v>
      </c>
      <c r="S628" s="109" t="e">
        <f t="shared" si="421"/>
        <v>#DIV/0!</v>
      </c>
      <c r="T628" s="109" t="e">
        <f t="shared" si="421"/>
        <v>#DIV/0!</v>
      </c>
      <c r="U628" s="109" t="e">
        <f t="shared" si="421"/>
        <v>#DIV/0!</v>
      </c>
      <c r="V628" s="109" t="e">
        <f t="shared" si="421"/>
        <v>#DIV/0!</v>
      </c>
      <c r="W628" s="109" t="e">
        <f t="shared" si="421"/>
        <v>#DIV/0!</v>
      </c>
      <c r="X628" s="109" t="e">
        <f t="shared" si="421"/>
        <v>#DIV/0!</v>
      </c>
      <c r="Y628" s="109" t="e">
        <f t="shared" si="421"/>
        <v>#DIV/0!</v>
      </c>
      <c r="Z628" s="109" t="e">
        <f t="shared" si="421"/>
        <v>#DIV/0!</v>
      </c>
      <c r="AA628" s="109" t="e">
        <f t="shared" si="421"/>
        <v>#DIV/0!</v>
      </c>
      <c r="AB628" s="109" t="e">
        <f t="shared" si="421"/>
        <v>#DIV/0!</v>
      </c>
      <c r="AC628" s="109" t="e">
        <f t="shared" si="421"/>
        <v>#DIV/0!</v>
      </c>
      <c r="AD628" s="109" t="e">
        <f t="shared" si="421"/>
        <v>#DIV/0!</v>
      </c>
      <c r="AE628" s="109" t="e">
        <f t="shared" si="421"/>
        <v>#DIV/0!</v>
      </c>
      <c r="AF628" s="109" t="e">
        <f t="shared" si="421"/>
        <v>#DIV/0!</v>
      </c>
    </row>
    <row r="629" spans="1:32" x14ac:dyDescent="0.2">
      <c r="B629" s="14" t="s">
        <v>672</v>
      </c>
      <c r="F629" s="77">
        <f t="shared" ref="F629:AF629" si="424">F627+F628</f>
        <v>35.060308698968669</v>
      </c>
      <c r="G629" s="77">
        <f t="shared" ref="G629:I629" si="425">G627+G628</f>
        <v>36.3732146369235</v>
      </c>
      <c r="H629" s="77">
        <f t="shared" si="425"/>
        <v>60.196730008644465</v>
      </c>
      <c r="I629" s="77">
        <f t="shared" si="425"/>
        <v>218.91837917665009</v>
      </c>
      <c r="J629" s="77">
        <f t="shared" ref="J629" si="426">J627+J628</f>
        <v>227.29328080214458</v>
      </c>
      <c r="K629" s="77"/>
      <c r="L629" s="77"/>
      <c r="N629" s="77" t="e">
        <f t="shared" ref="N629" si="427">N627+N628</f>
        <v>#DIV/0!</v>
      </c>
      <c r="P629" s="77" t="e">
        <f t="shared" si="424"/>
        <v>#DIV/0!</v>
      </c>
      <c r="Q629" s="77" t="e">
        <f t="shared" si="424"/>
        <v>#DIV/0!</v>
      </c>
      <c r="R629" s="77" t="e">
        <f t="shared" si="424"/>
        <v>#DIV/0!</v>
      </c>
      <c r="S629" s="77" t="e">
        <f t="shared" si="424"/>
        <v>#DIV/0!</v>
      </c>
      <c r="T629" s="77" t="e">
        <f t="shared" si="424"/>
        <v>#REF!</v>
      </c>
      <c r="U629" s="77" t="e">
        <f t="shared" si="424"/>
        <v>#REF!</v>
      </c>
      <c r="V629" s="77" t="e">
        <f t="shared" si="424"/>
        <v>#REF!</v>
      </c>
      <c r="W629" s="77" t="e">
        <f t="shared" si="424"/>
        <v>#REF!</v>
      </c>
      <c r="X629" s="77" t="e">
        <f t="shared" si="424"/>
        <v>#REF!</v>
      </c>
      <c r="Y629" s="77" t="e">
        <f t="shared" si="424"/>
        <v>#REF!</v>
      </c>
      <c r="Z629" s="77" t="e">
        <f t="shared" si="424"/>
        <v>#REF!</v>
      </c>
      <c r="AA629" s="77" t="e">
        <f t="shared" si="424"/>
        <v>#REF!</v>
      </c>
      <c r="AB629" s="77" t="e">
        <f t="shared" si="424"/>
        <v>#REF!</v>
      </c>
      <c r="AC629" s="77" t="e">
        <f t="shared" si="424"/>
        <v>#REF!</v>
      </c>
      <c r="AD629" s="77" t="e">
        <f t="shared" si="424"/>
        <v>#REF!</v>
      </c>
      <c r="AE629" s="77" t="e">
        <f t="shared" si="424"/>
        <v>#REF!</v>
      </c>
      <c r="AF629" s="77" t="e">
        <f t="shared" si="424"/>
        <v>#DIV/0!</v>
      </c>
    </row>
    <row r="630" spans="1:32" x14ac:dyDescent="0.2">
      <c r="F630" s="77"/>
      <c r="G630" s="77"/>
      <c r="H630" s="77"/>
      <c r="I630" s="77"/>
      <c r="J630" s="77"/>
      <c r="K630" s="77"/>
      <c r="L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</row>
    <row r="633" spans="1:32" x14ac:dyDescent="0.2">
      <c r="A633" s="27" t="s">
        <v>879</v>
      </c>
      <c r="F633" s="112"/>
      <c r="K633" s="112"/>
      <c r="Q633" s="77"/>
      <c r="R633" s="77"/>
      <c r="S633" s="90"/>
    </row>
    <row r="635" spans="1:32" x14ac:dyDescent="0.2">
      <c r="A635" s="13" t="s">
        <v>880</v>
      </c>
      <c r="E635" s="282">
        <f t="shared" ref="E635:O635" si="428">E330</f>
        <v>1.3706769844886101E-2</v>
      </c>
      <c r="F635" s="46">
        <f t="shared" si="428"/>
        <v>-1.2440095151387413E-3</v>
      </c>
      <c r="G635" s="46">
        <f t="shared" si="428"/>
        <v>2.4382327498863939E-2</v>
      </c>
      <c r="H635" s="46">
        <f t="shared" si="428"/>
        <v>0.19905943904458812</v>
      </c>
      <c r="I635" s="46">
        <f t="shared" si="428"/>
        <v>8.1274645192131359E-2</v>
      </c>
      <c r="J635" s="46">
        <f t="shared" si="428"/>
        <v>0.18720646083726714</v>
      </c>
      <c r="K635" s="46"/>
      <c r="L635" s="46"/>
      <c r="N635" s="46" t="e">
        <f t="shared" si="428"/>
        <v>#DIV/0!</v>
      </c>
      <c r="O635" s="46" t="e">
        <f t="shared" si="428"/>
        <v>#DIV/0!</v>
      </c>
      <c r="P635" s="113" t="e">
        <f>P394</f>
        <v>#DIV/0!</v>
      </c>
      <c r="Q635" s="113" t="e">
        <f>Q394</f>
        <v>#DIV/0!</v>
      </c>
      <c r="R635" s="113" t="e">
        <f>R394</f>
        <v>#DIV/0!</v>
      </c>
      <c r="S635" s="113">
        <f>S315</f>
        <v>0</v>
      </c>
    </row>
    <row r="636" spans="1:32" x14ac:dyDescent="0.2">
      <c r="F636" s="113"/>
      <c r="G636" s="113"/>
      <c r="H636" s="113"/>
      <c r="I636" s="113"/>
      <c r="J636" s="113"/>
      <c r="K636" s="113"/>
      <c r="L636" s="113"/>
      <c r="N636" s="113"/>
      <c r="O636" s="113"/>
      <c r="S636" s="75"/>
    </row>
    <row r="637" spans="1:32" x14ac:dyDescent="0.2">
      <c r="B637" s="14" t="s">
        <v>881</v>
      </c>
      <c r="F637" s="114">
        <f t="shared" ref="F637:R637" si="429">F578</f>
        <v>29.12823293434732</v>
      </c>
      <c r="G637" s="114">
        <f t="shared" ref="G637:I637" si="430">G578</f>
        <v>35.837284728753559</v>
      </c>
      <c r="H637" s="114">
        <f t="shared" ref="H637" si="431">H578</f>
        <v>131.07274281836754</v>
      </c>
      <c r="I637" s="114">
        <f t="shared" si="430"/>
        <v>622.07001118961352</v>
      </c>
      <c r="J637" s="114">
        <f t="shared" ref="J637" si="432">J578</f>
        <v>475.02525134020146</v>
      </c>
      <c r="K637" s="114"/>
      <c r="L637" s="114"/>
      <c r="N637" s="114" t="e">
        <f t="shared" ref="N637" si="433">N578</f>
        <v>#DIV/0!</v>
      </c>
      <c r="O637" s="114"/>
      <c r="P637" s="114" t="e">
        <f t="shared" si="429"/>
        <v>#DIV/0!</v>
      </c>
      <c r="Q637" s="114" t="e">
        <f t="shared" si="429"/>
        <v>#DIV/0!</v>
      </c>
      <c r="R637" s="114" t="e">
        <f t="shared" si="429"/>
        <v>#DIV/0!</v>
      </c>
      <c r="S637" s="114">
        <f>S579</f>
        <v>0</v>
      </c>
    </row>
    <row r="638" spans="1:32" x14ac:dyDescent="0.2">
      <c r="B638" s="14" t="s">
        <v>762</v>
      </c>
      <c r="F638" s="115">
        <f>F560+F561+F562+F563+F568+F573</f>
        <v>0.10154542595702044</v>
      </c>
      <c r="G638" s="115">
        <f>G560+G561+G562+G563+G568+G573</f>
        <v>0.10506539106575513</v>
      </c>
      <c r="H638" s="115">
        <f>H562+H563</f>
        <v>5.8450352552247037E-2</v>
      </c>
      <c r="I638" s="115">
        <f>I562+I563</f>
        <v>0.11167424321321356</v>
      </c>
      <c r="J638" s="115">
        <f>J562+J563</f>
        <v>5.6565547114464002E-2</v>
      </c>
      <c r="K638" s="115"/>
      <c r="L638" s="115"/>
      <c r="N638" s="115" t="e">
        <f>N560+N561+N562+N563+N568+N573</f>
        <v>#DIV/0!</v>
      </c>
      <c r="O638" s="115"/>
      <c r="P638" s="115" t="e">
        <f>P560+P561+P562+P563+P568+P573</f>
        <v>#DIV/0!</v>
      </c>
      <c r="Q638" s="115" t="e">
        <f>Q560+Q561+Q562+Q563+Q568+Q573</f>
        <v>#DIV/0!</v>
      </c>
      <c r="R638" s="115" t="e">
        <f>R562+R563</f>
        <v>#DIV/0!</v>
      </c>
      <c r="S638" s="115" t="e">
        <f>S562+S567+S572+S573</f>
        <v>#DIV/0!</v>
      </c>
    </row>
    <row r="639" spans="1:32" x14ac:dyDescent="0.2">
      <c r="B639" s="14" t="s">
        <v>882</v>
      </c>
      <c r="F639" s="114">
        <v>0</v>
      </c>
      <c r="G639" s="114">
        <v>0</v>
      </c>
      <c r="H639" s="114">
        <v>0</v>
      </c>
      <c r="I639" s="114">
        <v>0</v>
      </c>
      <c r="J639" s="114">
        <v>0</v>
      </c>
      <c r="K639" s="114"/>
      <c r="L639" s="114"/>
      <c r="N639" s="114">
        <v>0</v>
      </c>
      <c r="O639" s="114"/>
      <c r="P639" s="114">
        <v>0</v>
      </c>
      <c r="Q639" s="114">
        <v>0</v>
      </c>
      <c r="R639" s="114" t="e">
        <f>R560+R561+R568+R573</f>
        <v>#DIV/0!</v>
      </c>
      <c r="S639" s="114">
        <v>0</v>
      </c>
    </row>
    <row r="640" spans="1:32" x14ac:dyDescent="0.2">
      <c r="F640" s="28"/>
      <c r="G640" s="28"/>
      <c r="H640" s="28"/>
      <c r="I640" s="28"/>
      <c r="J640" s="28"/>
      <c r="K640" s="28"/>
      <c r="L640" s="28"/>
      <c r="N640" s="28"/>
      <c r="O640" s="28"/>
    </row>
    <row r="641" spans="1:19" x14ac:dyDescent="0.2">
      <c r="A641" s="13" t="s">
        <v>883</v>
      </c>
      <c r="E641" s="282">
        <f>E394</f>
        <v>1.3781712672053024E-2</v>
      </c>
      <c r="F641" s="113">
        <f>$E641</f>
        <v>1.3781712672053024E-2</v>
      </c>
      <c r="G641" s="113">
        <f>$E641</f>
        <v>1.3781712672053024E-2</v>
      </c>
      <c r="H641" s="113">
        <f>$E641</f>
        <v>1.3781712672053024E-2</v>
      </c>
      <c r="I641" s="113">
        <f>$E641</f>
        <v>1.3781712672053024E-2</v>
      </c>
      <c r="J641" s="113">
        <f t="shared" ref="J641" si="434">$E641</f>
        <v>1.3781712672053024E-2</v>
      </c>
      <c r="K641" s="113"/>
      <c r="L641" s="113"/>
      <c r="N641" s="113">
        <f>$E641</f>
        <v>1.3781712672053024E-2</v>
      </c>
      <c r="O641" s="113">
        <f>$E641</f>
        <v>1.3781712672053024E-2</v>
      </c>
      <c r="P641" s="113">
        <f t="shared" ref="P641:S641" si="435">O641</f>
        <v>1.3781712672053024E-2</v>
      </c>
      <c r="Q641" s="113">
        <f t="shared" si="435"/>
        <v>1.3781712672053024E-2</v>
      </c>
      <c r="R641" s="113">
        <f t="shared" si="435"/>
        <v>1.3781712672053024E-2</v>
      </c>
      <c r="S641" s="113">
        <f t="shared" si="435"/>
        <v>1.3781712672053024E-2</v>
      </c>
    </row>
    <row r="642" spans="1:19" x14ac:dyDescent="0.2">
      <c r="F642" s="113"/>
      <c r="G642" s="113"/>
      <c r="H642" s="113"/>
      <c r="I642" s="113"/>
      <c r="J642" s="113"/>
      <c r="K642" s="113"/>
      <c r="L642" s="113"/>
      <c r="N642" s="113"/>
      <c r="O642" s="113"/>
      <c r="P642" s="113"/>
      <c r="Q642" s="113"/>
      <c r="R642" s="113"/>
      <c r="S642" s="113"/>
    </row>
    <row r="643" spans="1:19" x14ac:dyDescent="0.2">
      <c r="B643" s="14" t="s">
        <v>881</v>
      </c>
      <c r="F643" s="114">
        <f>F603</f>
        <v>32.552597651990155</v>
      </c>
      <c r="G643" s="114">
        <f>G603</f>
        <v>33.760135367136314</v>
      </c>
      <c r="H643" s="114">
        <f>H603</f>
        <v>55.70384758014805</v>
      </c>
      <c r="I643" s="114">
        <f>I603</f>
        <v>202.69167309242587</v>
      </c>
      <c r="J643" s="114">
        <f>J603</f>
        <v>210.30262719320831</v>
      </c>
      <c r="K643" s="114"/>
      <c r="L643" s="114"/>
      <c r="N643" s="114" t="e">
        <f>N603</f>
        <v>#DIV/0!</v>
      </c>
      <c r="O643" s="114"/>
      <c r="P643" s="114" t="e">
        <f t="shared" ref="P643:S643" si="436">P603</f>
        <v>#DIV/0!</v>
      </c>
      <c r="Q643" s="114" t="e">
        <f t="shared" si="436"/>
        <v>#DIV/0!</v>
      </c>
      <c r="R643" s="114" t="e">
        <f t="shared" si="436"/>
        <v>#DIV/0!</v>
      </c>
      <c r="S643" s="114" t="e">
        <f t="shared" si="436"/>
        <v>#DIV/0!</v>
      </c>
    </row>
    <row r="644" spans="1:19" x14ac:dyDescent="0.2">
      <c r="B644" s="14" t="s">
        <v>762</v>
      </c>
      <c r="F644" s="115">
        <f>F585+F586+F587+F588+F593+F598</f>
        <v>0.10390291280148344</v>
      </c>
      <c r="G644" s="115">
        <f>G585+G586+G587+G588+G593+G598</f>
        <v>0.10384610122467322</v>
      </c>
      <c r="H644" s="115">
        <f>H587+H588</f>
        <v>5.8450352552247037E-2</v>
      </c>
      <c r="I644" s="115">
        <f>I587+I588</f>
        <v>0.11167424321321356</v>
      </c>
      <c r="J644" s="115">
        <f>J587+J588</f>
        <v>5.6565547114464002E-2</v>
      </c>
      <c r="K644" s="115"/>
      <c r="L644" s="115"/>
      <c r="N644" s="115" t="e">
        <f>N585+N586+N587+N588+N593+N598</f>
        <v>#DIV/0!</v>
      </c>
      <c r="O644" s="115"/>
      <c r="P644" s="115" t="e">
        <f>P585+P586+P587+P588+P593+P598</f>
        <v>#DIV/0!</v>
      </c>
      <c r="Q644" s="115" t="e">
        <f>Q585+Q586+Q587+Q588+Q593+Q598</f>
        <v>#DIV/0!</v>
      </c>
      <c r="R644" s="115" t="e">
        <f>R587+R588</f>
        <v>#DIV/0!</v>
      </c>
      <c r="S644" s="115" t="e">
        <f>S585+S586+S596+S597</f>
        <v>#DIV/0!</v>
      </c>
    </row>
    <row r="645" spans="1:19" x14ac:dyDescent="0.2">
      <c r="B645" s="14" t="s">
        <v>882</v>
      </c>
      <c r="F645" s="114">
        <v>0</v>
      </c>
      <c r="G645" s="114">
        <v>0</v>
      </c>
      <c r="H645" s="114">
        <v>0</v>
      </c>
      <c r="I645" s="114">
        <v>0</v>
      </c>
      <c r="J645" s="114">
        <v>0</v>
      </c>
      <c r="K645" s="114"/>
      <c r="L645" s="114"/>
      <c r="N645" s="114">
        <v>0</v>
      </c>
      <c r="O645" s="114"/>
      <c r="P645" s="114">
        <v>0</v>
      </c>
      <c r="Q645" s="114">
        <v>0</v>
      </c>
      <c r="R645" s="114" t="e">
        <f>R585+R586+R593+R598</f>
        <v>#DIV/0!</v>
      </c>
      <c r="S645" s="114">
        <v>0</v>
      </c>
    </row>
    <row r="646" spans="1:19" x14ac:dyDescent="0.2">
      <c r="F646" s="28"/>
      <c r="G646" s="28"/>
      <c r="H646" s="28"/>
      <c r="I646" s="28"/>
      <c r="J646" s="28"/>
      <c r="K646" s="28"/>
      <c r="L646" s="28"/>
      <c r="N646" s="28"/>
      <c r="O646" s="28"/>
      <c r="P646" s="28"/>
      <c r="Q646" s="28"/>
      <c r="R646" s="28"/>
      <c r="S646" s="28"/>
    </row>
    <row r="647" spans="1:19" x14ac:dyDescent="0.2">
      <c r="A647" s="13" t="s">
        <v>884</v>
      </c>
      <c r="E647" s="282">
        <f>C529</f>
        <v>2.4895614689999339E-2</v>
      </c>
      <c r="F647" s="113">
        <f>E$647</f>
        <v>2.4895614689999339E-2</v>
      </c>
      <c r="G647" s="113">
        <f>F$647</f>
        <v>2.4895614689999339E-2</v>
      </c>
      <c r="H647" s="113">
        <f>G$647</f>
        <v>2.4895614689999339E-2</v>
      </c>
      <c r="I647" s="113">
        <f>H$647</f>
        <v>2.4895614689999339E-2</v>
      </c>
      <c r="J647" s="113">
        <f t="shared" ref="J647" si="437">I$647</f>
        <v>2.4895614689999339E-2</v>
      </c>
      <c r="K647" s="113"/>
      <c r="L647" s="113"/>
      <c r="N647" s="113">
        <f>M$647</f>
        <v>0</v>
      </c>
      <c r="O647" s="113">
        <f>N$647</f>
        <v>0</v>
      </c>
      <c r="P647" s="113">
        <f t="shared" ref="P647:R647" si="438">O647</f>
        <v>0</v>
      </c>
      <c r="Q647" s="113">
        <f t="shared" si="438"/>
        <v>0</v>
      </c>
      <c r="R647" s="113">
        <f t="shared" si="438"/>
        <v>0</v>
      </c>
      <c r="S647" s="113">
        <f>$C$578</f>
        <v>0</v>
      </c>
    </row>
    <row r="648" spans="1:19" x14ac:dyDescent="0.2">
      <c r="A648" s="13"/>
      <c r="F648" s="113"/>
      <c r="G648" s="113"/>
      <c r="H648" s="113"/>
      <c r="I648" s="113"/>
      <c r="J648" s="113"/>
      <c r="K648" s="113"/>
      <c r="L648" s="113"/>
      <c r="N648" s="113"/>
      <c r="O648" s="113"/>
      <c r="P648" s="113"/>
      <c r="Q648" s="113"/>
      <c r="R648" s="113"/>
      <c r="S648" s="113"/>
    </row>
    <row r="649" spans="1:19" x14ac:dyDescent="0.2">
      <c r="B649" s="14" t="s">
        <v>881</v>
      </c>
      <c r="F649" s="114">
        <f>F629</f>
        <v>35.060308698968669</v>
      </c>
      <c r="G649" s="114">
        <f>G629</f>
        <v>36.3732146369235</v>
      </c>
      <c r="H649" s="114">
        <f t="shared" ref="H649:I649" si="439">H629</f>
        <v>60.196730008644465</v>
      </c>
      <c r="I649" s="114">
        <f t="shared" si="439"/>
        <v>218.91837917665009</v>
      </c>
      <c r="J649" s="114">
        <f t="shared" ref="J649" si="440">J629</f>
        <v>227.29328080214458</v>
      </c>
      <c r="K649" s="114"/>
      <c r="L649" s="114"/>
      <c r="N649" s="114" t="e">
        <f>N629</f>
        <v>#DIV/0!</v>
      </c>
      <c r="O649" s="114"/>
      <c r="P649" s="114" t="e">
        <f t="shared" ref="P649:R649" si="441">P629</f>
        <v>#DIV/0!</v>
      </c>
      <c r="Q649" s="114" t="e">
        <f t="shared" si="441"/>
        <v>#DIV/0!</v>
      </c>
      <c r="R649" s="114" t="e">
        <f t="shared" si="441"/>
        <v>#DIV/0!</v>
      </c>
      <c r="S649" s="114" t="e">
        <f>S629</f>
        <v>#DIV/0!</v>
      </c>
    </row>
    <row r="650" spans="1:19" x14ac:dyDescent="0.2">
      <c r="B650" s="14" t="s">
        <v>762</v>
      </c>
      <c r="F650" s="115">
        <f>F611+F612+F613+F614+F619+F624</f>
        <v>0.10562933398918795</v>
      </c>
      <c r="G650" s="115">
        <f>G611+G612+G613+G614+G619+G624</f>
        <v>0.10537998273866922</v>
      </c>
      <c r="H650" s="115">
        <f>+H613+H614</f>
        <v>5.8450352552247037E-2</v>
      </c>
      <c r="I650" s="115">
        <f>+I613+I614</f>
        <v>0.11167424321321356</v>
      </c>
      <c r="J650" s="115">
        <f>+J613+J614</f>
        <v>5.6565547114464002E-2</v>
      </c>
      <c r="K650" s="115"/>
      <c r="L650" s="115"/>
      <c r="N650" s="115" t="e">
        <f>N611+N612+N613+N614+N619+N624</f>
        <v>#DIV/0!</v>
      </c>
      <c r="O650" s="115"/>
      <c r="P650" s="115" t="e">
        <f t="shared" ref="P650:Q650" si="442">P611+P612+P613+P614+P619+P624</f>
        <v>#DIV/0!</v>
      </c>
      <c r="Q650" s="115" t="e">
        <f t="shared" si="442"/>
        <v>#DIV/0!</v>
      </c>
      <c r="R650" s="115" t="e">
        <f>R613+R614</f>
        <v>#DIV/0!</v>
      </c>
      <c r="S650" s="115" t="e">
        <f>S611+S612+S622+S623</f>
        <v>#DIV/0!</v>
      </c>
    </row>
    <row r="651" spans="1:19" x14ac:dyDescent="0.2">
      <c r="B651" s="14" t="s">
        <v>882</v>
      </c>
      <c r="F651" s="114">
        <v>0</v>
      </c>
      <c r="G651" s="114">
        <v>0</v>
      </c>
      <c r="H651" s="114">
        <f>H611+H612+H619+H624</f>
        <v>10.155550510707155</v>
      </c>
      <c r="I651" s="114">
        <f>I611+I612+I619+I624</f>
        <v>10.438562642911794</v>
      </c>
      <c r="J651" s="114">
        <f>J611+J612+J619+J624</f>
        <v>8.7862529865161747</v>
      </c>
      <c r="K651" s="114"/>
      <c r="L651" s="114"/>
      <c r="N651" s="114">
        <v>0</v>
      </c>
      <c r="O651" s="114"/>
      <c r="P651" s="114">
        <v>0</v>
      </c>
      <c r="Q651" s="114">
        <v>0</v>
      </c>
      <c r="R651" s="114" t="e">
        <f>R611+R612+R619+R624</f>
        <v>#DIV/0!</v>
      </c>
      <c r="S651" s="114">
        <v>0</v>
      </c>
    </row>
    <row r="652" spans="1:19" x14ac:dyDescent="0.2">
      <c r="B652" s="28"/>
      <c r="G652" s="28"/>
      <c r="H652" s="28"/>
      <c r="I652" s="115"/>
      <c r="J652" s="28"/>
      <c r="K652" s="28"/>
      <c r="L652" s="28"/>
    </row>
  </sheetData>
  <phoneticPr fontId="0" type="noConversion"/>
  <conditionalFormatting sqref="AH594:AH612 AH620:AH630 AH370:AH371 AH439:AH480 AH350:AH357 AH4:AH340 AH381:AH435 AH483:AH586">
    <cfRule type="containsText" dxfId="62" priority="70" operator="containsText" text="err">
      <formula>NOT(ISERROR(SEARCH("err",AH4)))</formula>
    </cfRule>
    <cfRule type="cellIs" dxfId="61" priority="71" operator="equal">
      <formula>"""err"""</formula>
    </cfRule>
  </conditionalFormatting>
  <conditionalFormatting sqref="AH587:AH593">
    <cfRule type="containsText" dxfId="60" priority="68" operator="containsText" text="err">
      <formula>NOT(ISERROR(SEARCH("err",AH587)))</formula>
    </cfRule>
    <cfRule type="cellIs" dxfId="59" priority="69" operator="equal">
      <formula>"""err"""</formula>
    </cfRule>
  </conditionalFormatting>
  <conditionalFormatting sqref="AH613:AH619">
    <cfRule type="containsText" dxfId="58" priority="64" operator="containsText" text="err">
      <formula>NOT(ISERROR(SEARCH("err",AH613)))</formula>
    </cfRule>
    <cfRule type="cellIs" dxfId="57" priority="65" operator="equal">
      <formula>"""err"""</formula>
    </cfRule>
  </conditionalFormatting>
  <conditionalFormatting sqref="AH369 AH358:AH359">
    <cfRule type="containsText" dxfId="56" priority="62" operator="containsText" text="err">
      <formula>NOT(ISERROR(SEARCH("err",AH358)))</formula>
    </cfRule>
    <cfRule type="cellIs" dxfId="55" priority="63" operator="equal">
      <formula>"""err"""</formula>
    </cfRule>
  </conditionalFormatting>
  <conditionalFormatting sqref="AH362:AH364 AH368">
    <cfRule type="containsText" dxfId="54" priority="60" operator="containsText" text="err">
      <formula>NOT(ISERROR(SEARCH("err",AH362)))</formula>
    </cfRule>
    <cfRule type="cellIs" dxfId="53" priority="61" operator="equal">
      <formula>"""err"""</formula>
    </cfRule>
  </conditionalFormatting>
  <conditionalFormatting sqref="AH361">
    <cfRule type="containsText" dxfId="52" priority="58" operator="containsText" text="err">
      <formula>NOT(ISERROR(SEARCH("err",AH361)))</formula>
    </cfRule>
    <cfRule type="cellIs" dxfId="51" priority="59" operator="equal">
      <formula>"""err"""</formula>
    </cfRule>
  </conditionalFormatting>
  <conditionalFormatting sqref="AH373">
    <cfRule type="containsText" dxfId="50" priority="56" operator="containsText" text="err">
      <formula>NOT(ISERROR(SEARCH("err",AH373)))</formula>
    </cfRule>
    <cfRule type="cellIs" dxfId="49" priority="57" operator="equal">
      <formula>"""err"""</formula>
    </cfRule>
  </conditionalFormatting>
  <conditionalFormatting sqref="AH437:AH438">
    <cfRule type="containsText" dxfId="48" priority="54" operator="containsText" text="err">
      <formula>NOT(ISERROR(SEARCH("err",AH437)))</formula>
    </cfRule>
    <cfRule type="cellIs" dxfId="47" priority="55" operator="equal">
      <formula>"""err"""</formula>
    </cfRule>
  </conditionalFormatting>
  <conditionalFormatting sqref="AH481:AH482">
    <cfRule type="containsText" dxfId="46" priority="52" operator="containsText" text="err">
      <formula>NOT(ISERROR(SEARCH("err",AH481)))</formula>
    </cfRule>
    <cfRule type="cellIs" dxfId="45" priority="53" operator="equal">
      <formula>"""err"""</formula>
    </cfRule>
  </conditionalFormatting>
  <conditionalFormatting sqref="AH1">
    <cfRule type="cellIs" dxfId="44" priority="51" operator="equal">
      <formula>"err"</formula>
    </cfRule>
  </conditionalFormatting>
  <conditionalFormatting sqref="AH349">
    <cfRule type="containsText" dxfId="41" priority="43" operator="containsText" text="err">
      <formula>NOT(ISERROR(SEARCH("err",AH349)))</formula>
    </cfRule>
    <cfRule type="cellIs" dxfId="40" priority="44" operator="equal">
      <formula>"""err"""</formula>
    </cfRule>
  </conditionalFormatting>
  <conditionalFormatting sqref="AH346">
    <cfRule type="containsText" dxfId="39" priority="39" operator="containsText" text="err">
      <formula>NOT(ISERROR(SEARCH("err",AH346)))</formula>
    </cfRule>
    <cfRule type="cellIs" dxfId="38" priority="40" operator="equal">
      <formula>"""err"""</formula>
    </cfRule>
  </conditionalFormatting>
  <conditionalFormatting sqref="AH347">
    <cfRule type="containsText" dxfId="37" priority="41" operator="containsText" text="err">
      <formula>NOT(ISERROR(SEARCH("err",AH347)))</formula>
    </cfRule>
    <cfRule type="cellIs" dxfId="36" priority="42" operator="equal">
      <formula>"""err"""</formula>
    </cfRule>
  </conditionalFormatting>
  <conditionalFormatting sqref="AH345">
    <cfRule type="containsText" dxfId="35" priority="37" operator="containsText" text="err">
      <formula>NOT(ISERROR(SEARCH("err",AH345)))</formula>
    </cfRule>
    <cfRule type="cellIs" dxfId="34" priority="38" operator="equal">
      <formula>"""err"""</formula>
    </cfRule>
  </conditionalFormatting>
  <conditionalFormatting sqref="AH367">
    <cfRule type="containsText" dxfId="33" priority="33" operator="containsText" text="err">
      <formula>NOT(ISERROR(SEARCH("err",AH367)))</formula>
    </cfRule>
    <cfRule type="cellIs" dxfId="32" priority="34" operator="equal">
      <formula>"""err"""</formula>
    </cfRule>
  </conditionalFormatting>
  <conditionalFormatting sqref="AH366">
    <cfRule type="containsText" dxfId="31" priority="31" operator="containsText" text="err">
      <formula>NOT(ISERROR(SEARCH("err",AH366)))</formula>
    </cfRule>
    <cfRule type="cellIs" dxfId="30" priority="32" operator="equal">
      <formula>"""err"""</formula>
    </cfRule>
  </conditionalFormatting>
  <conditionalFormatting sqref="AH365">
    <cfRule type="containsText" dxfId="29" priority="29" operator="containsText" text="err">
      <formula>NOT(ISERROR(SEARCH("err",AH365)))</formula>
    </cfRule>
    <cfRule type="cellIs" dxfId="28" priority="30" operator="equal">
      <formula>"""err"""</formula>
    </cfRule>
  </conditionalFormatting>
  <conditionalFormatting sqref="AH380">
    <cfRule type="containsText" dxfId="27" priority="27" operator="containsText" text="err">
      <formula>NOT(ISERROR(SEARCH("err",AH380)))</formula>
    </cfRule>
    <cfRule type="cellIs" dxfId="26" priority="28" operator="equal">
      <formula>"""err"""</formula>
    </cfRule>
  </conditionalFormatting>
  <conditionalFormatting sqref="AH379">
    <cfRule type="containsText" dxfId="25" priority="25" operator="containsText" text="err">
      <formula>NOT(ISERROR(SEARCH("err",AH379)))</formula>
    </cfRule>
    <cfRule type="cellIs" dxfId="24" priority="26" operator="equal">
      <formula>"""err"""</formula>
    </cfRule>
  </conditionalFormatting>
  <conditionalFormatting sqref="AH378">
    <cfRule type="containsText" dxfId="23" priority="23" operator="containsText" text="err">
      <formula>NOT(ISERROR(SEARCH("err",AH378)))</formula>
    </cfRule>
    <cfRule type="cellIs" dxfId="22" priority="24" operator="equal">
      <formula>"""err"""</formula>
    </cfRule>
  </conditionalFormatting>
  <conditionalFormatting sqref="AH377">
    <cfRule type="containsText" dxfId="21" priority="21" operator="containsText" text="err">
      <formula>NOT(ISERROR(SEARCH("err",AH377)))</formula>
    </cfRule>
    <cfRule type="cellIs" dxfId="20" priority="22" operator="equal">
      <formula>"""err"""</formula>
    </cfRule>
  </conditionalFormatting>
  <conditionalFormatting sqref="AH376">
    <cfRule type="containsText" dxfId="19" priority="19" operator="containsText" text="err">
      <formula>NOT(ISERROR(SEARCH("err",AH376)))</formula>
    </cfRule>
    <cfRule type="cellIs" dxfId="18" priority="20" operator="equal">
      <formula>"""err"""</formula>
    </cfRule>
  </conditionalFormatting>
  <conditionalFormatting sqref="AH375">
    <cfRule type="containsText" dxfId="17" priority="17" operator="containsText" text="err">
      <formula>NOT(ISERROR(SEARCH("err",AH375)))</formula>
    </cfRule>
    <cfRule type="cellIs" dxfId="16" priority="18" operator="equal">
      <formula>"""err"""</formula>
    </cfRule>
  </conditionalFormatting>
  <conditionalFormatting sqref="AH374">
    <cfRule type="containsText" dxfId="15" priority="15" operator="containsText" text="err">
      <formula>NOT(ISERROR(SEARCH("err",AH374)))</formula>
    </cfRule>
    <cfRule type="cellIs" dxfId="14" priority="16" operator="equal">
      <formula>"""err"""</formula>
    </cfRule>
  </conditionalFormatting>
  <conditionalFormatting sqref="AH436">
    <cfRule type="containsText" dxfId="11" priority="9" operator="containsText" text="err">
      <formula>NOT(ISERROR(SEARCH("err",AH436)))</formula>
    </cfRule>
    <cfRule type="cellIs" dxfId="10" priority="10" operator="equal">
      <formula>"""err"""</formula>
    </cfRule>
  </conditionalFormatting>
  <conditionalFormatting sqref="AH360">
    <cfRule type="containsText" dxfId="9" priority="7" operator="containsText" text="err">
      <formula>NOT(ISERROR(SEARCH("err",AH360)))</formula>
    </cfRule>
    <cfRule type="cellIs" dxfId="8" priority="8" operator="equal">
      <formula>"""err"""</formula>
    </cfRule>
  </conditionalFormatting>
  <conditionalFormatting sqref="AH372">
    <cfRule type="containsText" dxfId="7" priority="5" operator="containsText" text="err">
      <formula>NOT(ISERROR(SEARCH("err",AH372)))</formula>
    </cfRule>
    <cfRule type="cellIs" dxfId="6" priority="6" operator="equal">
      <formula>"""err"""</formula>
    </cfRule>
  </conditionalFormatting>
  <conditionalFormatting sqref="AH348">
    <cfRule type="containsText" dxfId="5" priority="3" operator="containsText" text="err">
      <formula>NOT(ISERROR(SEARCH("err",AH348)))</formula>
    </cfRule>
    <cfRule type="cellIs" dxfId="4" priority="4" operator="equal">
      <formula>"""err"""</formula>
    </cfRule>
  </conditionalFormatting>
  <conditionalFormatting sqref="AH341:AH344">
    <cfRule type="containsText" dxfId="1" priority="1" operator="containsText" text="err">
      <formula>NOT(ISERROR(SEARCH("err",AH341)))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60" pageOrder="overThenDown" orientation="landscape" r:id="rId1"/>
  <headerFooter alignWithMargins="0">
    <oddHeader>&amp;C&amp;"Times New Roman,Bold"MEADE COUNTY R.E.C.C.
Cost of Service Study
Class Allocation
12 Months Ended December 31, 2024</oddHeader>
    <oddFooter>&amp;RExhibit JW-5
Page &amp;P of &amp;N</oddFooter>
  </headerFooter>
  <rowBreaks count="18" manualBreakCount="18">
    <brk id="42" max="12" man="1"/>
    <brk id="80" max="12" man="1"/>
    <brk id="118" max="12" man="1"/>
    <brk id="156" max="12" man="1"/>
    <brk id="194" max="12" man="1"/>
    <brk id="232" max="12" man="1"/>
    <brk id="270" max="12" man="1"/>
    <brk id="308" max="12" man="1"/>
    <brk id="332" max="12" man="1"/>
    <brk id="396" max="12" man="1"/>
    <brk id="436" max="12" man="1"/>
    <brk id="480" max="12" man="1"/>
    <brk id="499" max="12" man="1"/>
    <brk id="537" max="12" man="1"/>
    <brk id="555" max="12" man="1"/>
    <brk id="580" max="12" man="1"/>
    <brk id="606" max="12" man="1"/>
    <brk id="632" max="12" man="1"/>
  </rowBreaks>
  <colBreaks count="4" manualBreakCount="4">
    <brk id="9" max="650" man="1"/>
    <brk id="15" max="651" man="1"/>
    <brk id="19" max="568" man="1"/>
    <brk id="25" max="568" man="1"/>
  </colBreaks>
  <ignoredErrors>
    <ignoredError sqref="F444 G444:M444 F451 F458 H542:J542 H551:J551 F586:J586 F612:J612 I618:J618 F498:L498 F491:L491 F472:L472 F479:L479 F465:L465 G458:L458 G451:L452 G414:J41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211"/>
  <sheetViews>
    <sheetView view="pageBreakPreview" zoomScale="85" zoomScaleNormal="75" zoomScaleSheetLayoutView="85" workbookViewId="0">
      <selection activeCell="A28" sqref="A28:XFD30"/>
    </sheetView>
  </sheetViews>
  <sheetFormatPr defaultRowHeight="12.75" x14ac:dyDescent="0.2"/>
  <cols>
    <col min="1" max="1" width="39.5703125" style="14" customWidth="1"/>
    <col min="2" max="2" width="10.28515625" style="29" customWidth="1"/>
    <col min="3" max="6" width="12.5703125" style="14" bestFit="1" customWidth="1"/>
    <col min="7" max="7" width="13.140625" style="14" bestFit="1" customWidth="1"/>
    <col min="8" max="8" width="14.5703125" style="14" bestFit="1" customWidth="1"/>
    <col min="9" max="11" width="12.5703125" style="14" bestFit="1" customWidth="1"/>
    <col min="12" max="12" width="16.85546875" style="14" customWidth="1"/>
    <col min="13" max="14" width="12.5703125" style="14" bestFit="1" customWidth="1"/>
    <col min="15" max="15" width="14.28515625" style="14" bestFit="1" customWidth="1"/>
    <col min="16" max="16" width="17.85546875" style="14" customWidth="1"/>
    <col min="17" max="17" width="17.28515625" style="14" customWidth="1"/>
    <col min="18" max="20" width="15" style="14" bestFit="1" customWidth="1"/>
    <col min="21" max="21" width="9.140625" style="14"/>
    <col min="22" max="22" width="11.85546875" style="14" bestFit="1" customWidth="1"/>
    <col min="23" max="25" width="9.140625" style="14"/>
    <col min="26" max="26" width="15.28515625" style="14" bestFit="1" customWidth="1"/>
    <col min="27" max="16384" width="9.140625" style="14"/>
  </cols>
  <sheetData>
    <row r="1" spans="1:27" x14ac:dyDescent="0.2">
      <c r="A1" s="13" t="str">
        <f>'Summary of Returns'!A1</f>
        <v>MEADE COUNTY R.E.C.C.</v>
      </c>
    </row>
    <row r="2" spans="1:27" x14ac:dyDescent="0.2">
      <c r="A2" s="14" t="s">
        <v>677</v>
      </c>
    </row>
    <row r="3" spans="1:27" x14ac:dyDescent="0.2">
      <c r="C3" s="116"/>
      <c r="D3" s="28"/>
      <c r="E3" s="28"/>
      <c r="F3" s="23" t="s">
        <v>723</v>
      </c>
      <c r="G3" s="23" t="s">
        <v>685</v>
      </c>
      <c r="H3" s="28"/>
      <c r="I3" s="28"/>
      <c r="J3" s="28"/>
      <c r="K3" s="28"/>
      <c r="M3" s="116"/>
      <c r="N3" s="28"/>
      <c r="O3" s="28"/>
      <c r="Q3" s="23"/>
      <c r="R3" s="23"/>
    </row>
    <row r="4" spans="1:27" x14ac:dyDescent="0.2">
      <c r="A4" s="29"/>
      <c r="C4" s="28"/>
      <c r="D4" s="28"/>
      <c r="E4" s="28"/>
      <c r="F4" s="23" t="s">
        <v>684</v>
      </c>
      <c r="G4" s="23" t="s">
        <v>684</v>
      </c>
      <c r="H4" s="23" t="s">
        <v>694</v>
      </c>
      <c r="I4" s="23" t="s">
        <v>685</v>
      </c>
      <c r="J4" s="23" t="s">
        <v>687</v>
      </c>
      <c r="K4" s="23" t="s">
        <v>688</v>
      </c>
      <c r="M4" s="28"/>
      <c r="N4" s="28"/>
      <c r="O4" s="28"/>
      <c r="P4" s="29"/>
      <c r="Q4" s="23"/>
      <c r="R4" s="23"/>
      <c r="T4" s="29"/>
    </row>
    <row r="5" spans="1:27" s="23" customFormat="1" x14ac:dyDescent="0.2">
      <c r="B5" s="16"/>
      <c r="C5" s="23" t="s">
        <v>580</v>
      </c>
      <c r="F5" s="23" t="s">
        <v>724</v>
      </c>
      <c r="G5" s="23" t="s">
        <v>12</v>
      </c>
      <c r="H5" s="23" t="s">
        <v>695</v>
      </c>
      <c r="I5" s="23" t="s">
        <v>644</v>
      </c>
      <c r="J5" s="23" t="s">
        <v>644</v>
      </c>
      <c r="K5" s="23" t="s">
        <v>644</v>
      </c>
      <c r="L5" s="14"/>
      <c r="M5" s="23" t="str">
        <f>C5</f>
        <v>Average</v>
      </c>
      <c r="O5" s="28" t="s">
        <v>907</v>
      </c>
      <c r="Q5" s="23" t="s">
        <v>907</v>
      </c>
    </row>
    <row r="6" spans="1:27" s="23" customFormat="1" x14ac:dyDescent="0.2">
      <c r="A6" s="117" t="s">
        <v>863</v>
      </c>
      <c r="B6" s="20" t="s">
        <v>872</v>
      </c>
      <c r="C6" s="22" t="s">
        <v>582</v>
      </c>
      <c r="D6" s="22" t="s">
        <v>942</v>
      </c>
      <c r="E6" s="22" t="s">
        <v>348</v>
      </c>
      <c r="F6" s="22" t="s">
        <v>10</v>
      </c>
      <c r="G6" s="22" t="s">
        <v>683</v>
      </c>
      <c r="H6" s="22" t="s">
        <v>696</v>
      </c>
      <c r="I6" s="22" t="s">
        <v>686</v>
      </c>
      <c r="J6" s="22" t="s">
        <v>686</v>
      </c>
      <c r="K6" s="22" t="s">
        <v>686</v>
      </c>
      <c r="L6" s="117" t="s">
        <v>863</v>
      </c>
      <c r="M6" s="22" t="str">
        <f t="shared" ref="M6:M25" si="0">C6</f>
        <v>Customers</v>
      </c>
      <c r="N6" s="22" t="str">
        <f t="shared" ref="N6:O14" si="1">D6</f>
        <v>kWh</v>
      </c>
      <c r="O6" s="22" t="s">
        <v>866</v>
      </c>
      <c r="P6" s="22" t="str">
        <f>E6</f>
        <v>Revenue</v>
      </c>
      <c r="Q6" s="22" t="s">
        <v>908</v>
      </c>
    </row>
    <row r="7" spans="1:27" x14ac:dyDescent="0.2">
      <c r="A7" s="29"/>
      <c r="C7" s="49"/>
      <c r="D7" s="49"/>
      <c r="E7" s="49"/>
      <c r="G7" s="49"/>
      <c r="H7" s="49"/>
      <c r="I7" s="49"/>
      <c r="J7" s="49"/>
      <c r="K7" s="49"/>
      <c r="L7" s="29"/>
      <c r="M7" s="49"/>
      <c r="N7" s="49"/>
      <c r="O7" s="49"/>
      <c r="P7" s="49"/>
      <c r="Q7" s="49"/>
    </row>
    <row r="8" spans="1:27" x14ac:dyDescent="0.2">
      <c r="A8" s="118" t="str">
        <f>'Summary of Returns'!B10</f>
        <v>Residential</v>
      </c>
      <c r="B8" s="119">
        <f>'Summary of Returns'!C10</f>
        <v>1</v>
      </c>
      <c r="C8" s="120">
        <f>O38</f>
        <v>29248</v>
      </c>
      <c r="D8" s="120">
        <f>O39</f>
        <v>333689905</v>
      </c>
      <c r="E8" s="284">
        <v>47540629.230000004</v>
      </c>
      <c r="F8" s="35">
        <f>O46</f>
        <v>2541647.5840587132</v>
      </c>
      <c r="G8" s="35">
        <f>P46</f>
        <v>336533.66935483873</v>
      </c>
      <c r="H8" s="121">
        <f>Q42</f>
        <v>120001.70236992848</v>
      </c>
      <c r="I8" s="120">
        <f>R44</f>
        <v>757257.62731976341</v>
      </c>
      <c r="J8" s="120">
        <f>S44</f>
        <v>200949.57031619363</v>
      </c>
      <c r="K8" s="120">
        <f>T44</f>
        <v>556308.05700356979</v>
      </c>
      <c r="L8" s="118" t="str">
        <f>A8</f>
        <v>Residential</v>
      </c>
      <c r="M8" s="120">
        <f t="shared" si="0"/>
        <v>29248</v>
      </c>
      <c r="N8" s="120">
        <f t="shared" si="1"/>
        <v>333689905</v>
      </c>
      <c r="O8" s="66">
        <f>D8/$D$25</f>
        <v>0.34329578944410277</v>
      </c>
      <c r="P8" s="122">
        <f>E8</f>
        <v>47540629.230000004</v>
      </c>
      <c r="Q8" s="66">
        <f t="shared" ref="Q8:Q23" si="2">E8/$E$25</f>
        <v>0.5605901211647154</v>
      </c>
      <c r="W8" s="23"/>
      <c r="X8" s="23"/>
      <c r="Y8" s="23"/>
      <c r="Z8" s="23"/>
      <c r="AA8" s="23"/>
    </row>
    <row r="9" spans="1:27" x14ac:dyDescent="0.2">
      <c r="A9" s="118" t="str">
        <f>'Summary of Returns'!B11</f>
        <v>Small Comm</v>
      </c>
      <c r="B9" s="119">
        <f>'Summary of Returns'!C11</f>
        <v>2</v>
      </c>
      <c r="C9" s="120">
        <f>O48</f>
        <v>1819</v>
      </c>
      <c r="D9" s="120">
        <f>O49</f>
        <v>25940828</v>
      </c>
      <c r="E9" s="284">
        <v>3850728.04</v>
      </c>
      <c r="F9" s="35">
        <f>O56</f>
        <v>154822.64135165518</v>
      </c>
      <c r="G9" s="35">
        <f>P56</f>
        <v>17423.117236024842</v>
      </c>
      <c r="H9" s="121">
        <f>Q52</f>
        <v>8261.4503593306235</v>
      </c>
      <c r="I9" s="120">
        <f>R54</f>
        <v>67301.092335630135</v>
      </c>
      <c r="J9" s="120">
        <f>S54</f>
        <v>20166.718376767254</v>
      </c>
      <c r="K9" s="120">
        <f>T54</f>
        <v>47134.373958862881</v>
      </c>
      <c r="L9" s="118" t="str">
        <f t="shared" ref="L9:L17" si="3">A9</f>
        <v>Small Comm</v>
      </c>
      <c r="M9" s="120">
        <f t="shared" si="0"/>
        <v>1819</v>
      </c>
      <c r="N9" s="120">
        <f t="shared" si="1"/>
        <v>25940828</v>
      </c>
      <c r="O9" s="66">
        <f>D9/$D$25</f>
        <v>2.6687582973460605E-2</v>
      </c>
      <c r="P9" s="122">
        <f>E9</f>
        <v>3850728.04</v>
      </c>
      <c r="Q9" s="66">
        <f t="shared" si="2"/>
        <v>4.5407057783613751E-2</v>
      </c>
      <c r="W9" s="23"/>
      <c r="X9" s="23"/>
      <c r="Y9" s="23"/>
      <c r="Z9" s="23"/>
      <c r="AA9" s="23"/>
    </row>
    <row r="10" spans="1:27" x14ac:dyDescent="0.2">
      <c r="A10" s="118" t="str">
        <f>'Summary of Returns'!B12</f>
        <v>3 Phase</v>
      </c>
      <c r="B10" s="119">
        <f>'Summary of Returns'!C12</f>
        <v>3</v>
      </c>
      <c r="C10" s="120">
        <f>O58</f>
        <v>402</v>
      </c>
      <c r="D10" s="120">
        <f>O59</f>
        <v>65478568</v>
      </c>
      <c r="E10" s="284">
        <v>8865790.540000001</v>
      </c>
      <c r="F10" s="35">
        <f>O66</f>
        <v>244529.37700000001</v>
      </c>
      <c r="G10" s="35">
        <f>P66</f>
        <v>22878.574999999997</v>
      </c>
      <c r="H10" s="121">
        <f>Q62</f>
        <v>16308.821009017151</v>
      </c>
      <c r="I10" s="120">
        <f>R64</f>
        <v>137975.88371285732</v>
      </c>
      <c r="J10" s="120">
        <f>S64</f>
        <v>36495.755441277739</v>
      </c>
      <c r="K10" s="120">
        <f>T64</f>
        <v>101480.12827157958</v>
      </c>
      <c r="L10" s="118" t="str">
        <f t="shared" si="3"/>
        <v>3 Phase</v>
      </c>
      <c r="M10" s="120">
        <f t="shared" si="0"/>
        <v>402</v>
      </c>
      <c r="N10" s="120">
        <f t="shared" si="1"/>
        <v>65478568</v>
      </c>
      <c r="O10" s="66">
        <f>D10/$D$25</f>
        <v>6.7363490343615176E-2</v>
      </c>
      <c r="P10" s="122">
        <f>E10</f>
        <v>8865790.540000001</v>
      </c>
      <c r="Q10" s="66">
        <f t="shared" si="2"/>
        <v>0.10454372761863395</v>
      </c>
      <c r="W10" s="23"/>
      <c r="X10" s="23"/>
      <c r="Y10" s="23"/>
      <c r="Z10" s="23"/>
      <c r="AA10" s="23"/>
    </row>
    <row r="11" spans="1:27" x14ac:dyDescent="0.2">
      <c r="A11" s="118" t="str">
        <f>'Summary of Returns'!B13</f>
        <v>3 Ph 0-999 KVA TOD</v>
      </c>
      <c r="B11" s="119" t="str">
        <f>'Summary of Returns'!C13</f>
        <v>3A</v>
      </c>
      <c r="C11" s="120">
        <f>O68</f>
        <v>4</v>
      </c>
      <c r="D11" s="120">
        <f>O69</f>
        <v>881159</v>
      </c>
      <c r="E11" s="284">
        <v>117069.19</v>
      </c>
      <c r="F11" s="35">
        <f>O76</f>
        <v>3333.04</v>
      </c>
      <c r="G11" s="35">
        <f>P76</f>
        <v>317.83999999999997</v>
      </c>
      <c r="H11" s="121">
        <f>Q72</f>
        <v>232.98372469790669</v>
      </c>
      <c r="I11" s="120">
        <f>R74</f>
        <v>1948.7991851892573</v>
      </c>
      <c r="J11" s="120">
        <f>S74</f>
        <v>464.04953362577203</v>
      </c>
      <c r="K11" s="120">
        <f>T74</f>
        <v>1484.7496515634853</v>
      </c>
      <c r="L11" s="118" t="str">
        <f t="shared" si="3"/>
        <v>3 Ph 0-999 KVA TOD</v>
      </c>
      <c r="M11" s="120">
        <f t="shared" si="0"/>
        <v>4</v>
      </c>
      <c r="N11" s="120">
        <f t="shared" si="1"/>
        <v>881159</v>
      </c>
      <c r="O11" s="66">
        <f>D11/$D$25</f>
        <v>9.0652480041545215E-4</v>
      </c>
      <c r="P11" s="122">
        <f>E11</f>
        <v>117069.19</v>
      </c>
      <c r="Q11" s="66">
        <f t="shared" si="2"/>
        <v>1.3804577783194621E-3</v>
      </c>
      <c r="W11" s="23"/>
      <c r="X11" s="23"/>
      <c r="Y11" s="23"/>
      <c r="Z11" s="23"/>
      <c r="AA11" s="23"/>
    </row>
    <row r="12" spans="1:27" x14ac:dyDescent="0.2">
      <c r="A12" s="118" t="str">
        <f>'Summary of Returns'!B14</f>
        <v>Large 1000 KVA TOD</v>
      </c>
      <c r="B12" s="119">
        <f>'Summary of Returns'!C14</f>
        <v>4</v>
      </c>
      <c r="C12" s="120">
        <f>O78</f>
        <v>5</v>
      </c>
      <c r="D12" s="120">
        <f>O79</f>
        <v>6968834</v>
      </c>
      <c r="E12" s="284">
        <v>1061262.01</v>
      </c>
      <c r="F12" s="35">
        <f>O86</f>
        <v>41545.899999999994</v>
      </c>
      <c r="G12" s="35">
        <f>P86</f>
        <v>3818.7</v>
      </c>
      <c r="H12" s="121">
        <f>Q82</f>
        <v>2381.7065250307919</v>
      </c>
      <c r="I12" s="120">
        <f>R84</f>
        <v>19851.41497151701</v>
      </c>
      <c r="J12" s="120">
        <f>S84</f>
        <v>4946.9063723298168</v>
      </c>
      <c r="K12" s="120">
        <f>T84</f>
        <v>14904.508599187193</v>
      </c>
      <c r="L12" s="118" t="str">
        <f t="shared" si="3"/>
        <v>Large 1000 KVA TOD</v>
      </c>
      <c r="M12" s="120">
        <f t="shared" si="0"/>
        <v>5</v>
      </c>
      <c r="N12" s="120">
        <f t="shared" si="1"/>
        <v>6968834</v>
      </c>
      <c r="O12" s="66">
        <f>D12/$D$25</f>
        <v>7.1694448459113701E-3</v>
      </c>
      <c r="P12" s="122">
        <f>E12</f>
        <v>1061262.01</v>
      </c>
      <c r="Q12" s="66">
        <f t="shared" si="2"/>
        <v>1.2514201187686074E-2</v>
      </c>
      <c r="W12" s="23"/>
      <c r="X12" s="23"/>
      <c r="Y12" s="23"/>
      <c r="Z12" s="23"/>
      <c r="AA12" s="23"/>
    </row>
    <row r="13" spans="1:27" x14ac:dyDescent="0.2">
      <c r="A13" s="118" t="str">
        <f>'Summary of Returns'!B15</f>
        <v>Private Outdoor Lighting</v>
      </c>
      <c r="B13" s="119">
        <f>'Summary of Returns'!C15</f>
        <v>5</v>
      </c>
      <c r="C13" s="120">
        <f>O88</f>
        <v>0</v>
      </c>
      <c r="D13" s="120">
        <f>O89</f>
        <v>10129708</v>
      </c>
      <c r="E13" s="284">
        <v>1490765.52</v>
      </c>
      <c r="F13" s="35">
        <f>O96</f>
        <v>27776.216340245777</v>
      </c>
      <c r="G13" s="35">
        <f>P96</f>
        <v>2514.5327380952381</v>
      </c>
      <c r="H13" s="121">
        <f>Q92</f>
        <v>2514.5327380952381</v>
      </c>
      <c r="I13" s="120">
        <f>R94</f>
        <v>13770.755017921148</v>
      </c>
      <c r="J13" s="120">
        <f>S94</f>
        <v>0</v>
      </c>
      <c r="K13" s="120">
        <f>T94</f>
        <v>13770.755017921148</v>
      </c>
      <c r="L13" s="118" t="str">
        <f t="shared" si="3"/>
        <v>Private Outdoor Lighting</v>
      </c>
      <c r="M13" s="120">
        <f t="shared" si="0"/>
        <v>0</v>
      </c>
      <c r="N13" s="120">
        <f t="shared" si="1"/>
        <v>10129708</v>
      </c>
      <c r="O13" s="66">
        <f>D13/$D$25</f>
        <v>1.042131048195253E-2</v>
      </c>
      <c r="P13" s="122">
        <f>E13</f>
        <v>1490765.52</v>
      </c>
      <c r="Q13" s="66">
        <f t="shared" si="2"/>
        <v>1.7578825459836678E-2</v>
      </c>
      <c r="W13" s="23"/>
      <c r="X13" s="23"/>
      <c r="Y13" s="23"/>
      <c r="Z13" s="23"/>
      <c r="AA13" s="23"/>
    </row>
    <row r="14" spans="1:27" x14ac:dyDescent="0.2">
      <c r="A14" s="118" t="str">
        <f>'Summary of Returns'!B16</f>
        <v>Street &amp; Hwy Lights</v>
      </c>
      <c r="B14" s="119">
        <f>'Summary of Returns'!C16</f>
        <v>6</v>
      </c>
      <c r="C14" s="120">
        <f>O98</f>
        <v>6</v>
      </c>
      <c r="D14" s="120">
        <f>O99</f>
        <v>1051078</v>
      </c>
      <c r="E14" s="284">
        <v>145129.32</v>
      </c>
      <c r="F14" s="35">
        <f>O106</f>
        <v>2882.3221966205838</v>
      </c>
      <c r="G14" s="35">
        <f>P106</f>
        <v>260.5654761904762</v>
      </c>
      <c r="H14" s="121">
        <f>Q102</f>
        <v>260.5654761904762</v>
      </c>
      <c r="I14" s="120">
        <f>R104</f>
        <v>1423.4281362007168</v>
      </c>
      <c r="J14" s="120">
        <f>S104</f>
        <v>0</v>
      </c>
      <c r="K14" s="120">
        <f>T104</f>
        <v>1423.4281362007168</v>
      </c>
      <c r="L14" s="118" t="str">
        <f t="shared" si="3"/>
        <v>Street &amp; Hwy Lights</v>
      </c>
      <c r="M14" s="120">
        <f t="shared" si="0"/>
        <v>6</v>
      </c>
      <c r="N14" s="120">
        <f t="shared" si="1"/>
        <v>1051078</v>
      </c>
      <c r="O14" s="66">
        <f>D14/$D$25</f>
        <v>1.0813352348112799E-3</v>
      </c>
      <c r="P14" s="122">
        <f>E14</f>
        <v>145129.32</v>
      </c>
      <c r="Q14" s="66">
        <f t="shared" si="2"/>
        <v>1.7113375317298625E-3</v>
      </c>
      <c r="W14" s="23"/>
      <c r="X14" s="23"/>
      <c r="Y14" s="23"/>
      <c r="Z14" s="23"/>
      <c r="AA14" s="23"/>
    </row>
    <row r="15" spans="1:27" x14ac:dyDescent="0.2">
      <c r="A15" s="118" t="str">
        <f>'Summary of Returns'!B17</f>
        <v>Special Contract</v>
      </c>
      <c r="B15" s="119" t="str">
        <f>'Summary of Returns'!C17</f>
        <v>SC</v>
      </c>
      <c r="C15" s="120">
        <f>O108</f>
        <v>1</v>
      </c>
      <c r="D15" s="120">
        <f>O109</f>
        <v>527878556</v>
      </c>
      <c r="E15" s="284">
        <v>21733240.850000001</v>
      </c>
      <c r="F15" s="35">
        <f>O116</f>
        <v>1446687.8581349205</v>
      </c>
      <c r="G15" s="35">
        <f>P116</f>
        <v>142702.92741935485</v>
      </c>
      <c r="H15" s="121">
        <f>Q112</f>
        <v>0</v>
      </c>
      <c r="I15" s="120">
        <f>R114</f>
        <v>0</v>
      </c>
      <c r="J15" s="120">
        <f>S114</f>
        <v>0</v>
      </c>
      <c r="K15" s="120">
        <f>T114</f>
        <v>0</v>
      </c>
      <c r="L15" s="118" t="str">
        <f t="shared" si="3"/>
        <v>Special Contract</v>
      </c>
      <c r="M15" s="120">
        <f t="shared" si="0"/>
        <v>1</v>
      </c>
      <c r="N15" s="120">
        <f t="shared" ref="N15:N25" si="4">D15</f>
        <v>527878556</v>
      </c>
      <c r="O15" s="66">
        <f>D15/$D$25</f>
        <v>0.5430745218757308</v>
      </c>
      <c r="P15" s="122">
        <f>E15</f>
        <v>21733240.850000001</v>
      </c>
      <c r="Q15" s="66">
        <f t="shared" ref="Q15:Q17" si="5">E15/$E$25</f>
        <v>0.25627427147546489</v>
      </c>
      <c r="W15" s="23"/>
      <c r="X15" s="23"/>
      <c r="Y15" s="23"/>
      <c r="Z15" s="23"/>
      <c r="AA15" s="23"/>
    </row>
    <row r="16" spans="1:27" hidden="1" x14ac:dyDescent="0.2">
      <c r="A16" s="118" t="str">
        <f>'Summary of Returns'!B18</f>
        <v>reserved</v>
      </c>
      <c r="B16" s="119" t="str">
        <f>'Summary of Returns'!C18</f>
        <v>X</v>
      </c>
      <c r="C16" s="120">
        <f>O118</f>
        <v>0</v>
      </c>
      <c r="D16" s="120">
        <f>O119</f>
        <v>0</v>
      </c>
      <c r="E16" s="200">
        <v>0</v>
      </c>
      <c r="F16" s="35">
        <f>O126</f>
        <v>0</v>
      </c>
      <c r="G16" s="35">
        <f>P126</f>
        <v>0</v>
      </c>
      <c r="H16" s="121">
        <f>Q122</f>
        <v>0</v>
      </c>
      <c r="I16" s="120">
        <f>R124</f>
        <v>0</v>
      </c>
      <c r="J16" s="120">
        <f>S124</f>
        <v>0</v>
      </c>
      <c r="K16" s="120">
        <f>T124</f>
        <v>0</v>
      </c>
      <c r="L16" s="118" t="str">
        <f t="shared" si="3"/>
        <v>reserved</v>
      </c>
      <c r="M16" s="120">
        <f t="shared" si="0"/>
        <v>0</v>
      </c>
      <c r="N16" s="120">
        <f t="shared" si="4"/>
        <v>0</v>
      </c>
      <c r="O16" s="66">
        <f>D16/$D$25</f>
        <v>0</v>
      </c>
      <c r="P16" s="122">
        <f>E16</f>
        <v>0</v>
      </c>
      <c r="Q16" s="66">
        <f t="shared" si="5"/>
        <v>0</v>
      </c>
      <c r="W16" s="23"/>
      <c r="X16" s="23"/>
      <c r="Y16" s="23"/>
      <c r="Z16" s="23"/>
      <c r="AA16" s="23"/>
    </row>
    <row r="17" spans="1:27" hidden="1" x14ac:dyDescent="0.2">
      <c r="A17" s="118" t="str">
        <f>'Summary of Returns'!B19</f>
        <v>reserved</v>
      </c>
      <c r="B17" s="119" t="str">
        <f>'Summary of Returns'!C19</f>
        <v>X</v>
      </c>
      <c r="C17" s="120">
        <f>O128</f>
        <v>0</v>
      </c>
      <c r="D17" s="120">
        <f>O129</f>
        <v>0</v>
      </c>
      <c r="E17" s="200">
        <v>0</v>
      </c>
      <c r="F17" s="35">
        <f>O136</f>
        <v>0</v>
      </c>
      <c r="G17" s="35">
        <f>P136</f>
        <v>0</v>
      </c>
      <c r="H17" s="121">
        <f>Q132</f>
        <v>0</v>
      </c>
      <c r="I17" s="120">
        <f>R134</f>
        <v>0</v>
      </c>
      <c r="J17" s="120">
        <f>S134</f>
        <v>0</v>
      </c>
      <c r="K17" s="120">
        <f>T134</f>
        <v>0</v>
      </c>
      <c r="L17" s="118" t="str">
        <f t="shared" si="3"/>
        <v>reserved</v>
      </c>
      <c r="M17" s="120">
        <f t="shared" si="0"/>
        <v>0</v>
      </c>
      <c r="N17" s="120">
        <f t="shared" si="4"/>
        <v>0</v>
      </c>
      <c r="O17" s="66">
        <f>D17/$D$25</f>
        <v>0</v>
      </c>
      <c r="P17" s="122">
        <f>E17</f>
        <v>0</v>
      </c>
      <c r="Q17" s="66">
        <f t="shared" si="5"/>
        <v>0</v>
      </c>
      <c r="W17" s="23"/>
      <c r="X17" s="23"/>
      <c r="Y17" s="23"/>
      <c r="Z17" s="23"/>
      <c r="AA17" s="23"/>
    </row>
    <row r="18" spans="1:27" hidden="1" x14ac:dyDescent="0.2">
      <c r="A18" s="118">
        <f>'Summary of Returns'!B20</f>
        <v>0</v>
      </c>
      <c r="B18" s="119">
        <f>'Summary of Returns'!C20</f>
        <v>0</v>
      </c>
      <c r="C18" s="120">
        <v>0</v>
      </c>
      <c r="D18" s="120">
        <f>O139</f>
        <v>0</v>
      </c>
      <c r="E18" s="120">
        <v>0</v>
      </c>
      <c r="F18" s="35">
        <f>O146</f>
        <v>0</v>
      </c>
      <c r="G18" s="35">
        <f>P146</f>
        <v>0</v>
      </c>
      <c r="H18" s="120">
        <f>Q142</f>
        <v>0</v>
      </c>
      <c r="I18" s="120">
        <f>R144</f>
        <v>0</v>
      </c>
      <c r="J18" s="120">
        <f>S144</f>
        <v>0</v>
      </c>
      <c r="K18" s="120">
        <f>T144</f>
        <v>0</v>
      </c>
      <c r="L18" s="118" t="e">
        <f>'Summary of Returns'!#REF!</f>
        <v>#REF!</v>
      </c>
      <c r="M18" s="120">
        <f t="shared" si="0"/>
        <v>0</v>
      </c>
      <c r="N18" s="120">
        <f t="shared" si="4"/>
        <v>0</v>
      </c>
      <c r="O18" s="120">
        <f>D18/$D$25</f>
        <v>0</v>
      </c>
      <c r="P18" s="122">
        <f>E18</f>
        <v>0</v>
      </c>
      <c r="Q18" s="120">
        <f t="shared" si="2"/>
        <v>0</v>
      </c>
      <c r="W18" s="23"/>
      <c r="X18" s="23"/>
      <c r="Y18" s="23"/>
      <c r="Z18" s="23"/>
      <c r="AA18" s="23"/>
    </row>
    <row r="19" spans="1:27" hidden="1" x14ac:dyDescent="0.2">
      <c r="A19" s="118">
        <f>'Summary of Returns'!B21</f>
        <v>0</v>
      </c>
      <c r="B19" s="119">
        <f>'Summary of Returns'!C21</f>
        <v>0</v>
      </c>
      <c r="C19" s="120">
        <v>0</v>
      </c>
      <c r="D19" s="120">
        <f>O149</f>
        <v>0</v>
      </c>
      <c r="E19" s="120">
        <v>0</v>
      </c>
      <c r="F19" s="35">
        <f>O156</f>
        <v>0</v>
      </c>
      <c r="G19" s="35">
        <f>P156</f>
        <v>0</v>
      </c>
      <c r="H19" s="35">
        <f>Q152</f>
        <v>0</v>
      </c>
      <c r="I19" s="120">
        <f>R154</f>
        <v>0</v>
      </c>
      <c r="J19" s="120">
        <f>S154</f>
        <v>0</v>
      </c>
      <c r="K19" s="120">
        <f>T154</f>
        <v>0</v>
      </c>
      <c r="L19" s="118" t="e">
        <f>'Summary of Returns'!#REF!</f>
        <v>#REF!</v>
      </c>
      <c r="M19" s="120">
        <f t="shared" si="0"/>
        <v>0</v>
      </c>
      <c r="N19" s="120">
        <f t="shared" si="4"/>
        <v>0</v>
      </c>
      <c r="O19" s="120">
        <f>D19/$D$25</f>
        <v>0</v>
      </c>
      <c r="P19" s="122">
        <f>E19</f>
        <v>0</v>
      </c>
      <c r="Q19" s="120">
        <f t="shared" si="2"/>
        <v>0</v>
      </c>
      <c r="W19" s="23"/>
      <c r="X19" s="23"/>
      <c r="Y19" s="23"/>
      <c r="Z19" s="23"/>
      <c r="AA19" s="23"/>
    </row>
    <row r="20" spans="1:27" hidden="1" x14ac:dyDescent="0.2">
      <c r="A20" s="118">
        <f>'Summary of Returns'!B22</f>
        <v>0</v>
      </c>
      <c r="B20" s="119">
        <f>'Summary of Returns'!C22</f>
        <v>0</v>
      </c>
      <c r="C20" s="120">
        <v>0</v>
      </c>
      <c r="D20" s="120">
        <f>O159</f>
        <v>0</v>
      </c>
      <c r="E20" s="120">
        <v>0</v>
      </c>
      <c r="F20" s="35">
        <f>O166</f>
        <v>0</v>
      </c>
      <c r="G20" s="35">
        <f>P166</f>
        <v>0</v>
      </c>
      <c r="H20" s="121">
        <f>Q162</f>
        <v>0</v>
      </c>
      <c r="I20" s="120">
        <f>R164</f>
        <v>0</v>
      </c>
      <c r="J20" s="120">
        <f>S164</f>
        <v>0</v>
      </c>
      <c r="K20" s="120">
        <f>T164</f>
        <v>0</v>
      </c>
      <c r="L20" s="118" t="e">
        <f>'Summary of Returns'!#REF!</f>
        <v>#REF!</v>
      </c>
      <c r="M20" s="120">
        <f t="shared" si="0"/>
        <v>0</v>
      </c>
      <c r="N20" s="120">
        <f t="shared" si="4"/>
        <v>0</v>
      </c>
      <c r="O20" s="120">
        <f>D20/$D$25</f>
        <v>0</v>
      </c>
      <c r="P20" s="122">
        <f>E20</f>
        <v>0</v>
      </c>
      <c r="Q20" s="120">
        <f t="shared" si="2"/>
        <v>0</v>
      </c>
      <c r="W20" s="23"/>
      <c r="X20" s="23"/>
      <c r="Y20" s="23"/>
      <c r="Z20" s="23"/>
      <c r="AA20" s="23"/>
    </row>
    <row r="21" spans="1:27" hidden="1" x14ac:dyDescent="0.2">
      <c r="A21" s="118">
        <f>'Summary of Returns'!B23</f>
        <v>0</v>
      </c>
      <c r="B21" s="119">
        <f>'Summary of Returns'!C23</f>
        <v>0</v>
      </c>
      <c r="C21" s="120">
        <v>0</v>
      </c>
      <c r="D21" s="120">
        <f>O169</f>
        <v>0</v>
      </c>
      <c r="E21" s="120"/>
      <c r="F21" s="35">
        <f>O176</f>
        <v>0</v>
      </c>
      <c r="G21" s="35">
        <f>P176</f>
        <v>0</v>
      </c>
      <c r="H21" s="121">
        <f>Q172</f>
        <v>0</v>
      </c>
      <c r="I21" s="120">
        <f>R174</f>
        <v>0</v>
      </c>
      <c r="J21" s="120">
        <f>S174</f>
        <v>0</v>
      </c>
      <c r="K21" s="120">
        <f>T174</f>
        <v>0</v>
      </c>
      <c r="L21" s="118" t="e">
        <f>'Summary of Returns'!#REF!</f>
        <v>#REF!</v>
      </c>
      <c r="M21" s="120">
        <f t="shared" si="0"/>
        <v>0</v>
      </c>
      <c r="N21" s="120">
        <f t="shared" si="4"/>
        <v>0</v>
      </c>
      <c r="O21" s="120">
        <f>D21/$D$25</f>
        <v>0</v>
      </c>
      <c r="P21" s="120">
        <f>E21</f>
        <v>0</v>
      </c>
      <c r="Q21" s="120">
        <f t="shared" si="2"/>
        <v>0</v>
      </c>
      <c r="W21" s="23"/>
      <c r="X21" s="23"/>
      <c r="Y21" s="23"/>
      <c r="Z21" s="23"/>
      <c r="AA21" s="23"/>
    </row>
    <row r="22" spans="1:27" hidden="1" x14ac:dyDescent="0.2">
      <c r="A22" s="118">
        <f>'Summary of Returns'!B24</f>
        <v>0</v>
      </c>
      <c r="B22" s="119">
        <f>'Summary of Returns'!C24</f>
        <v>0</v>
      </c>
      <c r="C22" s="120">
        <v>0</v>
      </c>
      <c r="D22" s="120">
        <f>O179</f>
        <v>0</v>
      </c>
      <c r="E22" s="120"/>
      <c r="F22" s="35">
        <f>O186</f>
        <v>0</v>
      </c>
      <c r="G22" s="35">
        <f>P186</f>
        <v>0</v>
      </c>
      <c r="H22" s="121">
        <f>Q182</f>
        <v>0</v>
      </c>
      <c r="I22" s="120">
        <f>R184</f>
        <v>0</v>
      </c>
      <c r="J22" s="120">
        <f>S184</f>
        <v>0</v>
      </c>
      <c r="K22" s="120">
        <f>T184</f>
        <v>0</v>
      </c>
      <c r="L22" s="118" t="e">
        <f>'Summary of Returns'!#REF!</f>
        <v>#REF!</v>
      </c>
      <c r="M22" s="120">
        <f t="shared" si="0"/>
        <v>0</v>
      </c>
      <c r="N22" s="120">
        <f t="shared" si="4"/>
        <v>0</v>
      </c>
      <c r="O22" s="120">
        <f>D22/$D$25</f>
        <v>0</v>
      </c>
      <c r="P22" s="120">
        <f>E22</f>
        <v>0</v>
      </c>
      <c r="Q22" s="120">
        <f t="shared" si="2"/>
        <v>0</v>
      </c>
      <c r="W22" s="23"/>
      <c r="X22" s="23"/>
      <c r="Y22" s="23"/>
      <c r="Z22" s="23"/>
      <c r="AA22" s="23"/>
    </row>
    <row r="23" spans="1:27" hidden="1" x14ac:dyDescent="0.2">
      <c r="A23" s="118">
        <f>'Summary of Returns'!B25</f>
        <v>0</v>
      </c>
      <c r="B23" s="119">
        <f>'Summary of Returns'!C25</f>
        <v>0</v>
      </c>
      <c r="C23" s="120">
        <v>0</v>
      </c>
      <c r="D23" s="120">
        <f>O189</f>
        <v>0</v>
      </c>
      <c r="E23" s="120"/>
      <c r="F23" s="35">
        <f>O196</f>
        <v>0</v>
      </c>
      <c r="G23" s="35">
        <f>P196</f>
        <v>0</v>
      </c>
      <c r="H23" s="121">
        <f>Q192</f>
        <v>0</v>
      </c>
      <c r="I23" s="120">
        <f>R194</f>
        <v>0</v>
      </c>
      <c r="J23" s="120">
        <f>S194</f>
        <v>0</v>
      </c>
      <c r="K23" s="120">
        <f>T194</f>
        <v>0</v>
      </c>
      <c r="L23" s="118" t="e">
        <f>'Summary of Returns'!#REF!</f>
        <v>#REF!</v>
      </c>
      <c r="M23" s="120">
        <f t="shared" si="0"/>
        <v>0</v>
      </c>
      <c r="N23" s="120">
        <f t="shared" si="4"/>
        <v>0</v>
      </c>
      <c r="O23" s="120">
        <f>D23/$D$25</f>
        <v>0</v>
      </c>
      <c r="P23" s="120">
        <f>E23</f>
        <v>0</v>
      </c>
      <c r="Q23" s="120">
        <f t="shared" si="2"/>
        <v>0</v>
      </c>
      <c r="W23" s="23"/>
      <c r="X23" s="23"/>
      <c r="Y23" s="23"/>
      <c r="Z23" s="23"/>
      <c r="AA23" s="23"/>
    </row>
    <row r="24" spans="1:27" hidden="1" x14ac:dyDescent="0.2">
      <c r="A24" s="32"/>
      <c r="C24" s="120"/>
      <c r="D24" s="120"/>
      <c r="E24" s="120"/>
      <c r="F24" s="35"/>
      <c r="G24" s="35"/>
      <c r="H24" s="35"/>
      <c r="I24" s="35"/>
      <c r="J24" s="35"/>
      <c r="K24" s="35"/>
      <c r="L24" s="32"/>
      <c r="M24" s="120"/>
      <c r="N24" s="120"/>
      <c r="O24" s="120"/>
      <c r="P24" s="120"/>
      <c r="Q24" s="66"/>
    </row>
    <row r="25" spans="1:27" x14ac:dyDescent="0.2">
      <c r="A25" s="26" t="s">
        <v>0</v>
      </c>
      <c r="B25" s="124"/>
      <c r="C25" s="125">
        <f t="shared" ref="C25:K25" si="6">SUM(C8:C24)</f>
        <v>31485</v>
      </c>
      <c r="D25" s="125">
        <f t="shared" si="6"/>
        <v>972018636</v>
      </c>
      <c r="E25" s="126">
        <f t="shared" si="6"/>
        <v>84804614.700000003</v>
      </c>
      <c r="F25" s="127">
        <f t="shared" si="6"/>
        <v>4463224.939082155</v>
      </c>
      <c r="G25" s="127">
        <f t="shared" si="6"/>
        <v>526449.92722450418</v>
      </c>
      <c r="H25" s="127">
        <f t="shared" si="6"/>
        <v>149961.76220229064</v>
      </c>
      <c r="I25" s="127">
        <f t="shared" si="6"/>
        <v>999529.00067907909</v>
      </c>
      <c r="J25" s="127">
        <f t="shared" si="6"/>
        <v>263023.00004019419</v>
      </c>
      <c r="K25" s="127">
        <f t="shared" si="6"/>
        <v>736506.00063888484</v>
      </c>
      <c r="L25" s="26" t="s">
        <v>0</v>
      </c>
      <c r="M25" s="125">
        <f t="shared" si="0"/>
        <v>31485</v>
      </c>
      <c r="N25" s="125">
        <f t="shared" si="4"/>
        <v>972018636</v>
      </c>
      <c r="O25" s="128">
        <f>D25/$D$25</f>
        <v>1</v>
      </c>
      <c r="P25" s="126">
        <f>E25</f>
        <v>84804614.700000003</v>
      </c>
      <c r="Q25" s="128">
        <f>E25/$E$25</f>
        <v>1</v>
      </c>
      <c r="W25" s="23"/>
      <c r="X25" s="23"/>
      <c r="Y25" s="23"/>
      <c r="Z25" s="23"/>
      <c r="AA25" s="23"/>
    </row>
    <row r="26" spans="1:27" x14ac:dyDescent="0.2">
      <c r="A26" s="32"/>
      <c r="C26" s="120"/>
      <c r="D26" s="120"/>
      <c r="E26" s="122"/>
      <c r="F26" s="35"/>
      <c r="G26" s="35"/>
      <c r="H26" s="35"/>
      <c r="I26" s="35"/>
      <c r="J26" s="35"/>
      <c r="K26" s="35"/>
      <c r="L26" s="49"/>
      <c r="M26" s="120"/>
      <c r="N26" s="120"/>
      <c r="P26" s="49"/>
      <c r="Q26" s="123"/>
      <c r="R26" s="122"/>
    </row>
    <row r="27" spans="1:27" x14ac:dyDescent="0.2">
      <c r="A27" s="32"/>
      <c r="C27" s="120"/>
      <c r="D27" s="120"/>
      <c r="E27" s="122"/>
      <c r="F27" s="35"/>
      <c r="G27" s="35"/>
      <c r="H27" s="35"/>
      <c r="I27" s="35"/>
      <c r="J27" s="35"/>
      <c r="K27" s="35"/>
      <c r="L27" s="49"/>
      <c r="M27" s="120"/>
      <c r="N27" s="120"/>
      <c r="O27" s="122"/>
      <c r="P27" s="49"/>
      <c r="Q27" s="123"/>
      <c r="R27" s="123"/>
    </row>
    <row r="28" spans="1:27" hidden="1" x14ac:dyDescent="0.2">
      <c r="A28" s="285">
        <v>2024</v>
      </c>
      <c r="B28" s="286" t="s">
        <v>1035</v>
      </c>
      <c r="C28" s="255">
        <v>31485</v>
      </c>
      <c r="D28" s="286">
        <v>972018636</v>
      </c>
      <c r="E28" s="284">
        <v>84804615</v>
      </c>
      <c r="F28" s="35"/>
      <c r="G28" s="35"/>
      <c r="H28" s="35"/>
      <c r="I28" s="35"/>
      <c r="J28" s="35"/>
      <c r="K28" s="35"/>
      <c r="L28" s="49"/>
      <c r="M28" s="120"/>
      <c r="N28" s="120"/>
      <c r="O28" s="122"/>
      <c r="Q28" s="35"/>
    </row>
    <row r="29" spans="1:27" hidden="1" x14ac:dyDescent="0.2">
      <c r="B29" s="120" t="s">
        <v>1036</v>
      </c>
      <c r="C29" s="120">
        <f>C25-C28</f>
        <v>0</v>
      </c>
      <c r="D29" s="120">
        <f>D25-D28</f>
        <v>0</v>
      </c>
      <c r="E29" s="120">
        <f>E25-E28</f>
        <v>-0.29999999701976776</v>
      </c>
      <c r="F29" s="35"/>
      <c r="G29" s="35"/>
      <c r="H29" s="35"/>
      <c r="I29" s="35"/>
      <c r="J29" s="35"/>
      <c r="K29" s="35"/>
      <c r="L29" s="49"/>
      <c r="M29" s="120"/>
      <c r="N29" s="120"/>
      <c r="O29" s="120"/>
      <c r="Q29" s="35"/>
    </row>
    <row r="30" spans="1:27" hidden="1" x14ac:dyDescent="0.2">
      <c r="B30" s="49" t="s">
        <v>1036</v>
      </c>
      <c r="C30" s="66">
        <f>C29/C28</f>
        <v>0</v>
      </c>
      <c r="D30" s="66">
        <f>D29/D28</f>
        <v>0</v>
      </c>
      <c r="E30" s="66">
        <f>E29/E28</f>
        <v>-3.5375432931305421E-9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5"/>
    </row>
    <row r="31" spans="1:27" x14ac:dyDescent="0.2"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U31" s="118"/>
      <c r="W31" s="118"/>
    </row>
    <row r="32" spans="1:27" x14ac:dyDescent="0.2">
      <c r="A32" s="13" t="str">
        <f>A1</f>
        <v>MEADE COUNTY R.E.C.C.</v>
      </c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U32" s="118"/>
      <c r="W32" s="118"/>
    </row>
    <row r="33" spans="1:23" x14ac:dyDescent="0.2">
      <c r="A33" s="14" t="s">
        <v>677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129"/>
      <c r="P33" s="129"/>
      <c r="Q33" s="129"/>
      <c r="U33" s="118"/>
      <c r="W33" s="118"/>
    </row>
    <row r="34" spans="1:23" ht="30.75" customHeight="1" x14ac:dyDescent="0.2">
      <c r="C34" s="185">
        <f>C205</f>
        <v>1.1479394743219018E-4</v>
      </c>
      <c r="D34" s="185">
        <f t="shared" ref="D34:N34" si="7">D205</f>
        <v>-1.1775734310504049E-4</v>
      </c>
      <c r="E34" s="185">
        <f t="shared" si="7"/>
        <v>-2.7501664590090513E-6</v>
      </c>
      <c r="F34" s="185">
        <f t="shared" si="7"/>
        <v>-4.5026986481389031E-4</v>
      </c>
      <c r="G34" s="185">
        <f t="shared" si="7"/>
        <v>-3.1106173992156982E-7</v>
      </c>
      <c r="H34" s="185">
        <f t="shared" si="7"/>
        <v>-3.3340213121846318E-5</v>
      </c>
      <c r="I34" s="185">
        <f t="shared" si="7"/>
        <v>-2.2089807316660881E-8</v>
      </c>
      <c r="J34" s="185">
        <f t="shared" si="7"/>
        <v>-6.8318913690745831E-6</v>
      </c>
      <c r="K34" s="185">
        <f t="shared" si="7"/>
        <v>1.3520184438675642E-7</v>
      </c>
      <c r="L34" s="185">
        <f t="shared" si="7"/>
        <v>-2.8240086976438761E-5</v>
      </c>
      <c r="M34" s="185">
        <f t="shared" si="7"/>
        <v>-6.4862979343160987E-7</v>
      </c>
      <c r="N34" s="185">
        <f t="shared" si="7"/>
        <v>-1.5383661957457662E-4</v>
      </c>
      <c r="O34" s="49"/>
      <c r="P34" s="49"/>
      <c r="Q34" s="130" t="s">
        <v>694</v>
      </c>
    </row>
    <row r="35" spans="1:23" x14ac:dyDescent="0.2">
      <c r="C35" s="185">
        <f>C205</f>
        <v>1.1479394743219018E-4</v>
      </c>
      <c r="D35" s="185">
        <f t="shared" ref="D35:N35" si="8">D205</f>
        <v>-1.1775734310504049E-4</v>
      </c>
      <c r="E35" s="185">
        <f t="shared" si="8"/>
        <v>-2.7501664590090513E-6</v>
      </c>
      <c r="F35" s="185">
        <f t="shared" si="8"/>
        <v>-4.5026986481389031E-4</v>
      </c>
      <c r="G35" s="185">
        <f t="shared" si="8"/>
        <v>-3.1106173992156982E-7</v>
      </c>
      <c r="H35" s="185">
        <f t="shared" si="8"/>
        <v>-3.3340213121846318E-5</v>
      </c>
      <c r="I35" s="185">
        <f t="shared" si="8"/>
        <v>-2.2089807316660881E-8</v>
      </c>
      <c r="J35" s="185">
        <f t="shared" si="8"/>
        <v>-6.8318913690745831E-6</v>
      </c>
      <c r="K35" s="185">
        <f t="shared" si="8"/>
        <v>1.3520184438675642E-7</v>
      </c>
      <c r="L35" s="185">
        <f t="shared" si="8"/>
        <v>-2.8240086976438761E-5</v>
      </c>
      <c r="M35" s="185">
        <f t="shared" si="8"/>
        <v>-6.4862979343160987E-7</v>
      </c>
      <c r="N35" s="185">
        <f t="shared" si="8"/>
        <v>-1.5383661957457662E-4</v>
      </c>
      <c r="O35" s="49"/>
      <c r="P35" s="23" t="s">
        <v>689</v>
      </c>
      <c r="Q35" s="131" t="s">
        <v>695</v>
      </c>
      <c r="R35" s="23" t="s">
        <v>685</v>
      </c>
      <c r="S35" s="23" t="s">
        <v>687</v>
      </c>
      <c r="T35" s="23" t="s">
        <v>688</v>
      </c>
    </row>
    <row r="36" spans="1:23" s="136" customFormat="1" ht="15" x14ac:dyDescent="0.35">
      <c r="A36" s="132" t="s">
        <v>871</v>
      </c>
      <c r="B36" s="133" t="s">
        <v>872</v>
      </c>
      <c r="C36" s="134" t="s">
        <v>1012</v>
      </c>
      <c r="D36" s="134" t="s">
        <v>1013</v>
      </c>
      <c r="E36" s="134" t="s">
        <v>1014</v>
      </c>
      <c r="F36" s="134" t="s">
        <v>1015</v>
      </c>
      <c r="G36" s="134" t="s">
        <v>1016</v>
      </c>
      <c r="H36" s="134" t="s">
        <v>1017</v>
      </c>
      <c r="I36" s="134" t="s">
        <v>1018</v>
      </c>
      <c r="J36" s="134" t="s">
        <v>1019</v>
      </c>
      <c r="K36" s="134" t="s">
        <v>1020</v>
      </c>
      <c r="L36" s="134" t="s">
        <v>1021</v>
      </c>
      <c r="M36" s="134" t="s">
        <v>1022</v>
      </c>
      <c r="N36" s="134" t="s">
        <v>1023</v>
      </c>
      <c r="O36" s="135" t="s">
        <v>0</v>
      </c>
      <c r="P36" s="135" t="s">
        <v>683</v>
      </c>
      <c r="Q36" s="135" t="s">
        <v>696</v>
      </c>
      <c r="R36" s="135" t="s">
        <v>690</v>
      </c>
      <c r="S36" s="135" t="s">
        <v>690</v>
      </c>
      <c r="T36" s="135" t="s">
        <v>690</v>
      </c>
    </row>
    <row r="37" spans="1:23" x14ac:dyDescent="0.2"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35"/>
    </row>
    <row r="38" spans="1:23" x14ac:dyDescent="0.2">
      <c r="A38" s="15" t="str">
        <f>A8</f>
        <v>Residential</v>
      </c>
      <c r="B38" s="16">
        <f>B8</f>
        <v>1</v>
      </c>
      <c r="C38" s="49">
        <v>29067</v>
      </c>
      <c r="D38" s="49">
        <v>29075</v>
      </c>
      <c r="E38" s="49">
        <v>29111</v>
      </c>
      <c r="F38" s="49">
        <v>29125</v>
      </c>
      <c r="G38" s="49">
        <v>29170</v>
      </c>
      <c r="H38" s="49">
        <v>29240</v>
      </c>
      <c r="I38" s="49">
        <v>29290</v>
      </c>
      <c r="J38" s="49">
        <v>29309</v>
      </c>
      <c r="K38" s="49">
        <v>29340</v>
      </c>
      <c r="L38" s="49">
        <v>29390</v>
      </c>
      <c r="M38" s="49">
        <v>29428</v>
      </c>
      <c r="N38" s="49">
        <v>29430</v>
      </c>
      <c r="O38" s="49">
        <f>ROUND(SUM(C38:N38)/12,0)</f>
        <v>29248</v>
      </c>
      <c r="P38" s="49"/>
      <c r="Q38" s="35"/>
    </row>
    <row r="39" spans="1:23" x14ac:dyDescent="0.2">
      <c r="A39" s="14" t="s">
        <v>1032</v>
      </c>
      <c r="C39" s="49">
        <v>45068589</v>
      </c>
      <c r="D39" s="49">
        <v>29033586</v>
      </c>
      <c r="E39" s="49">
        <v>23045713</v>
      </c>
      <c r="F39" s="49">
        <v>21118945</v>
      </c>
      <c r="G39" s="49">
        <v>20762294</v>
      </c>
      <c r="H39" s="49">
        <v>27533175</v>
      </c>
      <c r="I39" s="49">
        <v>31682456</v>
      </c>
      <c r="J39" s="49">
        <v>29879313</v>
      </c>
      <c r="K39" s="49">
        <v>25341188</v>
      </c>
      <c r="L39" s="49">
        <v>18934225</v>
      </c>
      <c r="M39" s="49">
        <v>23295999</v>
      </c>
      <c r="N39" s="49">
        <v>37994422</v>
      </c>
      <c r="O39" s="49">
        <f>SUM(C39:N39)</f>
        <v>333689905</v>
      </c>
      <c r="P39" s="129"/>
      <c r="Q39" s="129"/>
      <c r="U39" s="118"/>
      <c r="W39" s="118"/>
    </row>
    <row r="40" spans="1:23" x14ac:dyDescent="0.2">
      <c r="A40" s="14" t="s">
        <v>680</v>
      </c>
      <c r="C40" s="49">
        <f>C39/744</f>
        <v>60576.06048387097</v>
      </c>
      <c r="D40" s="49">
        <f>D39/720</f>
        <v>40324.425000000003</v>
      </c>
      <c r="E40" s="49">
        <f t="shared" ref="E40:N40" si="9">E39/744</f>
        <v>30975.420698924732</v>
      </c>
      <c r="F40" s="49">
        <f>F39/720</f>
        <v>29331.868055555555</v>
      </c>
      <c r="G40" s="49">
        <f t="shared" si="9"/>
        <v>27906.309139784946</v>
      </c>
      <c r="H40" s="49">
        <f>H39/744</f>
        <v>37006.955645161288</v>
      </c>
      <c r="I40" s="49">
        <f>I39/672</f>
        <v>47146.511904761908</v>
      </c>
      <c r="J40" s="49">
        <f t="shared" si="9"/>
        <v>40160.366935483871</v>
      </c>
      <c r="K40" s="49">
        <f>K39/720</f>
        <v>35196.094444444447</v>
      </c>
      <c r="L40" s="49">
        <f t="shared" si="9"/>
        <v>25449.227150537634</v>
      </c>
      <c r="M40" s="49">
        <f>M39/720</f>
        <v>32355.554166666665</v>
      </c>
      <c r="N40" s="49">
        <f t="shared" si="9"/>
        <v>51067.771505376346</v>
      </c>
      <c r="O40" s="49">
        <f>O39/8760</f>
        <v>38092.454908675798</v>
      </c>
      <c r="P40" s="49"/>
      <c r="Q40" s="49"/>
    </row>
    <row r="41" spans="1:23" x14ac:dyDescent="0.2">
      <c r="A41" s="14" t="s">
        <v>756</v>
      </c>
      <c r="B41" s="29" t="s">
        <v>1024</v>
      </c>
      <c r="C41" s="66">
        <v>0.50479334282386712</v>
      </c>
      <c r="D41" s="66">
        <v>0.55643902516268995</v>
      </c>
      <c r="E41" s="66">
        <v>0.48125499770320779</v>
      </c>
      <c r="F41" s="66">
        <v>0.64232643559642255</v>
      </c>
      <c r="G41" s="66">
        <v>0.52877759603008834</v>
      </c>
      <c r="H41" s="66">
        <v>0.52639793899700116</v>
      </c>
      <c r="I41" s="66">
        <v>0.61830007434533385</v>
      </c>
      <c r="J41" s="66">
        <v>0.52344469767037705</v>
      </c>
      <c r="K41" s="66">
        <v>0.51352164783458099</v>
      </c>
      <c r="L41" s="66">
        <v>0.48902768216303061</v>
      </c>
      <c r="M41" s="66">
        <v>0.64679821902489798</v>
      </c>
      <c r="N41" s="66">
        <v>0.55362646934506521</v>
      </c>
      <c r="O41" s="66"/>
      <c r="Q41" s="35"/>
    </row>
    <row r="42" spans="1:23" x14ac:dyDescent="0.2">
      <c r="A42" s="14" t="s">
        <v>757</v>
      </c>
      <c r="C42" s="49">
        <f>C40/C41</f>
        <v>120001.70236992848</v>
      </c>
      <c r="D42" s="49">
        <f t="shared" ref="D42:N42" si="10">D40/D41</f>
        <v>72468.721956031164</v>
      </c>
      <c r="E42" s="49">
        <f t="shared" si="10"/>
        <v>64363.842135157254</v>
      </c>
      <c r="F42" s="49">
        <f t="shared" si="10"/>
        <v>45665.048844393103</v>
      </c>
      <c r="G42" s="49">
        <f t="shared" si="10"/>
        <v>52775.135235111266</v>
      </c>
      <c r="H42" s="49">
        <f t="shared" si="10"/>
        <v>70302.242663932833</v>
      </c>
      <c r="I42" s="49">
        <f t="shared" si="10"/>
        <v>76251.829590480644</v>
      </c>
      <c r="J42" s="49">
        <f t="shared" si="10"/>
        <v>76723.228096912746</v>
      </c>
      <c r="K42" s="49">
        <f t="shared" si="10"/>
        <v>68538.677177212303</v>
      </c>
      <c r="L42" s="49">
        <f t="shared" si="10"/>
        <v>52040.463308687395</v>
      </c>
      <c r="M42" s="49">
        <f t="shared" si="10"/>
        <v>50024.185619195661</v>
      </c>
      <c r="N42" s="49">
        <f t="shared" si="10"/>
        <v>92242.286691582922</v>
      </c>
      <c r="O42" s="49">
        <f>SUM(C42:N42)</f>
        <v>841397.36368862586</v>
      </c>
      <c r="Q42" s="35">
        <f>MAX(C42:N42)</f>
        <v>120001.70236992848</v>
      </c>
    </row>
    <row r="43" spans="1:23" x14ac:dyDescent="0.2">
      <c r="A43" s="14" t="s">
        <v>681</v>
      </c>
      <c r="C43" s="66">
        <v>0.9</v>
      </c>
      <c r="D43" s="66">
        <v>0.9</v>
      </c>
      <c r="E43" s="66">
        <v>0.9</v>
      </c>
      <c r="F43" s="66">
        <v>0.9</v>
      </c>
      <c r="G43" s="66">
        <v>0.9</v>
      </c>
      <c r="H43" s="66">
        <v>0.9</v>
      </c>
      <c r="I43" s="66">
        <v>0.9</v>
      </c>
      <c r="J43" s="66">
        <v>0.9</v>
      </c>
      <c r="K43" s="66">
        <v>0.9</v>
      </c>
      <c r="L43" s="66">
        <v>0.9</v>
      </c>
      <c r="M43" s="66">
        <v>0.9</v>
      </c>
      <c r="N43" s="66">
        <v>0.9</v>
      </c>
      <c r="O43" s="66"/>
      <c r="P43" s="49"/>
      <c r="Q43" s="35"/>
    </row>
    <row r="44" spans="1:23" x14ac:dyDescent="0.2">
      <c r="A44" s="14" t="s">
        <v>682</v>
      </c>
      <c r="C44" s="49">
        <f>C42*C43</f>
        <v>108001.53213293564</v>
      </c>
      <c r="D44" s="49">
        <f t="shared" ref="D44:N44" si="11">D42*D43</f>
        <v>65221.849760428049</v>
      </c>
      <c r="E44" s="49">
        <f t="shared" si="11"/>
        <v>57927.45792164153</v>
      </c>
      <c r="F44" s="49">
        <f t="shared" si="11"/>
        <v>41098.543959953793</v>
      </c>
      <c r="G44" s="49">
        <f t="shared" si="11"/>
        <v>47497.621711600143</v>
      </c>
      <c r="H44" s="49">
        <f t="shared" si="11"/>
        <v>63272.018397539548</v>
      </c>
      <c r="I44" s="49">
        <f t="shared" si="11"/>
        <v>68626.646631432581</v>
      </c>
      <c r="J44" s="49">
        <f t="shared" si="11"/>
        <v>69050.905287221467</v>
      </c>
      <c r="K44" s="49">
        <f t="shared" si="11"/>
        <v>61684.809459491073</v>
      </c>
      <c r="L44" s="49">
        <f t="shared" si="11"/>
        <v>46836.416977818655</v>
      </c>
      <c r="M44" s="49">
        <f t="shared" si="11"/>
        <v>45021.767057276098</v>
      </c>
      <c r="N44" s="49">
        <f t="shared" si="11"/>
        <v>83018.058022424637</v>
      </c>
      <c r="O44" s="49">
        <f>SUM(C44:N44)</f>
        <v>757257.62731976341</v>
      </c>
      <c r="P44" s="49"/>
      <c r="Q44" s="35"/>
      <c r="R44" s="35">
        <f>O44</f>
        <v>757257.62731976341</v>
      </c>
      <c r="S44" s="35">
        <f>H44+I44+J44</f>
        <v>200949.57031619363</v>
      </c>
      <c r="T44" s="35">
        <f>R44-S44</f>
        <v>556308.05700356979</v>
      </c>
    </row>
    <row r="45" spans="1:23" x14ac:dyDescent="0.2">
      <c r="A45" s="14" t="s">
        <v>758</v>
      </c>
      <c r="C45" s="66">
        <v>0.18</v>
      </c>
      <c r="D45" s="66">
        <v>0.18</v>
      </c>
      <c r="E45" s="66">
        <v>0.18</v>
      </c>
      <c r="F45" s="66">
        <v>0.18</v>
      </c>
      <c r="G45" s="66">
        <v>0.18</v>
      </c>
      <c r="H45" s="66">
        <v>0.18</v>
      </c>
      <c r="I45" s="66">
        <v>0.18</v>
      </c>
      <c r="J45" s="66">
        <v>0.18</v>
      </c>
      <c r="K45" s="66">
        <v>0.18</v>
      </c>
      <c r="L45" s="66">
        <v>0.18</v>
      </c>
      <c r="M45" s="66">
        <v>0.18</v>
      </c>
      <c r="N45" s="66">
        <v>0.18</v>
      </c>
      <c r="O45" s="66"/>
      <c r="P45" s="129"/>
      <c r="Q45" s="129"/>
      <c r="U45" s="118"/>
      <c r="W45" s="118"/>
    </row>
    <row r="46" spans="1:23" x14ac:dyDescent="0.2">
      <c r="A46" s="14" t="s">
        <v>759</v>
      </c>
      <c r="C46" s="49">
        <f>C40/C45</f>
        <v>336533.66935483873</v>
      </c>
      <c r="D46" s="49">
        <f t="shared" ref="D46:N46" si="12">D40/D45</f>
        <v>224024.58333333337</v>
      </c>
      <c r="E46" s="49">
        <f t="shared" si="12"/>
        <v>172085.67054958185</v>
      </c>
      <c r="F46" s="49">
        <f t="shared" si="12"/>
        <v>162954.82253086418</v>
      </c>
      <c r="G46" s="49">
        <f t="shared" si="12"/>
        <v>155035.05077658303</v>
      </c>
      <c r="H46" s="49">
        <f t="shared" si="12"/>
        <v>205594.19802867383</v>
      </c>
      <c r="I46" s="49">
        <f t="shared" si="12"/>
        <v>261925.06613756617</v>
      </c>
      <c r="J46" s="49">
        <f t="shared" si="12"/>
        <v>223113.14964157707</v>
      </c>
      <c r="K46" s="49">
        <f t="shared" si="12"/>
        <v>195533.85802469138</v>
      </c>
      <c r="L46" s="49">
        <f t="shared" si="12"/>
        <v>141384.59528076462</v>
      </c>
      <c r="M46" s="49">
        <f t="shared" si="12"/>
        <v>179753.07870370371</v>
      </c>
      <c r="N46" s="49">
        <f t="shared" si="12"/>
        <v>283709.84169653524</v>
      </c>
      <c r="O46" s="49">
        <f>SUM(C46:N46)</f>
        <v>2541647.5840587132</v>
      </c>
      <c r="P46" s="49">
        <f>MAX(C46:N46)</f>
        <v>336533.66935483873</v>
      </c>
      <c r="Q46" s="49"/>
    </row>
    <row r="47" spans="1:23" x14ac:dyDescent="0.2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1:23" x14ac:dyDescent="0.2">
      <c r="A48" s="15" t="str">
        <f>A9</f>
        <v>Small Comm</v>
      </c>
      <c r="B48" s="16">
        <f>B9</f>
        <v>2</v>
      </c>
      <c r="C48" s="49">
        <v>1838</v>
      </c>
      <c r="D48" s="49">
        <v>1831</v>
      </c>
      <c r="E48" s="49">
        <v>1817</v>
      </c>
      <c r="F48" s="49">
        <v>1809</v>
      </c>
      <c r="G48" s="49">
        <v>1812</v>
      </c>
      <c r="H48" s="49">
        <v>1815</v>
      </c>
      <c r="I48" s="49">
        <v>1818</v>
      </c>
      <c r="J48" s="49">
        <v>1818</v>
      </c>
      <c r="K48" s="49">
        <v>1822</v>
      </c>
      <c r="L48" s="49">
        <v>1825</v>
      </c>
      <c r="M48" s="49">
        <v>1811</v>
      </c>
      <c r="N48" s="49">
        <v>1807</v>
      </c>
      <c r="O48" s="49">
        <f>ROUND(SUM(C48:N48)/12,0)</f>
        <v>1819</v>
      </c>
      <c r="P48" s="49"/>
      <c r="Q48" s="35"/>
    </row>
    <row r="49" spans="1:23" x14ac:dyDescent="0.2">
      <c r="A49" s="14" t="s">
        <v>1032</v>
      </c>
      <c r="C49" s="49">
        <v>2488070</v>
      </c>
      <c r="D49" s="49">
        <v>2068150</v>
      </c>
      <c r="E49" s="49">
        <v>1796499</v>
      </c>
      <c r="F49" s="49">
        <v>1852786</v>
      </c>
      <c r="G49" s="49">
        <v>2018248</v>
      </c>
      <c r="H49" s="49">
        <v>2460011</v>
      </c>
      <c r="I49" s="49">
        <v>2692917</v>
      </c>
      <c r="J49" s="49">
        <v>2595790</v>
      </c>
      <c r="K49" s="49">
        <v>2269919</v>
      </c>
      <c r="L49" s="49">
        <v>1791644</v>
      </c>
      <c r="M49" s="49">
        <v>1726012</v>
      </c>
      <c r="N49" s="49">
        <v>2180782</v>
      </c>
      <c r="O49" s="49">
        <f>SUM(C49:N49)</f>
        <v>25940828</v>
      </c>
      <c r="P49" s="129"/>
      <c r="Q49" s="129"/>
      <c r="U49" s="118"/>
      <c r="W49" s="118"/>
    </row>
    <row r="50" spans="1:23" x14ac:dyDescent="0.2">
      <c r="A50" s="14" t="s">
        <v>680</v>
      </c>
      <c r="C50" s="49">
        <f>C49/744</f>
        <v>3344.1801075268818</v>
      </c>
      <c r="D50" s="47">
        <f>D49/720</f>
        <v>2872.4305555555557</v>
      </c>
      <c r="E50" s="49">
        <f t="shared" ref="E50" si="13">E49/744</f>
        <v>2414.6491935483873</v>
      </c>
      <c r="F50" s="49">
        <f>F49/720</f>
        <v>2573.3138888888889</v>
      </c>
      <c r="G50" s="49">
        <f t="shared" ref="G50" si="14">G49/744</f>
        <v>2712.6989247311826</v>
      </c>
      <c r="H50" s="47">
        <f>H49/744</f>
        <v>3306.4663978494623</v>
      </c>
      <c r="I50" s="47">
        <f>I49/672</f>
        <v>4007.3169642857142</v>
      </c>
      <c r="J50" s="49">
        <f t="shared" ref="J50" si="15">J49/744</f>
        <v>3488.9650537634407</v>
      </c>
      <c r="K50" s="49">
        <f>K49/720</f>
        <v>3152.6652777777776</v>
      </c>
      <c r="L50" s="49">
        <f t="shared" ref="L50" si="16">L49/744</f>
        <v>2408.1236559139784</v>
      </c>
      <c r="M50" s="49">
        <f>M49/720</f>
        <v>2397.2388888888891</v>
      </c>
      <c r="N50" s="49">
        <f t="shared" ref="N50" si="17">N49/744</f>
        <v>2931.1586021505377</v>
      </c>
      <c r="O50" s="49">
        <f>O49/8760</f>
        <v>2961.2817351598173</v>
      </c>
      <c r="P50" s="49"/>
      <c r="Q50" s="49"/>
    </row>
    <row r="51" spans="1:23" x14ac:dyDescent="0.2">
      <c r="A51" s="14" t="s">
        <v>756</v>
      </c>
      <c r="C51" s="66">
        <f>C41-0.1</f>
        <v>0.40479334282386714</v>
      </c>
      <c r="D51" s="66">
        <f t="shared" ref="D51:M51" si="18">D41-0.1</f>
        <v>0.45643902516268997</v>
      </c>
      <c r="E51" s="66">
        <f t="shared" si="18"/>
        <v>0.38125499770320781</v>
      </c>
      <c r="F51" s="66">
        <f t="shared" si="18"/>
        <v>0.54232643559642257</v>
      </c>
      <c r="G51" s="66">
        <f t="shared" si="18"/>
        <v>0.42877759603008836</v>
      </c>
      <c r="H51" s="66">
        <f t="shared" si="18"/>
        <v>0.42639793899700118</v>
      </c>
      <c r="I51" s="66">
        <f t="shared" si="18"/>
        <v>0.51830007434533387</v>
      </c>
      <c r="J51" s="66">
        <f t="shared" si="18"/>
        <v>0.42344469767037707</v>
      </c>
      <c r="K51" s="66">
        <f t="shared" si="18"/>
        <v>0.41352164783458101</v>
      </c>
      <c r="L51" s="66">
        <f t="shared" si="18"/>
        <v>0.38902768216303063</v>
      </c>
      <c r="M51" s="66">
        <f t="shared" si="18"/>
        <v>0.546798219024898</v>
      </c>
      <c r="N51" s="66">
        <f>N41</f>
        <v>0.55362646934506521</v>
      </c>
      <c r="O51" s="66"/>
      <c r="Q51" s="35"/>
    </row>
    <row r="52" spans="1:23" x14ac:dyDescent="0.2">
      <c r="A52" s="14" t="s">
        <v>757</v>
      </c>
      <c r="C52" s="49">
        <f>C50/C51</f>
        <v>8261.4503593306235</v>
      </c>
      <c r="D52" s="49">
        <f t="shared" ref="D52:N52" si="19">D50/D51</f>
        <v>6293.1309489404994</v>
      </c>
      <c r="E52" s="49">
        <f t="shared" si="19"/>
        <v>6333.4230583072849</v>
      </c>
      <c r="F52" s="49">
        <f t="shared" si="19"/>
        <v>4744.9538137651198</v>
      </c>
      <c r="G52" s="49">
        <f t="shared" si="19"/>
        <v>6326.5873726779928</v>
      </c>
      <c r="H52" s="49">
        <f t="shared" si="19"/>
        <v>7754.4145865881319</v>
      </c>
      <c r="I52" s="49">
        <f t="shared" si="19"/>
        <v>7731.6542339828266</v>
      </c>
      <c r="J52" s="49">
        <f t="shared" si="19"/>
        <v>8239.4822109199322</v>
      </c>
      <c r="K52" s="49">
        <f t="shared" si="19"/>
        <v>7623.9425294583916</v>
      </c>
      <c r="L52" s="49">
        <f t="shared" si="19"/>
        <v>6190.1087411687095</v>
      </c>
      <c r="M52" s="49">
        <f t="shared" si="19"/>
        <v>4384.1380704638559</v>
      </c>
      <c r="N52" s="49">
        <f t="shared" si="19"/>
        <v>5294.4697633732549</v>
      </c>
      <c r="O52" s="49">
        <f>SUM(C52:N52)</f>
        <v>79177.755688976627</v>
      </c>
      <c r="Q52" s="35">
        <f>MAX(C52:N52)</f>
        <v>8261.4503593306235</v>
      </c>
    </row>
    <row r="53" spans="1:23" x14ac:dyDescent="0.2">
      <c r="A53" s="14" t="s">
        <v>681</v>
      </c>
      <c r="C53" s="66">
        <v>0.85</v>
      </c>
      <c r="D53" s="66">
        <f>C53</f>
        <v>0.85</v>
      </c>
      <c r="E53" s="66">
        <f t="shared" ref="E53:M53" si="20">D53</f>
        <v>0.85</v>
      </c>
      <c r="F53" s="66">
        <f t="shared" si="20"/>
        <v>0.85</v>
      </c>
      <c r="G53" s="66">
        <f t="shared" si="20"/>
        <v>0.85</v>
      </c>
      <c r="H53" s="66">
        <f t="shared" si="20"/>
        <v>0.85</v>
      </c>
      <c r="I53" s="66">
        <f t="shared" si="20"/>
        <v>0.85</v>
      </c>
      <c r="J53" s="66">
        <f t="shared" si="20"/>
        <v>0.85</v>
      </c>
      <c r="K53" s="66">
        <f t="shared" si="20"/>
        <v>0.85</v>
      </c>
      <c r="L53" s="66">
        <f t="shared" si="20"/>
        <v>0.85</v>
      </c>
      <c r="M53" s="66">
        <f t="shared" si="20"/>
        <v>0.85</v>
      </c>
      <c r="N53" s="66">
        <v>0.85</v>
      </c>
      <c r="O53" s="66"/>
      <c r="P53" s="49"/>
      <c r="Q53" s="35"/>
    </row>
    <row r="54" spans="1:23" x14ac:dyDescent="0.2">
      <c r="A54" s="14" t="s">
        <v>682</v>
      </c>
      <c r="C54" s="49">
        <f>C52*C53</f>
        <v>7022.2328054310301</v>
      </c>
      <c r="D54" s="49">
        <f t="shared" ref="D54:N54" si="21">D52*D53</f>
        <v>5349.1613065994243</v>
      </c>
      <c r="E54" s="49">
        <f t="shared" si="21"/>
        <v>5383.4095995611924</v>
      </c>
      <c r="F54" s="49">
        <f t="shared" si="21"/>
        <v>4033.2107417003517</v>
      </c>
      <c r="G54" s="49">
        <f t="shared" si="21"/>
        <v>5377.5992667762939</v>
      </c>
      <c r="H54" s="49">
        <f t="shared" si="21"/>
        <v>6591.2523985999123</v>
      </c>
      <c r="I54" s="49">
        <f t="shared" si="21"/>
        <v>6571.9060988854026</v>
      </c>
      <c r="J54" s="49">
        <f t="shared" si="21"/>
        <v>7003.5598792819419</v>
      </c>
      <c r="K54" s="49">
        <f t="shared" si="21"/>
        <v>6480.3511500396326</v>
      </c>
      <c r="L54" s="49">
        <f t="shared" si="21"/>
        <v>5261.5924299934031</v>
      </c>
      <c r="M54" s="49">
        <f t="shared" si="21"/>
        <v>3726.5173598942774</v>
      </c>
      <c r="N54" s="49">
        <f t="shared" si="21"/>
        <v>4500.2992988672668</v>
      </c>
      <c r="O54" s="49">
        <f>SUM(C54:N54)</f>
        <v>67301.092335630135</v>
      </c>
      <c r="P54" s="49"/>
      <c r="Q54" s="35"/>
      <c r="R54" s="35">
        <f>O54</f>
        <v>67301.092335630135</v>
      </c>
      <c r="S54" s="35">
        <f>H54+I54+J54</f>
        <v>20166.718376767254</v>
      </c>
      <c r="T54" s="35">
        <f>R54-S54</f>
        <v>47134.373958862881</v>
      </c>
    </row>
    <row r="55" spans="1:23" x14ac:dyDescent="0.2">
      <c r="A55" s="14" t="s">
        <v>758</v>
      </c>
      <c r="C55" s="66">
        <v>0.23</v>
      </c>
      <c r="D55" s="66">
        <f>C55</f>
        <v>0.23</v>
      </c>
      <c r="E55" s="66">
        <f t="shared" ref="E55:N55" si="22">D55</f>
        <v>0.23</v>
      </c>
      <c r="F55" s="66">
        <f t="shared" si="22"/>
        <v>0.23</v>
      </c>
      <c r="G55" s="66">
        <f t="shared" si="22"/>
        <v>0.23</v>
      </c>
      <c r="H55" s="66">
        <f t="shared" si="22"/>
        <v>0.23</v>
      </c>
      <c r="I55" s="66">
        <f t="shared" si="22"/>
        <v>0.23</v>
      </c>
      <c r="J55" s="66">
        <f t="shared" si="22"/>
        <v>0.23</v>
      </c>
      <c r="K55" s="66">
        <f t="shared" si="22"/>
        <v>0.23</v>
      </c>
      <c r="L55" s="66">
        <f t="shared" si="22"/>
        <v>0.23</v>
      </c>
      <c r="M55" s="66">
        <f t="shared" si="22"/>
        <v>0.23</v>
      </c>
      <c r="N55" s="66">
        <f t="shared" si="22"/>
        <v>0.23</v>
      </c>
      <c r="O55" s="66"/>
      <c r="P55" s="129"/>
      <c r="Q55" s="129"/>
      <c r="U55" s="118"/>
      <c r="W55" s="118"/>
    </row>
    <row r="56" spans="1:23" x14ac:dyDescent="0.2">
      <c r="A56" s="14" t="s">
        <v>759</v>
      </c>
      <c r="C56" s="49">
        <f>C50/C55</f>
        <v>14539.913510986442</v>
      </c>
      <c r="D56" s="49">
        <f t="shared" ref="D56:N56" si="23">D50/D55</f>
        <v>12488.828502415459</v>
      </c>
      <c r="E56" s="49">
        <f t="shared" si="23"/>
        <v>10498.474754558205</v>
      </c>
      <c r="F56" s="49">
        <f t="shared" si="23"/>
        <v>11188.321256038647</v>
      </c>
      <c r="G56" s="49">
        <f t="shared" si="23"/>
        <v>11794.343151005141</v>
      </c>
      <c r="H56" s="49">
        <f t="shared" si="23"/>
        <v>14375.940860215052</v>
      </c>
      <c r="I56" s="49">
        <f t="shared" si="23"/>
        <v>17423.117236024842</v>
      </c>
      <c r="J56" s="49">
        <f t="shared" si="23"/>
        <v>15169.41327723235</v>
      </c>
      <c r="K56" s="49">
        <f t="shared" si="23"/>
        <v>13707.240338164251</v>
      </c>
      <c r="L56" s="49">
        <f t="shared" si="23"/>
        <v>10470.102851799906</v>
      </c>
      <c r="M56" s="49">
        <f t="shared" si="23"/>
        <v>10422.777777777777</v>
      </c>
      <c r="N56" s="49">
        <f t="shared" si="23"/>
        <v>12744.16783543712</v>
      </c>
      <c r="O56" s="49">
        <f>SUM(C56:N56)</f>
        <v>154822.64135165518</v>
      </c>
      <c r="P56" s="49">
        <f>MAX(C56:N56)</f>
        <v>17423.117236024842</v>
      </c>
      <c r="Q56" s="49"/>
    </row>
    <row r="57" spans="1:23" x14ac:dyDescent="0.2"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U57" s="118"/>
      <c r="W57" s="118"/>
    </row>
    <row r="58" spans="1:23" x14ac:dyDescent="0.2">
      <c r="A58" s="15" t="str">
        <f>A10</f>
        <v>3 Phase</v>
      </c>
      <c r="B58" s="192">
        <f>B10</f>
        <v>3</v>
      </c>
      <c r="C58" s="49">
        <v>402</v>
      </c>
      <c r="D58" s="49">
        <v>401</v>
      </c>
      <c r="E58" s="49">
        <v>399</v>
      </c>
      <c r="F58" s="49">
        <v>400</v>
      </c>
      <c r="G58" s="49">
        <v>399</v>
      </c>
      <c r="H58" s="49">
        <v>402</v>
      </c>
      <c r="I58" s="49">
        <v>402</v>
      </c>
      <c r="J58" s="49">
        <v>403</v>
      </c>
      <c r="K58" s="49">
        <v>403</v>
      </c>
      <c r="L58" s="49">
        <v>405</v>
      </c>
      <c r="M58" s="49">
        <v>404</v>
      </c>
      <c r="N58" s="49">
        <v>404</v>
      </c>
      <c r="O58" s="49">
        <f>ROUND(SUM(C58:N58)/12,0)</f>
        <v>402</v>
      </c>
      <c r="P58" s="49"/>
      <c r="Q58" s="35"/>
    </row>
    <row r="59" spans="1:23" x14ac:dyDescent="0.2">
      <c r="A59" s="14" t="s">
        <v>1032</v>
      </c>
      <c r="C59" s="49">
        <v>5378004</v>
      </c>
      <c r="D59" s="49">
        <v>5410248</v>
      </c>
      <c r="E59" s="49">
        <v>4619429</v>
      </c>
      <c r="F59" s="49">
        <v>5076850</v>
      </c>
      <c r="G59" s="49">
        <v>5259391</v>
      </c>
      <c r="H59" s="49">
        <v>5748825</v>
      </c>
      <c r="I59" s="49">
        <v>6020338</v>
      </c>
      <c r="J59" s="49">
        <v>6301618</v>
      </c>
      <c r="K59" s="49">
        <v>6338210</v>
      </c>
      <c r="L59" s="49">
        <v>5169785</v>
      </c>
      <c r="M59" s="49">
        <v>4973629</v>
      </c>
      <c r="N59" s="49">
        <v>5182241</v>
      </c>
      <c r="O59" s="49">
        <f>SUM(C59:N59)</f>
        <v>65478568</v>
      </c>
      <c r="P59" s="129"/>
      <c r="Q59" s="129"/>
      <c r="U59" s="118"/>
      <c r="W59" s="118"/>
    </row>
    <row r="60" spans="1:23" x14ac:dyDescent="0.2">
      <c r="A60" s="14" t="s">
        <v>680</v>
      </c>
      <c r="C60" s="47">
        <f>C59/744</f>
        <v>7228.5</v>
      </c>
      <c r="D60" s="47">
        <f t="shared" ref="D60:N60" si="24">D59/744</f>
        <v>7271.8387096774195</v>
      </c>
      <c r="E60" s="47">
        <f t="shared" si="24"/>
        <v>6208.9099462365593</v>
      </c>
      <c r="F60" s="47">
        <f t="shared" si="24"/>
        <v>6823.7231182795695</v>
      </c>
      <c r="G60" s="47">
        <f t="shared" si="24"/>
        <v>7069.0739247311831</v>
      </c>
      <c r="H60" s="47">
        <f t="shared" si="24"/>
        <v>7726.9153225806449</v>
      </c>
      <c r="I60" s="47">
        <f t="shared" si="24"/>
        <v>8091.8521505376348</v>
      </c>
      <c r="J60" s="47">
        <f t="shared" si="24"/>
        <v>8469.9166666666661</v>
      </c>
      <c r="K60" s="47">
        <f t="shared" si="24"/>
        <v>8519.0994623655915</v>
      </c>
      <c r="L60" s="47">
        <f t="shared" si="24"/>
        <v>6948.635752688172</v>
      </c>
      <c r="M60" s="47">
        <f t="shared" si="24"/>
        <v>6684.9852150537636</v>
      </c>
      <c r="N60" s="47">
        <f t="shared" si="24"/>
        <v>6965.3776881720432</v>
      </c>
      <c r="O60" s="49">
        <f>O59/8760</f>
        <v>7474.7223744292241</v>
      </c>
      <c r="P60" s="49"/>
      <c r="Q60" s="49"/>
    </row>
    <row r="61" spans="1:23" x14ac:dyDescent="0.2">
      <c r="A61" s="14" t="s">
        <v>756</v>
      </c>
      <c r="C61" s="66">
        <f>C65+0.15</f>
        <v>0.51203163831474219</v>
      </c>
      <c r="D61" s="66">
        <f t="shared" ref="D61:N61" si="25">D65+0.15</f>
        <v>0.52524523246485177</v>
      </c>
      <c r="E61" s="66">
        <f t="shared" si="25"/>
        <v>0.48490552313748825</v>
      </c>
      <c r="F61" s="66">
        <f t="shared" si="25"/>
        <v>0.50143798862392586</v>
      </c>
      <c r="G61" s="66">
        <f t="shared" si="25"/>
        <v>0.49270172103553223</v>
      </c>
      <c r="H61" s="66">
        <f t="shared" si="25"/>
        <v>0.51809895375196569</v>
      </c>
      <c r="I61" s="66">
        <f t="shared" si="25"/>
        <v>0.54358111321566771</v>
      </c>
      <c r="J61" s="66">
        <f t="shared" si="25"/>
        <v>0.53540895006955935</v>
      </c>
      <c r="K61" s="66">
        <f t="shared" si="25"/>
        <v>0.52236145443348603</v>
      </c>
      <c r="L61" s="66">
        <f t="shared" si="25"/>
        <v>0.47010827370494801</v>
      </c>
      <c r="M61" s="66">
        <f t="shared" si="25"/>
        <v>0.49013881536149473</v>
      </c>
      <c r="N61" s="66">
        <f t="shared" si="25"/>
        <v>0.519833349235856</v>
      </c>
      <c r="O61" s="66"/>
      <c r="Q61" s="35"/>
    </row>
    <row r="62" spans="1:23" x14ac:dyDescent="0.2">
      <c r="A62" s="14" t="s">
        <v>757</v>
      </c>
      <c r="C62" s="49">
        <f>C60/C61</f>
        <v>14117.291704456537</v>
      </c>
      <c r="D62" s="49">
        <f t="shared" ref="D62:N62" si="26">D60/D61</f>
        <v>13844.654382777353</v>
      </c>
      <c r="E62" s="49">
        <f t="shared" si="26"/>
        <v>12804.370439138325</v>
      </c>
      <c r="F62" s="49">
        <f t="shared" si="26"/>
        <v>13608.30904935147</v>
      </c>
      <c r="G62" s="49">
        <f t="shared" si="26"/>
        <v>14347.573030339348</v>
      </c>
      <c r="H62" s="49">
        <f t="shared" si="26"/>
        <v>14913.975924143291</v>
      </c>
      <c r="I62" s="49">
        <f t="shared" si="26"/>
        <v>14886.190770441952</v>
      </c>
      <c r="J62" s="49">
        <f t="shared" si="26"/>
        <v>15819.527607011929</v>
      </c>
      <c r="K62" s="49">
        <f t="shared" si="26"/>
        <v>16308.821009017151</v>
      </c>
      <c r="L62" s="49">
        <f t="shared" si="26"/>
        <v>14780.926312837697</v>
      </c>
      <c r="M62" s="49">
        <f t="shared" si="26"/>
        <v>13638.963096859306</v>
      </c>
      <c r="N62" s="49">
        <f t="shared" si="26"/>
        <v>13399.251314697298</v>
      </c>
      <c r="O62" s="49">
        <f>SUM(C62:N62)</f>
        <v>172469.85464107167</v>
      </c>
      <c r="Q62" s="35">
        <f>MAX(C62:N62)</f>
        <v>16308.821009017151</v>
      </c>
    </row>
    <row r="63" spans="1:23" x14ac:dyDescent="0.2">
      <c r="A63" s="14" t="s">
        <v>681</v>
      </c>
      <c r="C63" s="66">
        <v>0.8</v>
      </c>
      <c r="D63" s="66">
        <f>C63</f>
        <v>0.8</v>
      </c>
      <c r="E63" s="66">
        <f t="shared" ref="E63:N63" si="27">D63</f>
        <v>0.8</v>
      </c>
      <c r="F63" s="66">
        <f t="shared" si="27"/>
        <v>0.8</v>
      </c>
      <c r="G63" s="66">
        <f t="shared" si="27"/>
        <v>0.8</v>
      </c>
      <c r="H63" s="66">
        <f t="shared" si="27"/>
        <v>0.8</v>
      </c>
      <c r="I63" s="66">
        <f t="shared" si="27"/>
        <v>0.8</v>
      </c>
      <c r="J63" s="66">
        <f t="shared" si="27"/>
        <v>0.8</v>
      </c>
      <c r="K63" s="66">
        <f t="shared" si="27"/>
        <v>0.8</v>
      </c>
      <c r="L63" s="66">
        <f t="shared" si="27"/>
        <v>0.8</v>
      </c>
      <c r="M63" s="66">
        <f t="shared" si="27"/>
        <v>0.8</v>
      </c>
      <c r="N63" s="66">
        <f t="shared" si="27"/>
        <v>0.8</v>
      </c>
      <c r="O63" s="66"/>
      <c r="P63" s="49"/>
      <c r="Q63" s="35"/>
    </row>
    <row r="64" spans="1:23" x14ac:dyDescent="0.2">
      <c r="A64" s="14" t="s">
        <v>682</v>
      </c>
      <c r="C64" s="49">
        <f>C62*C63</f>
        <v>11293.833363565231</v>
      </c>
      <c r="D64" s="49">
        <f t="shared" ref="D64:N64" si="28">D62*D63</f>
        <v>11075.723506221882</v>
      </c>
      <c r="E64" s="49">
        <f t="shared" si="28"/>
        <v>10243.496351310661</v>
      </c>
      <c r="F64" s="49">
        <f t="shared" si="28"/>
        <v>10886.647239481177</v>
      </c>
      <c r="G64" s="49">
        <f t="shared" si="28"/>
        <v>11478.058424271479</v>
      </c>
      <c r="H64" s="49">
        <f t="shared" si="28"/>
        <v>11931.180739314634</v>
      </c>
      <c r="I64" s="49">
        <f t="shared" si="28"/>
        <v>11908.952616353563</v>
      </c>
      <c r="J64" s="49">
        <f t="shared" si="28"/>
        <v>12655.622085609544</v>
      </c>
      <c r="K64" s="49">
        <f t="shared" si="28"/>
        <v>13047.056807213721</v>
      </c>
      <c r="L64" s="49">
        <f t="shared" si="28"/>
        <v>11824.741050270159</v>
      </c>
      <c r="M64" s="49">
        <f t="shared" si="28"/>
        <v>10911.170477487445</v>
      </c>
      <c r="N64" s="49">
        <f t="shared" si="28"/>
        <v>10719.401051757839</v>
      </c>
      <c r="O64" s="49">
        <f>SUM(C64:N64)</f>
        <v>137975.88371285732</v>
      </c>
      <c r="P64" s="49"/>
      <c r="Q64" s="35"/>
      <c r="R64" s="35">
        <f>O64</f>
        <v>137975.88371285732</v>
      </c>
      <c r="S64" s="35">
        <f>H64+I64+J64</f>
        <v>36495.755441277739</v>
      </c>
      <c r="T64" s="35">
        <f>R64-S64</f>
        <v>101480.12827157958</v>
      </c>
    </row>
    <row r="65" spans="1:23" x14ac:dyDescent="0.2">
      <c r="A65" s="14" t="s">
        <v>758</v>
      </c>
      <c r="C65" s="66">
        <f t="shared" ref="C65:N65" si="29">C60/C66</f>
        <v>0.36203163831474217</v>
      </c>
      <c r="D65" s="66">
        <f t="shared" si="29"/>
        <v>0.37524523246485181</v>
      </c>
      <c r="E65" s="66">
        <f t="shared" si="29"/>
        <v>0.33490552313748828</v>
      </c>
      <c r="F65" s="66">
        <f t="shared" si="29"/>
        <v>0.35143798862392583</v>
      </c>
      <c r="G65" s="66">
        <f t="shared" si="29"/>
        <v>0.3427017210355322</v>
      </c>
      <c r="H65" s="66">
        <f t="shared" si="29"/>
        <v>0.36809895375196572</v>
      </c>
      <c r="I65" s="66">
        <f t="shared" si="29"/>
        <v>0.39358111321566774</v>
      </c>
      <c r="J65" s="66">
        <f t="shared" si="29"/>
        <v>0.38540895006955933</v>
      </c>
      <c r="K65" s="66">
        <f t="shared" si="29"/>
        <v>0.37236145443348601</v>
      </c>
      <c r="L65" s="66">
        <f t="shared" si="29"/>
        <v>0.32010827370494799</v>
      </c>
      <c r="M65" s="66">
        <f t="shared" si="29"/>
        <v>0.34013881536149476</v>
      </c>
      <c r="N65" s="66">
        <f t="shared" si="29"/>
        <v>0.36983334923585598</v>
      </c>
      <c r="O65" s="66"/>
      <c r="P65" s="129"/>
      <c r="Q65" s="129"/>
      <c r="U65" s="118"/>
      <c r="W65" s="118"/>
    </row>
    <row r="66" spans="1:23" x14ac:dyDescent="0.2">
      <c r="A66" s="14" t="s">
        <v>759</v>
      </c>
      <c r="C66" s="49">
        <v>19966.486999999997</v>
      </c>
      <c r="D66" s="49">
        <v>19378.897000000001</v>
      </c>
      <c r="E66" s="49">
        <v>18539.288</v>
      </c>
      <c r="F66" s="49">
        <v>19416.578000000001</v>
      </c>
      <c r="G66" s="49">
        <v>20627.483</v>
      </c>
      <c r="H66" s="49">
        <v>20991.408000000003</v>
      </c>
      <c r="I66" s="49">
        <v>20559.554</v>
      </c>
      <c r="J66" s="49">
        <v>21976.44</v>
      </c>
      <c r="K66" s="49">
        <v>22878.574999999997</v>
      </c>
      <c r="L66" s="49">
        <v>21707.142</v>
      </c>
      <c r="M66" s="49">
        <v>19653.697</v>
      </c>
      <c r="N66" s="49">
        <v>18833.828000000001</v>
      </c>
      <c r="O66" s="49">
        <f>SUM(C66:N66)</f>
        <v>244529.37700000001</v>
      </c>
      <c r="P66" s="49">
        <f>MAX(C66:N66)</f>
        <v>22878.574999999997</v>
      </c>
      <c r="Q66" s="49"/>
    </row>
    <row r="67" spans="1:23" x14ac:dyDescent="0.2">
      <c r="C67" s="47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35"/>
    </row>
    <row r="68" spans="1:23" x14ac:dyDescent="0.2">
      <c r="A68" s="15" t="str">
        <f>A11</f>
        <v>3 Ph 0-999 KVA TOD</v>
      </c>
      <c r="B68" s="192" t="str">
        <f>B11</f>
        <v>3A</v>
      </c>
      <c r="C68" s="49">
        <v>4</v>
      </c>
      <c r="D68" s="49">
        <v>4</v>
      </c>
      <c r="E68" s="49">
        <v>4</v>
      </c>
      <c r="F68" s="49">
        <v>4</v>
      </c>
      <c r="G68" s="49">
        <v>4</v>
      </c>
      <c r="H68" s="49">
        <v>4</v>
      </c>
      <c r="I68" s="49">
        <v>4</v>
      </c>
      <c r="J68" s="49">
        <v>4</v>
      </c>
      <c r="K68" s="49">
        <v>4</v>
      </c>
      <c r="L68" s="49">
        <v>4</v>
      </c>
      <c r="M68" s="49">
        <v>4</v>
      </c>
      <c r="N68" s="49">
        <v>4</v>
      </c>
      <c r="O68" s="49">
        <f>ROUND(SUM(C68:N68)/12,0)</f>
        <v>4</v>
      </c>
      <c r="P68" s="49"/>
      <c r="Q68" s="35"/>
    </row>
    <row r="69" spans="1:23" x14ac:dyDescent="0.2">
      <c r="A69" s="14" t="s">
        <v>1032</v>
      </c>
      <c r="B69" s="193"/>
      <c r="C69" s="49">
        <v>-39090</v>
      </c>
      <c r="D69" s="49">
        <v>92028</v>
      </c>
      <c r="E69" s="49">
        <v>73927</v>
      </c>
      <c r="F69" s="49">
        <v>81112</v>
      </c>
      <c r="G69" s="49">
        <v>71602</v>
      </c>
      <c r="H69" s="49">
        <v>74995</v>
      </c>
      <c r="I69" s="49">
        <v>84458</v>
      </c>
      <c r="J69" s="49">
        <v>84465</v>
      </c>
      <c r="K69" s="49">
        <v>94445</v>
      </c>
      <c r="L69" s="49">
        <v>81043</v>
      </c>
      <c r="M69" s="49">
        <v>79422</v>
      </c>
      <c r="N69" s="49">
        <v>102752</v>
      </c>
      <c r="O69" s="49">
        <f>SUM(C69:N69)</f>
        <v>881159</v>
      </c>
      <c r="P69" s="129"/>
      <c r="Q69" s="129"/>
      <c r="U69" s="118"/>
      <c r="W69" s="118"/>
    </row>
    <row r="70" spans="1:23" x14ac:dyDescent="0.2">
      <c r="A70" s="14" t="s">
        <v>680</v>
      </c>
      <c r="B70" s="193"/>
      <c r="C70" s="224">
        <f>(D70+N70)/2</f>
        <v>130.90053763440858</v>
      </c>
      <c r="D70" s="47">
        <f t="shared" ref="D70:N70" si="30">D69/744</f>
        <v>123.69354838709677</v>
      </c>
      <c r="E70" s="47">
        <f t="shared" si="30"/>
        <v>99.364247311827953</v>
      </c>
      <c r="F70" s="47">
        <f t="shared" si="30"/>
        <v>109.02150537634408</v>
      </c>
      <c r="G70" s="47">
        <f t="shared" si="30"/>
        <v>96.239247311827953</v>
      </c>
      <c r="H70" s="47">
        <f t="shared" si="30"/>
        <v>100.7997311827957</v>
      </c>
      <c r="I70" s="47">
        <f t="shared" si="30"/>
        <v>113.51881720430107</v>
      </c>
      <c r="J70" s="47">
        <f t="shared" si="30"/>
        <v>113.52822580645162</v>
      </c>
      <c r="K70" s="47">
        <f t="shared" si="30"/>
        <v>126.94220430107526</v>
      </c>
      <c r="L70" s="47">
        <f t="shared" si="30"/>
        <v>108.92876344086021</v>
      </c>
      <c r="M70" s="47">
        <f t="shared" si="30"/>
        <v>106.75</v>
      </c>
      <c r="N70" s="47">
        <f t="shared" si="30"/>
        <v>138.10752688172042</v>
      </c>
      <c r="O70" s="49">
        <f>O69/8760</f>
        <v>100.58892694063927</v>
      </c>
      <c r="P70" s="49"/>
      <c r="Q70" s="49"/>
    </row>
    <row r="71" spans="1:23" x14ac:dyDescent="0.2">
      <c r="A71" s="14" t="s">
        <v>756</v>
      </c>
      <c r="B71" s="193"/>
      <c r="C71" s="66">
        <f>C75+0.15</f>
        <v>0.56184412797133332</v>
      </c>
      <c r="D71" s="66">
        <f t="shared" ref="D71:N71" si="31">D75+0.15</f>
        <v>0.61042981294145782</v>
      </c>
      <c r="E71" s="66">
        <f t="shared" si="31"/>
        <v>0.48468596680171638</v>
      </c>
      <c r="F71" s="66">
        <f t="shared" si="31"/>
        <v>0.58568170887953608</v>
      </c>
      <c r="G71" s="66">
        <f t="shared" si="31"/>
        <v>0.61016002119041968</v>
      </c>
      <c r="H71" s="66">
        <f t="shared" si="31"/>
        <v>0.55568332944067755</v>
      </c>
      <c r="I71" s="66">
        <f t="shared" si="31"/>
        <v>0.54484668646126821</v>
      </c>
      <c r="J71" s="66">
        <f t="shared" si="31"/>
        <v>0.59653081007080422</v>
      </c>
      <c r="K71" s="66">
        <f t="shared" si="31"/>
        <v>0.55918343406754045</v>
      </c>
      <c r="L71" s="66">
        <f t="shared" si="31"/>
        <v>0.49518973590248572</v>
      </c>
      <c r="M71" s="66">
        <f t="shared" si="31"/>
        <v>0.5459496300142801</v>
      </c>
      <c r="N71" s="66">
        <f t="shared" si="31"/>
        <v>0.6032960701658836</v>
      </c>
      <c r="O71" s="66"/>
      <c r="Q71" s="35"/>
    </row>
    <row r="72" spans="1:23" x14ac:dyDescent="0.2">
      <c r="A72" s="14" t="s">
        <v>757</v>
      </c>
      <c r="B72" s="193"/>
      <c r="C72" s="49">
        <f>C70/C71</f>
        <v>232.98372469790669</v>
      </c>
      <c r="D72" s="49">
        <f t="shared" ref="D72:N72" si="32">D70/D71</f>
        <v>202.63353093955027</v>
      </c>
      <c r="E72" s="49">
        <f t="shared" si="32"/>
        <v>205.00747724861935</v>
      </c>
      <c r="F72" s="49">
        <f t="shared" si="32"/>
        <v>186.14463064744231</v>
      </c>
      <c r="G72" s="49">
        <f t="shared" si="32"/>
        <v>157.72788116151168</v>
      </c>
      <c r="H72" s="49">
        <f t="shared" si="32"/>
        <v>181.39779590698816</v>
      </c>
      <c r="I72" s="49">
        <f t="shared" si="32"/>
        <v>208.35001850079314</v>
      </c>
      <c r="J72" s="49">
        <f t="shared" si="32"/>
        <v>190.31410262443373</v>
      </c>
      <c r="K72" s="49">
        <f t="shared" si="32"/>
        <v>227.01352824007779</v>
      </c>
      <c r="L72" s="49">
        <f t="shared" si="32"/>
        <v>219.97379093962238</v>
      </c>
      <c r="M72" s="49">
        <f t="shared" si="32"/>
        <v>195.53085876660049</v>
      </c>
      <c r="N72" s="49">
        <f t="shared" si="32"/>
        <v>228.92164181302567</v>
      </c>
      <c r="O72" s="49">
        <f>SUM(C72:N72)</f>
        <v>2435.9989814865721</v>
      </c>
      <c r="Q72" s="35">
        <f>MAX(C72:N72)</f>
        <v>232.98372469790669</v>
      </c>
    </row>
    <row r="73" spans="1:23" x14ac:dyDescent="0.2">
      <c r="A73" s="14" t="s">
        <v>681</v>
      </c>
      <c r="B73" s="193"/>
      <c r="C73" s="66">
        <v>0.8</v>
      </c>
      <c r="D73" s="66">
        <f>C73</f>
        <v>0.8</v>
      </c>
      <c r="E73" s="66">
        <f t="shared" ref="E73:N73" si="33">D73</f>
        <v>0.8</v>
      </c>
      <c r="F73" s="66">
        <f t="shared" si="33"/>
        <v>0.8</v>
      </c>
      <c r="G73" s="66">
        <f t="shared" si="33"/>
        <v>0.8</v>
      </c>
      <c r="H73" s="66">
        <f t="shared" si="33"/>
        <v>0.8</v>
      </c>
      <c r="I73" s="66">
        <f t="shared" si="33"/>
        <v>0.8</v>
      </c>
      <c r="J73" s="66">
        <f t="shared" si="33"/>
        <v>0.8</v>
      </c>
      <c r="K73" s="66">
        <f t="shared" si="33"/>
        <v>0.8</v>
      </c>
      <c r="L73" s="66">
        <f t="shared" si="33"/>
        <v>0.8</v>
      </c>
      <c r="M73" s="66">
        <f t="shared" si="33"/>
        <v>0.8</v>
      </c>
      <c r="N73" s="66">
        <f t="shared" si="33"/>
        <v>0.8</v>
      </c>
      <c r="O73" s="66"/>
      <c r="P73" s="49"/>
      <c r="Q73" s="35"/>
    </row>
    <row r="74" spans="1:23" x14ac:dyDescent="0.2">
      <c r="A74" s="14" t="s">
        <v>682</v>
      </c>
      <c r="B74" s="193"/>
      <c r="C74" s="49">
        <f>C72*C73</f>
        <v>186.38697975832537</v>
      </c>
      <c r="D74" s="49">
        <f t="shared" ref="D74:N74" si="34">D72*D73</f>
        <v>162.10682475164023</v>
      </c>
      <c r="E74" s="49">
        <f t="shared" si="34"/>
        <v>164.0059817988955</v>
      </c>
      <c r="F74" s="49">
        <f t="shared" si="34"/>
        <v>148.91570451795386</v>
      </c>
      <c r="G74" s="49">
        <f t="shared" si="34"/>
        <v>126.18230492920935</v>
      </c>
      <c r="H74" s="49">
        <f t="shared" si="34"/>
        <v>145.11823672559055</v>
      </c>
      <c r="I74" s="49">
        <f t="shared" si="34"/>
        <v>166.68001480063452</v>
      </c>
      <c r="J74" s="49">
        <f t="shared" si="34"/>
        <v>152.25128209954698</v>
      </c>
      <c r="K74" s="49">
        <f t="shared" si="34"/>
        <v>181.61082259206225</v>
      </c>
      <c r="L74" s="49">
        <f t="shared" si="34"/>
        <v>175.9790327516979</v>
      </c>
      <c r="M74" s="49">
        <f t="shared" si="34"/>
        <v>156.42468701328039</v>
      </c>
      <c r="N74" s="49">
        <f t="shared" si="34"/>
        <v>183.13731345042055</v>
      </c>
      <c r="O74" s="49">
        <f>SUM(C74:N74)</f>
        <v>1948.7991851892573</v>
      </c>
      <c r="P74" s="49"/>
      <c r="Q74" s="35"/>
      <c r="R74" s="35">
        <f>O74</f>
        <v>1948.7991851892573</v>
      </c>
      <c r="S74" s="35">
        <f>H74+I74+J74</f>
        <v>464.04953362577203</v>
      </c>
      <c r="T74" s="35">
        <f>R74-S74</f>
        <v>1484.7496515634853</v>
      </c>
    </row>
    <row r="75" spans="1:23" x14ac:dyDescent="0.2">
      <c r="A75" s="14" t="s">
        <v>758</v>
      </c>
      <c r="B75" s="193"/>
      <c r="C75" s="66">
        <f t="shared" ref="C75:N75" si="35">C70/C76</f>
        <v>0.41184412797133335</v>
      </c>
      <c r="D75" s="66">
        <f t="shared" si="35"/>
        <v>0.46042981294145779</v>
      </c>
      <c r="E75" s="66">
        <f t="shared" si="35"/>
        <v>0.33468596680171636</v>
      </c>
      <c r="F75" s="66">
        <f t="shared" si="35"/>
        <v>0.43568170887953611</v>
      </c>
      <c r="G75" s="66">
        <f t="shared" si="35"/>
        <v>0.46016002119041971</v>
      </c>
      <c r="H75" s="66">
        <f t="shared" si="35"/>
        <v>0.40568332944067753</v>
      </c>
      <c r="I75" s="66">
        <f t="shared" si="35"/>
        <v>0.39484668646126825</v>
      </c>
      <c r="J75" s="66">
        <f t="shared" si="35"/>
        <v>0.4465308100708042</v>
      </c>
      <c r="K75" s="66">
        <f t="shared" si="35"/>
        <v>0.40918343406754043</v>
      </c>
      <c r="L75" s="66">
        <f t="shared" si="35"/>
        <v>0.34518973590248575</v>
      </c>
      <c r="M75" s="66">
        <f t="shared" si="35"/>
        <v>0.39594963001428013</v>
      </c>
      <c r="N75" s="66">
        <f t="shared" si="35"/>
        <v>0.45329607016588364</v>
      </c>
      <c r="O75" s="66"/>
      <c r="P75" s="129"/>
      <c r="Q75" s="129"/>
      <c r="U75" s="118"/>
      <c r="W75" s="118"/>
    </row>
    <row r="76" spans="1:23" x14ac:dyDescent="0.2">
      <c r="A76" s="14" t="s">
        <v>759</v>
      </c>
      <c r="B76" s="193"/>
      <c r="C76" s="49">
        <v>317.83999999999997</v>
      </c>
      <c r="D76" s="49">
        <v>268.64800000000002</v>
      </c>
      <c r="E76" s="49">
        <v>296.88799999999998</v>
      </c>
      <c r="F76" s="49">
        <v>250.232</v>
      </c>
      <c r="G76" s="49">
        <v>209.143</v>
      </c>
      <c r="H76" s="49">
        <v>248.46899999999999</v>
      </c>
      <c r="I76" s="49">
        <v>287.50099999999998</v>
      </c>
      <c r="J76" s="49">
        <v>254.245</v>
      </c>
      <c r="K76" s="49">
        <v>310.233</v>
      </c>
      <c r="L76" s="49">
        <v>315.56200000000001</v>
      </c>
      <c r="M76" s="49">
        <v>269.60500000000002</v>
      </c>
      <c r="N76" s="49">
        <v>304.67399999999998</v>
      </c>
      <c r="O76" s="49">
        <f>SUM(C76:N76)</f>
        <v>3333.04</v>
      </c>
      <c r="P76" s="49">
        <f>MAX(C76:N76)</f>
        <v>317.83999999999997</v>
      </c>
      <c r="Q76" s="49"/>
    </row>
    <row r="77" spans="1:23" x14ac:dyDescent="0.2">
      <c r="C77" s="4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23" x14ac:dyDescent="0.2">
      <c r="A78" s="15" t="str">
        <f>A12</f>
        <v>Large 1000 KVA TOD</v>
      </c>
      <c r="B78" s="192">
        <f>B12</f>
        <v>4</v>
      </c>
      <c r="C78" s="49">
        <v>3</v>
      </c>
      <c r="D78" s="49">
        <v>3</v>
      </c>
      <c r="E78" s="49">
        <v>4</v>
      </c>
      <c r="F78" s="49">
        <v>5</v>
      </c>
      <c r="G78" s="49">
        <v>5</v>
      </c>
      <c r="H78" s="49">
        <v>5</v>
      </c>
      <c r="I78" s="49">
        <v>5</v>
      </c>
      <c r="J78" s="49">
        <v>5</v>
      </c>
      <c r="K78" s="49">
        <v>5</v>
      </c>
      <c r="L78" s="49">
        <v>5</v>
      </c>
      <c r="M78" s="49">
        <v>5</v>
      </c>
      <c r="N78" s="49">
        <v>5</v>
      </c>
      <c r="O78" s="49">
        <f>ROUND(SUM(C78:N78)/12,0)</f>
        <v>5</v>
      </c>
      <c r="P78" s="49"/>
      <c r="Q78" s="35"/>
    </row>
    <row r="79" spans="1:23" ht="12.75" customHeight="1" x14ac:dyDescent="0.2">
      <c r="A79" s="14" t="s">
        <v>1032</v>
      </c>
      <c r="B79" s="193"/>
      <c r="C79" s="49">
        <v>355368</v>
      </c>
      <c r="D79" s="49">
        <v>542329</v>
      </c>
      <c r="E79" s="49">
        <v>498694</v>
      </c>
      <c r="F79" s="49">
        <v>589761</v>
      </c>
      <c r="G79" s="49">
        <v>529791</v>
      </c>
      <c r="H79" s="49">
        <v>655266</v>
      </c>
      <c r="I79" s="49">
        <v>556852</v>
      </c>
      <c r="J79" s="49">
        <v>514690</v>
      </c>
      <c r="K79" s="49">
        <v>772168</v>
      </c>
      <c r="L79" s="49">
        <v>575506</v>
      </c>
      <c r="M79" s="49">
        <v>672070</v>
      </c>
      <c r="N79" s="49">
        <v>706339</v>
      </c>
      <c r="O79" s="49">
        <f>SUM(C79:N79)</f>
        <v>6968834</v>
      </c>
      <c r="P79" s="129"/>
      <c r="Q79" s="129"/>
      <c r="U79" s="118"/>
      <c r="W79" s="118"/>
    </row>
    <row r="80" spans="1:23" ht="12.75" customHeight="1" x14ac:dyDescent="0.25">
      <c r="A80" s="14" t="s">
        <v>680</v>
      </c>
      <c r="B80" s="193"/>
      <c r="C80" s="47">
        <f>C79/744</f>
        <v>477.64516129032256</v>
      </c>
      <c r="D80" s="47">
        <f t="shared" ref="D80:N80" si="36">D79/744</f>
        <v>728.93682795698919</v>
      </c>
      <c r="E80" s="47">
        <f t="shared" si="36"/>
        <v>670.28763440860212</v>
      </c>
      <c r="F80" s="47">
        <f t="shared" si="36"/>
        <v>792.68951612903231</v>
      </c>
      <c r="G80" s="47">
        <f t="shared" si="36"/>
        <v>712.08467741935488</v>
      </c>
      <c r="H80" s="47">
        <f t="shared" si="36"/>
        <v>880.73387096774195</v>
      </c>
      <c r="I80" s="47">
        <f t="shared" si="36"/>
        <v>748.45698924731187</v>
      </c>
      <c r="J80" s="47">
        <f t="shared" si="36"/>
        <v>691.78763440860212</v>
      </c>
      <c r="K80" s="47">
        <f t="shared" si="36"/>
        <v>1037.8602150537633</v>
      </c>
      <c r="L80" s="47">
        <f t="shared" si="36"/>
        <v>773.52956989247309</v>
      </c>
      <c r="M80" s="47">
        <f t="shared" si="36"/>
        <v>903.31989247311833</v>
      </c>
      <c r="N80" s="47">
        <f t="shared" si="36"/>
        <v>949.38037634408602</v>
      </c>
      <c r="O80" s="204">
        <f>O79/8760</f>
        <v>795.52899543378999</v>
      </c>
      <c r="P80" s="49"/>
      <c r="Q80" s="49"/>
    </row>
    <row r="81" spans="1:23" ht="12.75" customHeight="1" x14ac:dyDescent="0.25">
      <c r="A81" s="14" t="s">
        <v>756</v>
      </c>
      <c r="B81" s="193"/>
      <c r="C81" s="66">
        <f>C85+0.15</f>
        <v>0.30021705232893747</v>
      </c>
      <c r="D81" s="66">
        <f t="shared" ref="D81:N81" si="37">D85+0.15</f>
        <v>0.38334192130253503</v>
      </c>
      <c r="E81" s="66">
        <f t="shared" si="37"/>
        <v>0.35249158190097341</v>
      </c>
      <c r="F81" s="66">
        <f t="shared" si="37"/>
        <v>0.37889593604834754</v>
      </c>
      <c r="G81" s="66">
        <f t="shared" si="37"/>
        <v>0.36930541343374035</v>
      </c>
      <c r="H81" s="66">
        <f t="shared" si="37"/>
        <v>0.40298267104260987</v>
      </c>
      <c r="I81" s="66">
        <f t="shared" si="37"/>
        <v>0.37102500937522132</v>
      </c>
      <c r="J81" s="66">
        <f t="shared" si="37"/>
        <v>0.34924185202286862</v>
      </c>
      <c r="K81" s="66">
        <f t="shared" si="37"/>
        <v>0.44113305143307335</v>
      </c>
      <c r="L81" s="66">
        <f t="shared" si="37"/>
        <v>0.3565830493249848</v>
      </c>
      <c r="M81" s="66">
        <f t="shared" si="37"/>
        <v>0.3906158149467579</v>
      </c>
      <c r="N81" s="66">
        <f t="shared" si="37"/>
        <v>0.39861350101974125</v>
      </c>
      <c r="O81" s="205"/>
      <c r="Q81" s="35"/>
    </row>
    <row r="82" spans="1:23" ht="12.75" customHeight="1" x14ac:dyDescent="0.25">
      <c r="A82" s="14" t="s">
        <v>757</v>
      </c>
      <c r="B82" s="193"/>
      <c r="C82" s="49">
        <f>C80/C81</f>
        <v>1590.9994371904738</v>
      </c>
      <c r="D82" s="49">
        <f t="shared" ref="D82:N82" si="38">D80/D81</f>
        <v>1901.5317330287737</v>
      </c>
      <c r="E82" s="49">
        <f t="shared" si="38"/>
        <v>1901.5706156548958</v>
      </c>
      <c r="F82" s="49">
        <f t="shared" si="38"/>
        <v>2092.1035057707354</v>
      </c>
      <c r="G82" s="49">
        <f t="shared" si="38"/>
        <v>1928.1728659174257</v>
      </c>
      <c r="H82" s="49">
        <f t="shared" si="38"/>
        <v>2185.5378264506476</v>
      </c>
      <c r="I82" s="49">
        <f t="shared" si="38"/>
        <v>2017.2682981873866</v>
      </c>
      <c r="J82" s="49">
        <f t="shared" si="38"/>
        <v>1980.8268407742362</v>
      </c>
      <c r="K82" s="49">
        <f t="shared" si="38"/>
        <v>2352.7147006603805</v>
      </c>
      <c r="L82" s="49">
        <f t="shared" si="38"/>
        <v>2169.2830642308213</v>
      </c>
      <c r="M82" s="49">
        <f t="shared" si="38"/>
        <v>2312.5533014996936</v>
      </c>
      <c r="N82" s="49">
        <f t="shared" si="38"/>
        <v>2381.7065250307919</v>
      </c>
      <c r="O82" s="204">
        <f>SUM(C82:N82)</f>
        <v>24814.268714396265</v>
      </c>
      <c r="Q82" s="35">
        <f>MAX(C82:N82)</f>
        <v>2381.7065250307919</v>
      </c>
    </row>
    <row r="83" spans="1:23" ht="12.75" customHeight="1" x14ac:dyDescent="0.25">
      <c r="A83" s="14" t="s">
        <v>681</v>
      </c>
      <c r="B83" s="193"/>
      <c r="C83" s="66">
        <v>0.8</v>
      </c>
      <c r="D83" s="66">
        <f>C83</f>
        <v>0.8</v>
      </c>
      <c r="E83" s="66">
        <f t="shared" ref="E83:N83" si="39">D83</f>
        <v>0.8</v>
      </c>
      <c r="F83" s="66">
        <f t="shared" si="39"/>
        <v>0.8</v>
      </c>
      <c r="G83" s="66">
        <f t="shared" si="39"/>
        <v>0.8</v>
      </c>
      <c r="H83" s="66">
        <f t="shared" si="39"/>
        <v>0.8</v>
      </c>
      <c r="I83" s="66">
        <f t="shared" si="39"/>
        <v>0.8</v>
      </c>
      <c r="J83" s="66">
        <f t="shared" si="39"/>
        <v>0.8</v>
      </c>
      <c r="K83" s="66">
        <f t="shared" si="39"/>
        <v>0.8</v>
      </c>
      <c r="L83" s="66">
        <f t="shared" si="39"/>
        <v>0.8</v>
      </c>
      <c r="M83" s="66">
        <f t="shared" si="39"/>
        <v>0.8</v>
      </c>
      <c r="N83" s="66">
        <f t="shared" si="39"/>
        <v>0.8</v>
      </c>
      <c r="O83" s="205"/>
      <c r="P83" s="49"/>
      <c r="Q83" s="35"/>
    </row>
    <row r="84" spans="1:23" ht="12.75" customHeight="1" x14ac:dyDescent="0.25">
      <c r="A84" s="14" t="s">
        <v>682</v>
      </c>
      <c r="B84" s="193"/>
      <c r="C84" s="49">
        <f>C82*C83</f>
        <v>1272.7995497523791</v>
      </c>
      <c r="D84" s="49">
        <f t="shared" ref="D84:N84" si="40">D82*D83</f>
        <v>1521.225386423019</v>
      </c>
      <c r="E84" s="49">
        <f t="shared" si="40"/>
        <v>1521.2564925239167</v>
      </c>
      <c r="F84" s="49">
        <f t="shared" si="40"/>
        <v>1673.6828046165883</v>
      </c>
      <c r="G84" s="49">
        <f t="shared" si="40"/>
        <v>1542.5382927339406</v>
      </c>
      <c r="H84" s="49">
        <f t="shared" si="40"/>
        <v>1748.4302611605181</v>
      </c>
      <c r="I84" s="49">
        <f t="shared" si="40"/>
        <v>1613.8146385499094</v>
      </c>
      <c r="J84" s="49">
        <f t="shared" si="40"/>
        <v>1584.6614726193891</v>
      </c>
      <c r="K84" s="49">
        <f t="shared" si="40"/>
        <v>1882.1717605283045</v>
      </c>
      <c r="L84" s="49">
        <f t="shared" si="40"/>
        <v>1735.4264513846572</v>
      </c>
      <c r="M84" s="49">
        <f t="shared" si="40"/>
        <v>1850.0426411997551</v>
      </c>
      <c r="N84" s="49">
        <f t="shared" si="40"/>
        <v>1905.3652200246336</v>
      </c>
      <c r="O84" s="204">
        <f>SUM(C84:N84)</f>
        <v>19851.41497151701</v>
      </c>
      <c r="P84" s="49"/>
      <c r="Q84" s="35"/>
      <c r="R84" s="35">
        <f>O84</f>
        <v>19851.41497151701</v>
      </c>
      <c r="S84" s="35">
        <f>H84+I84+J84</f>
        <v>4946.9063723298168</v>
      </c>
      <c r="T84" s="35">
        <f>R84-S84</f>
        <v>14904.508599187193</v>
      </c>
    </row>
    <row r="85" spans="1:23" ht="12.75" customHeight="1" x14ac:dyDescent="0.25">
      <c r="A85" s="14" t="s">
        <v>758</v>
      </c>
      <c r="B85" s="193"/>
      <c r="C85" s="66">
        <f t="shared" ref="C85:N85" si="41">C80/C86</f>
        <v>0.15021705232893751</v>
      </c>
      <c r="D85" s="66">
        <f t="shared" si="41"/>
        <v>0.23334192130253503</v>
      </c>
      <c r="E85" s="66">
        <f t="shared" si="41"/>
        <v>0.20249158190097341</v>
      </c>
      <c r="F85" s="66">
        <f t="shared" si="41"/>
        <v>0.22889593604834754</v>
      </c>
      <c r="G85" s="66">
        <f t="shared" si="41"/>
        <v>0.21930541343374033</v>
      </c>
      <c r="H85" s="66">
        <f t="shared" si="41"/>
        <v>0.25298267104260985</v>
      </c>
      <c r="I85" s="66">
        <f t="shared" si="41"/>
        <v>0.22102500937522129</v>
      </c>
      <c r="J85" s="66">
        <f t="shared" si="41"/>
        <v>0.19924185202286862</v>
      </c>
      <c r="K85" s="66">
        <f t="shared" si="41"/>
        <v>0.29113305143307339</v>
      </c>
      <c r="L85" s="66">
        <f t="shared" si="41"/>
        <v>0.20658304932498481</v>
      </c>
      <c r="M85" s="66">
        <f t="shared" si="41"/>
        <v>0.24061581494675788</v>
      </c>
      <c r="N85" s="66">
        <f t="shared" si="41"/>
        <v>0.24861350101974128</v>
      </c>
      <c r="O85" s="205"/>
      <c r="P85" s="129"/>
      <c r="Q85" s="129"/>
      <c r="U85" s="118"/>
      <c r="W85" s="118"/>
    </row>
    <row r="86" spans="1:23" ht="12.75" customHeight="1" x14ac:dyDescent="0.25">
      <c r="A86" s="14" t="s">
        <v>759</v>
      </c>
      <c r="B86" s="193"/>
      <c r="C86" s="49">
        <v>3179.7</v>
      </c>
      <c r="D86" s="49">
        <v>3123.9</v>
      </c>
      <c r="E86" s="49">
        <v>3310.2</v>
      </c>
      <c r="F86" s="49">
        <v>3463.1</v>
      </c>
      <c r="G86" s="49">
        <v>3247</v>
      </c>
      <c r="H86" s="49">
        <v>3481.4</v>
      </c>
      <c r="I86" s="49">
        <v>3386.3</v>
      </c>
      <c r="J86" s="49">
        <v>3472.1</v>
      </c>
      <c r="K86" s="49">
        <v>3564.9</v>
      </c>
      <c r="L86" s="49">
        <v>3744.4</v>
      </c>
      <c r="M86" s="49">
        <v>3754.2</v>
      </c>
      <c r="N86" s="49">
        <v>3818.7</v>
      </c>
      <c r="O86" s="206">
        <f>SUM(C86:N86)</f>
        <v>41545.899999999994</v>
      </c>
      <c r="P86" s="49">
        <f>MAX(C86:N86)</f>
        <v>3818.7</v>
      </c>
      <c r="Q86" s="49"/>
    </row>
    <row r="87" spans="1:23" x14ac:dyDescent="0.2">
      <c r="H87" s="137"/>
    </row>
    <row r="88" spans="1:23" x14ac:dyDescent="0.2">
      <c r="A88" s="15" t="str">
        <f>A13</f>
        <v>Private Outdoor Lighting</v>
      </c>
      <c r="B88" s="16">
        <f>B13</f>
        <v>5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f>ROUND(SUM(C88:N88)/12,0)</f>
        <v>0</v>
      </c>
      <c r="P88" s="49"/>
      <c r="Q88" s="35"/>
    </row>
    <row r="89" spans="1:23" x14ac:dyDescent="0.2">
      <c r="A89" s="14" t="s">
        <v>1032</v>
      </c>
      <c r="B89" s="193"/>
      <c r="C89" s="49">
        <v>847219</v>
      </c>
      <c r="D89" s="49">
        <v>843250</v>
      </c>
      <c r="E89" s="49">
        <v>841482</v>
      </c>
      <c r="F89" s="49">
        <v>842818</v>
      </c>
      <c r="G89" s="49">
        <v>843538</v>
      </c>
      <c r="H89" s="49">
        <v>842621</v>
      </c>
      <c r="I89" s="49">
        <v>844883</v>
      </c>
      <c r="J89" s="49">
        <v>844083</v>
      </c>
      <c r="K89" s="49">
        <v>845295</v>
      </c>
      <c r="L89" s="49">
        <v>844536</v>
      </c>
      <c r="M89" s="49">
        <v>844276</v>
      </c>
      <c r="N89" s="49">
        <v>845707</v>
      </c>
      <c r="O89" s="49">
        <f>SUM(C89:N89)</f>
        <v>10129708</v>
      </c>
      <c r="P89" s="129"/>
      <c r="Q89" s="129"/>
      <c r="U89" s="118"/>
      <c r="W89" s="118"/>
    </row>
    <row r="90" spans="1:23" x14ac:dyDescent="0.2">
      <c r="A90" s="14" t="s">
        <v>680</v>
      </c>
      <c r="B90" s="193"/>
      <c r="C90" s="49">
        <f>C89/744</f>
        <v>1138.7352150537633</v>
      </c>
      <c r="D90" s="47">
        <f>D89/720</f>
        <v>1171.1805555555557</v>
      </c>
      <c r="E90" s="49">
        <f t="shared" ref="E90" si="42">E89/744</f>
        <v>1131.0241935483871</v>
      </c>
      <c r="F90" s="49">
        <f>F89/720</f>
        <v>1170.5805555555555</v>
      </c>
      <c r="G90" s="49">
        <f t="shared" ref="G90" si="43">G89/744</f>
        <v>1133.7876344086021</v>
      </c>
      <c r="H90" s="47">
        <f>H89/744</f>
        <v>1132.5551075268818</v>
      </c>
      <c r="I90" s="47">
        <f>I89/672</f>
        <v>1257.266369047619</v>
      </c>
      <c r="J90" s="49">
        <f t="shared" ref="J90" si="44">J89/744</f>
        <v>1134.5201612903227</v>
      </c>
      <c r="K90" s="49">
        <f>K89/720</f>
        <v>1174.0208333333333</v>
      </c>
      <c r="L90" s="49">
        <f t="shared" ref="L90" si="45">L89/744</f>
        <v>1135.1290322580646</v>
      </c>
      <c r="M90" s="49">
        <f>M89/720</f>
        <v>1172.6055555555556</v>
      </c>
      <c r="N90" s="49">
        <f t="shared" ref="N90" si="46">N89/744</f>
        <v>1136.7029569892472</v>
      </c>
      <c r="O90" s="49">
        <f>O89/8760</f>
        <v>1156.3593607305936</v>
      </c>
      <c r="P90" s="49"/>
      <c r="Q90" s="49"/>
    </row>
    <row r="91" spans="1:23" x14ac:dyDescent="0.2">
      <c r="A91" s="14" t="s">
        <v>756</v>
      </c>
      <c r="B91" s="193"/>
      <c r="C91" s="66">
        <v>0.5</v>
      </c>
      <c r="D91" s="66">
        <v>0.5</v>
      </c>
      <c r="E91" s="66">
        <v>0.5</v>
      </c>
      <c r="F91" s="66">
        <v>0.5</v>
      </c>
      <c r="G91" s="66">
        <v>0.5</v>
      </c>
      <c r="H91" s="66">
        <v>0.5</v>
      </c>
      <c r="I91" s="66">
        <v>0.5</v>
      </c>
      <c r="J91" s="66">
        <v>0.5</v>
      </c>
      <c r="K91" s="66">
        <v>0.5</v>
      </c>
      <c r="L91" s="66">
        <v>0.5</v>
      </c>
      <c r="M91" s="66">
        <v>0.5</v>
      </c>
      <c r="N91" s="66">
        <v>0.5</v>
      </c>
      <c r="O91" s="66"/>
      <c r="Q91" s="35"/>
    </row>
    <row r="92" spans="1:23" x14ac:dyDescent="0.2">
      <c r="A92" s="14" t="s">
        <v>757</v>
      </c>
      <c r="B92" s="193"/>
      <c r="C92" s="49">
        <f>C90/C91</f>
        <v>2277.4704301075267</v>
      </c>
      <c r="D92" s="49">
        <f t="shared" ref="D92:N92" si="47">D90/D91</f>
        <v>2342.3611111111113</v>
      </c>
      <c r="E92" s="49">
        <f t="shared" si="47"/>
        <v>2262.0483870967741</v>
      </c>
      <c r="F92" s="49">
        <f t="shared" si="47"/>
        <v>2341.161111111111</v>
      </c>
      <c r="G92" s="49">
        <f t="shared" si="47"/>
        <v>2267.5752688172042</v>
      </c>
      <c r="H92" s="49">
        <f t="shared" si="47"/>
        <v>2265.1102150537636</v>
      </c>
      <c r="I92" s="49">
        <f t="shared" si="47"/>
        <v>2514.5327380952381</v>
      </c>
      <c r="J92" s="49">
        <f t="shared" si="47"/>
        <v>2269.0403225806454</v>
      </c>
      <c r="K92" s="49">
        <f t="shared" si="47"/>
        <v>2348.0416666666665</v>
      </c>
      <c r="L92" s="49">
        <f t="shared" si="47"/>
        <v>2270.2580645161293</v>
      </c>
      <c r="M92" s="49">
        <f t="shared" si="47"/>
        <v>2345.2111111111112</v>
      </c>
      <c r="N92" s="49">
        <f t="shared" si="47"/>
        <v>2273.4059139784945</v>
      </c>
      <c r="O92" s="49">
        <f>SUM(C92:N92)</f>
        <v>27776.216340245777</v>
      </c>
      <c r="Q92" s="35">
        <f>MAX(C92:N92)</f>
        <v>2514.5327380952381</v>
      </c>
    </row>
    <row r="93" spans="1:23" x14ac:dyDescent="0.2">
      <c r="A93" s="14" t="s">
        <v>681</v>
      </c>
      <c r="B93" s="193"/>
      <c r="C93" s="66">
        <v>1</v>
      </c>
      <c r="D93" s="66">
        <v>1</v>
      </c>
      <c r="E93" s="66">
        <v>1</v>
      </c>
      <c r="F93" s="66">
        <v>0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1</v>
      </c>
      <c r="M93" s="66">
        <v>1</v>
      </c>
      <c r="N93" s="66">
        <v>1</v>
      </c>
      <c r="O93" s="66"/>
      <c r="P93" s="49"/>
      <c r="Q93" s="35"/>
    </row>
    <row r="94" spans="1:23" x14ac:dyDescent="0.2">
      <c r="A94" s="14" t="s">
        <v>682</v>
      </c>
      <c r="B94" s="193"/>
      <c r="C94" s="49">
        <f t="shared" ref="C94:N94" si="48">C92*C93</f>
        <v>2277.4704301075267</v>
      </c>
      <c r="D94" s="49">
        <f t="shared" si="48"/>
        <v>2342.3611111111113</v>
      </c>
      <c r="E94" s="49">
        <f t="shared" si="48"/>
        <v>2262.0483870967741</v>
      </c>
      <c r="F94" s="49">
        <f t="shared" si="48"/>
        <v>0</v>
      </c>
      <c r="G94" s="49">
        <f t="shared" si="48"/>
        <v>0</v>
      </c>
      <c r="H94" s="49">
        <f t="shared" si="48"/>
        <v>0</v>
      </c>
      <c r="I94" s="49">
        <f t="shared" si="48"/>
        <v>0</v>
      </c>
      <c r="J94" s="49">
        <f t="shared" si="48"/>
        <v>0</v>
      </c>
      <c r="K94" s="49">
        <f t="shared" si="48"/>
        <v>0</v>
      </c>
      <c r="L94" s="49">
        <f t="shared" si="48"/>
        <v>2270.2580645161293</v>
      </c>
      <c r="M94" s="49">
        <f t="shared" si="48"/>
        <v>2345.2111111111112</v>
      </c>
      <c r="N94" s="49">
        <f t="shared" si="48"/>
        <v>2273.4059139784945</v>
      </c>
      <c r="O94" s="49">
        <f>SUM(C94:N94)</f>
        <v>13770.755017921148</v>
      </c>
      <c r="P94" s="49"/>
      <c r="Q94" s="35"/>
      <c r="R94" s="35">
        <f>O94</f>
        <v>13770.755017921148</v>
      </c>
      <c r="S94" s="35">
        <f>H94+I94+J94</f>
        <v>0</v>
      </c>
      <c r="T94" s="35">
        <f>R94-S94</f>
        <v>13770.755017921148</v>
      </c>
    </row>
    <row r="95" spans="1:23" x14ac:dyDescent="0.2">
      <c r="A95" s="14" t="s">
        <v>758</v>
      </c>
      <c r="B95" s="193"/>
      <c r="C95" s="66">
        <v>0.5</v>
      </c>
      <c r="D95" s="66">
        <v>0.5</v>
      </c>
      <c r="E95" s="66">
        <v>0.5</v>
      </c>
      <c r="F95" s="66">
        <v>0.5</v>
      </c>
      <c r="G95" s="66">
        <v>0.5</v>
      </c>
      <c r="H95" s="66">
        <v>0.5</v>
      </c>
      <c r="I95" s="66">
        <v>0.5</v>
      </c>
      <c r="J95" s="66">
        <v>0.5</v>
      </c>
      <c r="K95" s="66">
        <v>0.5</v>
      </c>
      <c r="L95" s="66">
        <v>0.5</v>
      </c>
      <c r="M95" s="66">
        <v>0.5</v>
      </c>
      <c r="N95" s="66">
        <v>0.5</v>
      </c>
      <c r="O95" s="66"/>
      <c r="P95" s="129"/>
      <c r="Q95" s="129"/>
      <c r="U95" s="118"/>
      <c r="W95" s="118"/>
    </row>
    <row r="96" spans="1:23" x14ac:dyDescent="0.2">
      <c r="A96" s="14" t="s">
        <v>759</v>
      </c>
      <c r="B96" s="193"/>
      <c r="C96" s="49">
        <f>C90/C95</f>
        <v>2277.4704301075267</v>
      </c>
      <c r="D96" s="49">
        <f t="shared" ref="D96:N96" si="49">D90/D95</f>
        <v>2342.3611111111113</v>
      </c>
      <c r="E96" s="49">
        <f t="shared" si="49"/>
        <v>2262.0483870967741</v>
      </c>
      <c r="F96" s="49">
        <f t="shared" si="49"/>
        <v>2341.161111111111</v>
      </c>
      <c r="G96" s="49">
        <f t="shared" si="49"/>
        <v>2267.5752688172042</v>
      </c>
      <c r="H96" s="49">
        <f t="shared" si="49"/>
        <v>2265.1102150537636</v>
      </c>
      <c r="I96" s="49">
        <f t="shared" si="49"/>
        <v>2514.5327380952381</v>
      </c>
      <c r="J96" s="49">
        <f t="shared" si="49"/>
        <v>2269.0403225806454</v>
      </c>
      <c r="K96" s="49">
        <f t="shared" si="49"/>
        <v>2348.0416666666665</v>
      </c>
      <c r="L96" s="49">
        <f t="shared" si="49"/>
        <v>2270.2580645161293</v>
      </c>
      <c r="M96" s="49">
        <f t="shared" si="49"/>
        <v>2345.2111111111112</v>
      </c>
      <c r="N96" s="49">
        <f t="shared" si="49"/>
        <v>2273.4059139784945</v>
      </c>
      <c r="O96" s="49">
        <f>SUM(C96:N96)</f>
        <v>27776.216340245777</v>
      </c>
      <c r="P96" s="49">
        <f>MAX(C96:N96)</f>
        <v>2514.5327380952381</v>
      </c>
      <c r="Q96" s="49"/>
    </row>
    <row r="97" spans="1:23" ht="16.5" customHeight="1" x14ac:dyDescent="0.2">
      <c r="C97" s="49"/>
      <c r="H97" s="137"/>
      <c r="M97" s="49"/>
    </row>
    <row r="98" spans="1:23" ht="14.25" customHeight="1" x14ac:dyDescent="0.2">
      <c r="A98" s="15" t="str">
        <f>A14</f>
        <v>Street &amp; Hwy Lights</v>
      </c>
      <c r="B98" s="216">
        <f>B14</f>
        <v>6</v>
      </c>
      <c r="C98" s="49">
        <v>6</v>
      </c>
      <c r="D98" s="49">
        <v>6</v>
      </c>
      <c r="E98" s="49">
        <v>6</v>
      </c>
      <c r="F98" s="49">
        <v>6</v>
      </c>
      <c r="G98" s="49">
        <v>6</v>
      </c>
      <c r="H98" s="49">
        <v>6</v>
      </c>
      <c r="I98" s="49">
        <v>6</v>
      </c>
      <c r="J98" s="49">
        <v>6</v>
      </c>
      <c r="K98" s="49">
        <v>6</v>
      </c>
      <c r="L98" s="49">
        <v>6</v>
      </c>
      <c r="M98" s="49">
        <v>6</v>
      </c>
      <c r="N98" s="49">
        <v>6</v>
      </c>
      <c r="O98" s="49">
        <f>ROUND(SUM(C98:N98)/12,0)</f>
        <v>6</v>
      </c>
      <c r="P98" s="49"/>
      <c r="Q98" s="35"/>
    </row>
    <row r="99" spans="1:23" x14ac:dyDescent="0.2">
      <c r="A99" s="14" t="s">
        <v>1032</v>
      </c>
      <c r="B99" s="193"/>
      <c r="C99" s="49">
        <v>87325</v>
      </c>
      <c r="D99" s="49">
        <v>89126</v>
      </c>
      <c r="E99" s="49">
        <v>87541</v>
      </c>
      <c r="F99" s="49">
        <v>88589</v>
      </c>
      <c r="G99" s="49">
        <v>87074</v>
      </c>
      <c r="H99" s="49">
        <v>86753</v>
      </c>
      <c r="I99" s="49">
        <v>87550</v>
      </c>
      <c r="J99" s="49">
        <v>87804</v>
      </c>
      <c r="K99" s="49">
        <v>89618</v>
      </c>
      <c r="L99" s="49">
        <v>86522</v>
      </c>
      <c r="M99" s="49">
        <v>85632</v>
      </c>
      <c r="N99" s="49">
        <v>87544</v>
      </c>
      <c r="O99" s="49">
        <f>SUM(C99:N99)</f>
        <v>1051078</v>
      </c>
      <c r="P99" s="129"/>
      <c r="Q99" s="129"/>
      <c r="U99" s="118"/>
      <c r="W99" s="118"/>
    </row>
    <row r="100" spans="1:23" x14ac:dyDescent="0.2">
      <c r="A100" s="14" t="s">
        <v>680</v>
      </c>
      <c r="B100" s="193"/>
      <c r="C100" s="49">
        <f>C99/744</f>
        <v>117.37231182795699</v>
      </c>
      <c r="D100" s="47">
        <f>D99/720</f>
        <v>123.78611111111111</v>
      </c>
      <c r="E100" s="49">
        <f t="shared" ref="E100" si="50">E99/744</f>
        <v>117.66263440860214</v>
      </c>
      <c r="F100" s="49">
        <f>F99/720</f>
        <v>123.04027777777777</v>
      </c>
      <c r="G100" s="49">
        <f t="shared" ref="G100" si="51">G99/744</f>
        <v>117.03494623655914</v>
      </c>
      <c r="H100" s="47">
        <f>H99/744</f>
        <v>116.60349462365592</v>
      </c>
      <c r="I100" s="47">
        <f>I99/672</f>
        <v>130.2827380952381</v>
      </c>
      <c r="J100" s="49">
        <f t="shared" ref="J100" si="52">J99/744</f>
        <v>118.01612903225806</v>
      </c>
      <c r="K100" s="49">
        <f>K99/720</f>
        <v>124.46944444444445</v>
      </c>
      <c r="L100" s="49">
        <f t="shared" ref="L100" si="53">L99/744</f>
        <v>116.29301075268818</v>
      </c>
      <c r="M100" s="49">
        <f>M99/720</f>
        <v>118.93333333333334</v>
      </c>
      <c r="N100" s="49">
        <f t="shared" ref="N100" si="54">N99/744</f>
        <v>117.66666666666667</v>
      </c>
      <c r="O100" s="49">
        <f>O99/8760</f>
        <v>119.98607305936073</v>
      </c>
      <c r="P100" s="49"/>
      <c r="Q100" s="49"/>
    </row>
    <row r="101" spans="1:23" x14ac:dyDescent="0.2">
      <c r="A101" s="14" t="s">
        <v>756</v>
      </c>
      <c r="B101" s="193"/>
      <c r="C101" s="66">
        <v>0.5</v>
      </c>
      <c r="D101" s="66">
        <v>0.5</v>
      </c>
      <c r="E101" s="66">
        <v>0.5</v>
      </c>
      <c r="F101" s="66">
        <v>0.5</v>
      </c>
      <c r="G101" s="66">
        <v>0.5</v>
      </c>
      <c r="H101" s="66">
        <v>0.5</v>
      </c>
      <c r="I101" s="66">
        <v>0.5</v>
      </c>
      <c r="J101" s="66">
        <v>0.5</v>
      </c>
      <c r="K101" s="66">
        <v>0.5</v>
      </c>
      <c r="L101" s="66">
        <v>0.5</v>
      </c>
      <c r="M101" s="66">
        <v>0.5</v>
      </c>
      <c r="N101" s="66">
        <v>0.5</v>
      </c>
      <c r="O101" s="66"/>
      <c r="Q101" s="35"/>
    </row>
    <row r="102" spans="1:23" x14ac:dyDescent="0.2">
      <c r="A102" s="14" t="s">
        <v>757</v>
      </c>
      <c r="B102" s="193"/>
      <c r="C102" s="49">
        <f>C100/C101</f>
        <v>234.74462365591398</v>
      </c>
      <c r="D102" s="49">
        <f t="shared" ref="D102:N102" si="55">D100/D101</f>
        <v>247.57222222222222</v>
      </c>
      <c r="E102" s="49">
        <f t="shared" si="55"/>
        <v>235.32526881720429</v>
      </c>
      <c r="F102" s="49">
        <f t="shared" si="55"/>
        <v>246.08055555555555</v>
      </c>
      <c r="G102" s="49">
        <f t="shared" si="55"/>
        <v>234.06989247311827</v>
      </c>
      <c r="H102" s="49">
        <f t="shared" si="55"/>
        <v>233.20698924731184</v>
      </c>
      <c r="I102" s="49">
        <f t="shared" si="55"/>
        <v>260.5654761904762</v>
      </c>
      <c r="J102" s="49">
        <f t="shared" si="55"/>
        <v>236.03225806451613</v>
      </c>
      <c r="K102" s="49">
        <f t="shared" si="55"/>
        <v>248.9388888888889</v>
      </c>
      <c r="L102" s="49">
        <f t="shared" si="55"/>
        <v>232.58602150537635</v>
      </c>
      <c r="M102" s="49">
        <f t="shared" si="55"/>
        <v>237.86666666666667</v>
      </c>
      <c r="N102" s="49">
        <f t="shared" si="55"/>
        <v>235.33333333333334</v>
      </c>
      <c r="O102" s="49">
        <f>SUM(C102:N102)</f>
        <v>2882.3221966205838</v>
      </c>
      <c r="P102" s="49"/>
      <c r="Q102" s="49">
        <f>MAX(C102:N102)</f>
        <v>260.5654761904762</v>
      </c>
    </row>
    <row r="103" spans="1:23" x14ac:dyDescent="0.2">
      <c r="A103" s="14" t="s">
        <v>681</v>
      </c>
      <c r="B103" s="193"/>
      <c r="C103" s="66">
        <v>1</v>
      </c>
      <c r="D103" s="66">
        <v>1</v>
      </c>
      <c r="E103" s="66">
        <v>1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1</v>
      </c>
      <c r="M103" s="66">
        <v>1</v>
      </c>
      <c r="N103" s="66">
        <v>1</v>
      </c>
      <c r="O103" s="66"/>
      <c r="P103" s="49"/>
      <c r="Q103" s="35"/>
    </row>
    <row r="104" spans="1:23" x14ac:dyDescent="0.2">
      <c r="A104" s="14" t="s">
        <v>682</v>
      </c>
      <c r="B104" s="193"/>
      <c r="C104" s="49">
        <f t="shared" ref="C104:N104" si="56">C102*C103</f>
        <v>234.74462365591398</v>
      </c>
      <c r="D104" s="49">
        <f t="shared" si="56"/>
        <v>247.57222222222222</v>
      </c>
      <c r="E104" s="49">
        <f t="shared" si="56"/>
        <v>235.32526881720429</v>
      </c>
      <c r="F104" s="49">
        <f t="shared" si="56"/>
        <v>0</v>
      </c>
      <c r="G104" s="49">
        <f t="shared" si="56"/>
        <v>0</v>
      </c>
      <c r="H104" s="49">
        <f t="shared" si="56"/>
        <v>0</v>
      </c>
      <c r="I104" s="49">
        <f t="shared" si="56"/>
        <v>0</v>
      </c>
      <c r="J104" s="49">
        <f t="shared" si="56"/>
        <v>0</v>
      </c>
      <c r="K104" s="49">
        <f t="shared" si="56"/>
        <v>0</v>
      </c>
      <c r="L104" s="49">
        <f t="shared" si="56"/>
        <v>232.58602150537635</v>
      </c>
      <c r="M104" s="49">
        <f t="shared" si="56"/>
        <v>237.86666666666667</v>
      </c>
      <c r="N104" s="49">
        <f t="shared" si="56"/>
        <v>235.33333333333334</v>
      </c>
      <c r="O104" s="49">
        <f>SUM(C104:N104)</f>
        <v>1423.4281362007168</v>
      </c>
      <c r="P104" s="49"/>
      <c r="Q104" s="35"/>
      <c r="R104" s="35">
        <f>O104</f>
        <v>1423.4281362007168</v>
      </c>
      <c r="S104" s="35">
        <f>H104+I104+J104</f>
        <v>0</v>
      </c>
      <c r="T104" s="35">
        <f>R104-S104</f>
        <v>1423.4281362007168</v>
      </c>
    </row>
    <row r="105" spans="1:23" x14ac:dyDescent="0.2">
      <c r="A105" s="14" t="s">
        <v>758</v>
      </c>
      <c r="B105" s="193"/>
      <c r="C105" s="66">
        <v>0.5</v>
      </c>
      <c r="D105" s="66">
        <v>0.5</v>
      </c>
      <c r="E105" s="66">
        <v>0.5</v>
      </c>
      <c r="F105" s="66">
        <v>0.5</v>
      </c>
      <c r="G105" s="66">
        <v>0.5</v>
      </c>
      <c r="H105" s="66">
        <v>0.5</v>
      </c>
      <c r="I105" s="66">
        <v>0.5</v>
      </c>
      <c r="J105" s="66">
        <v>0.5</v>
      </c>
      <c r="K105" s="66">
        <v>0.5</v>
      </c>
      <c r="L105" s="66">
        <v>0.5</v>
      </c>
      <c r="M105" s="66">
        <v>0.5</v>
      </c>
      <c r="N105" s="66">
        <v>0.5</v>
      </c>
      <c r="O105" s="66"/>
      <c r="P105" s="129"/>
      <c r="Q105" s="129"/>
      <c r="U105" s="118"/>
      <c r="W105" s="118"/>
    </row>
    <row r="106" spans="1:23" x14ac:dyDescent="0.2">
      <c r="A106" s="14" t="s">
        <v>759</v>
      </c>
      <c r="B106" s="193"/>
      <c r="C106" s="49">
        <f>C100/C105</f>
        <v>234.74462365591398</v>
      </c>
      <c r="D106" s="49">
        <f t="shared" ref="D106:N106" si="57">D100/D105</f>
        <v>247.57222222222222</v>
      </c>
      <c r="E106" s="49">
        <f t="shared" si="57"/>
        <v>235.32526881720429</v>
      </c>
      <c r="F106" s="49">
        <f t="shared" si="57"/>
        <v>246.08055555555555</v>
      </c>
      <c r="G106" s="49">
        <f t="shared" si="57"/>
        <v>234.06989247311827</v>
      </c>
      <c r="H106" s="49">
        <f t="shared" si="57"/>
        <v>233.20698924731184</v>
      </c>
      <c r="I106" s="49">
        <f t="shared" si="57"/>
        <v>260.5654761904762</v>
      </c>
      <c r="J106" s="49">
        <f t="shared" si="57"/>
        <v>236.03225806451613</v>
      </c>
      <c r="K106" s="49">
        <f t="shared" si="57"/>
        <v>248.9388888888889</v>
      </c>
      <c r="L106" s="49">
        <f t="shared" si="57"/>
        <v>232.58602150537635</v>
      </c>
      <c r="M106" s="49">
        <f t="shared" si="57"/>
        <v>237.86666666666667</v>
      </c>
      <c r="N106" s="49">
        <f t="shared" si="57"/>
        <v>235.33333333333334</v>
      </c>
      <c r="O106" s="49">
        <f>SUM(C106:N106)</f>
        <v>2882.3221966205838</v>
      </c>
      <c r="P106" s="49">
        <f>MAX(C106:N106)</f>
        <v>260.5654761904762</v>
      </c>
      <c r="Q106" s="49"/>
    </row>
    <row r="108" spans="1:23" x14ac:dyDescent="0.2">
      <c r="A108" s="15" t="str">
        <f>A15</f>
        <v>Special Contract</v>
      </c>
      <c r="B108" s="16" t="str">
        <f>B15</f>
        <v>SC</v>
      </c>
      <c r="C108" s="49">
        <v>1</v>
      </c>
      <c r="D108" s="49">
        <v>1</v>
      </c>
      <c r="E108" s="49">
        <v>1</v>
      </c>
      <c r="F108" s="49">
        <v>1</v>
      </c>
      <c r="G108" s="49">
        <v>1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f>ROUND(SUM(C108:N108)/12,0)</f>
        <v>1</v>
      </c>
      <c r="P108" s="49"/>
      <c r="Q108" s="35"/>
    </row>
    <row r="109" spans="1:23" x14ac:dyDescent="0.2">
      <c r="A109" s="14" t="s">
        <v>1032</v>
      </c>
      <c r="C109" s="49">
        <v>38798680</v>
      </c>
      <c r="D109" s="49">
        <v>38627982</v>
      </c>
      <c r="E109" s="49">
        <v>39337385</v>
      </c>
      <c r="F109" s="49">
        <v>39978052</v>
      </c>
      <c r="G109" s="49">
        <v>41463665</v>
      </c>
      <c r="H109" s="49">
        <v>38958228</v>
      </c>
      <c r="I109" s="49">
        <v>41816277</v>
      </c>
      <c r="J109" s="49">
        <v>47277067</v>
      </c>
      <c r="K109" s="49">
        <v>45876468</v>
      </c>
      <c r="L109" s="49">
        <v>52871410</v>
      </c>
      <c r="M109" s="49">
        <v>49787853</v>
      </c>
      <c r="N109" s="49">
        <v>53085489</v>
      </c>
      <c r="O109" s="49">
        <f>SUM(C109:N109)</f>
        <v>527878556</v>
      </c>
      <c r="P109" s="129"/>
      <c r="Q109" s="129"/>
      <c r="U109" s="118"/>
      <c r="W109" s="118"/>
    </row>
    <row r="110" spans="1:23" x14ac:dyDescent="0.2">
      <c r="A110" s="14" t="s">
        <v>680</v>
      </c>
      <c r="C110" s="49">
        <f>C109/744</f>
        <v>52148.763440860217</v>
      </c>
      <c r="D110" s="47">
        <f>D109/720</f>
        <v>53649.974999999999</v>
      </c>
      <c r="E110" s="49">
        <f t="shared" ref="E110" si="58">E109/744</f>
        <v>52872.829301075268</v>
      </c>
      <c r="F110" s="49">
        <f>F109/720</f>
        <v>55525.072222222225</v>
      </c>
      <c r="G110" s="49">
        <f t="shared" ref="G110" si="59">G109/744</f>
        <v>55730.732526881722</v>
      </c>
      <c r="H110" s="47">
        <f>H109/744</f>
        <v>52363.209677419356</v>
      </c>
      <c r="I110" s="47">
        <f>I109/672</f>
        <v>62226.602678571428</v>
      </c>
      <c r="J110" s="49">
        <f t="shared" ref="J110" si="60">J109/744</f>
        <v>63544.444892473119</v>
      </c>
      <c r="K110" s="49">
        <f>K109/720</f>
        <v>63717.316666666666</v>
      </c>
      <c r="L110" s="49">
        <f t="shared" ref="L110" si="61">L109/744</f>
        <v>71063.723118279566</v>
      </c>
      <c r="M110" s="49">
        <f>M109/720</f>
        <v>69149.795833333337</v>
      </c>
      <c r="N110" s="49">
        <f t="shared" ref="N110" si="62">N109/744</f>
        <v>71351.463709677424</v>
      </c>
      <c r="O110" s="49">
        <f>O109/8760</f>
        <v>60260.10913242009</v>
      </c>
      <c r="P110" s="49"/>
      <c r="Q110" s="49"/>
    </row>
    <row r="111" spans="1:23" x14ac:dyDescent="0.2">
      <c r="A111" s="14" t="s">
        <v>756</v>
      </c>
      <c r="C111" s="66">
        <v>0.5</v>
      </c>
      <c r="D111" s="66">
        <v>0.5</v>
      </c>
      <c r="E111" s="66">
        <v>0.5</v>
      </c>
      <c r="F111" s="66">
        <v>0.5</v>
      </c>
      <c r="G111" s="66">
        <v>0.5</v>
      </c>
      <c r="H111" s="66">
        <v>0.5</v>
      </c>
      <c r="I111" s="66">
        <v>0.5</v>
      </c>
      <c r="J111" s="66">
        <v>0.5</v>
      </c>
      <c r="K111" s="66">
        <v>0.5</v>
      </c>
      <c r="L111" s="66">
        <v>0.5</v>
      </c>
      <c r="M111" s="66">
        <v>0.5</v>
      </c>
      <c r="N111" s="66">
        <v>0.5</v>
      </c>
      <c r="O111" s="66"/>
      <c r="Q111" s="35"/>
    </row>
    <row r="112" spans="1:23" x14ac:dyDescent="0.2">
      <c r="A112" s="14" t="s">
        <v>757</v>
      </c>
      <c r="C112" s="49"/>
      <c r="D112" s="49"/>
      <c r="E112" s="49"/>
      <c r="F112" s="49">
        <v>0</v>
      </c>
      <c r="G112" s="49">
        <v>0</v>
      </c>
      <c r="H112" s="49">
        <v>0</v>
      </c>
      <c r="I112" s="49">
        <v>0</v>
      </c>
      <c r="J112" s="49">
        <v>0</v>
      </c>
      <c r="K112" s="49"/>
      <c r="L112" s="49"/>
      <c r="M112" s="49"/>
      <c r="N112" s="49"/>
      <c r="O112" s="49">
        <f>SUM(C112:N112)</f>
        <v>0</v>
      </c>
      <c r="Q112" s="35">
        <f>MAX(C112:N112)</f>
        <v>0</v>
      </c>
    </row>
    <row r="113" spans="1:23" x14ac:dyDescent="0.2">
      <c r="A113" s="14" t="s">
        <v>681</v>
      </c>
      <c r="C113" s="66">
        <v>1</v>
      </c>
      <c r="D113" s="66">
        <v>1</v>
      </c>
      <c r="E113" s="66">
        <v>1</v>
      </c>
      <c r="F113" s="66">
        <v>0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1</v>
      </c>
      <c r="M113" s="66">
        <v>1</v>
      </c>
      <c r="N113" s="66">
        <v>1</v>
      </c>
      <c r="O113" s="66"/>
      <c r="P113" s="49"/>
      <c r="Q113" s="35"/>
    </row>
    <row r="114" spans="1:23" x14ac:dyDescent="0.2">
      <c r="A114" s="14" t="s">
        <v>682</v>
      </c>
      <c r="C114" s="49">
        <f t="shared" ref="C114:N114" si="63">C112*C113</f>
        <v>0</v>
      </c>
      <c r="D114" s="49">
        <f t="shared" si="63"/>
        <v>0</v>
      </c>
      <c r="E114" s="49">
        <f t="shared" si="63"/>
        <v>0</v>
      </c>
      <c r="F114" s="49">
        <f t="shared" si="63"/>
        <v>0</v>
      </c>
      <c r="G114" s="49">
        <f t="shared" si="63"/>
        <v>0</v>
      </c>
      <c r="H114" s="49">
        <f t="shared" si="63"/>
        <v>0</v>
      </c>
      <c r="I114" s="49">
        <f t="shared" si="63"/>
        <v>0</v>
      </c>
      <c r="J114" s="49">
        <f t="shared" si="63"/>
        <v>0</v>
      </c>
      <c r="K114" s="49">
        <f t="shared" si="63"/>
        <v>0</v>
      </c>
      <c r="L114" s="49">
        <f t="shared" si="63"/>
        <v>0</v>
      </c>
      <c r="M114" s="49">
        <f t="shared" si="63"/>
        <v>0</v>
      </c>
      <c r="N114" s="49">
        <f t="shared" si="63"/>
        <v>0</v>
      </c>
      <c r="O114" s="49">
        <f>SUM(C114:N114)</f>
        <v>0</v>
      </c>
      <c r="P114" s="49"/>
      <c r="Q114" s="35"/>
      <c r="R114" s="35">
        <f>O114</f>
        <v>0</v>
      </c>
      <c r="S114" s="35">
        <f>H114+I114+J114</f>
        <v>0</v>
      </c>
      <c r="T114" s="35">
        <f>R114-S114</f>
        <v>0</v>
      </c>
    </row>
    <row r="115" spans="1:23" x14ac:dyDescent="0.2">
      <c r="A115" s="14" t="s">
        <v>758</v>
      </c>
      <c r="C115" s="66">
        <v>0.5</v>
      </c>
      <c r="D115" s="66">
        <v>0.5</v>
      </c>
      <c r="E115" s="66">
        <v>0.5</v>
      </c>
      <c r="F115" s="66">
        <v>0.5</v>
      </c>
      <c r="G115" s="66">
        <v>0.5</v>
      </c>
      <c r="H115" s="66">
        <v>0.5</v>
      </c>
      <c r="I115" s="66">
        <v>0.5</v>
      </c>
      <c r="J115" s="66">
        <v>0.5</v>
      </c>
      <c r="K115" s="66">
        <v>0.5</v>
      </c>
      <c r="L115" s="66">
        <v>0.5</v>
      </c>
      <c r="M115" s="66">
        <v>0.5</v>
      </c>
      <c r="N115" s="66">
        <v>0.5</v>
      </c>
      <c r="O115" s="66"/>
      <c r="P115" s="129"/>
      <c r="Q115" s="129"/>
      <c r="U115" s="118"/>
      <c r="W115" s="118"/>
    </row>
    <row r="116" spans="1:23" x14ac:dyDescent="0.2">
      <c r="A116" s="14" t="s">
        <v>759</v>
      </c>
      <c r="C116" s="49">
        <f>C110/C115</f>
        <v>104297.52688172043</v>
      </c>
      <c r="D116" s="49">
        <f t="shared" ref="D116:N116" si="64">D110/D115</f>
        <v>107299.95</v>
      </c>
      <c r="E116" s="49">
        <f t="shared" si="64"/>
        <v>105745.65860215054</v>
      </c>
      <c r="F116" s="49">
        <f t="shared" si="64"/>
        <v>111050.14444444445</v>
      </c>
      <c r="G116" s="49">
        <f t="shared" si="64"/>
        <v>111461.46505376344</v>
      </c>
      <c r="H116" s="49">
        <f t="shared" si="64"/>
        <v>104726.41935483871</v>
      </c>
      <c r="I116" s="49">
        <f t="shared" si="64"/>
        <v>124453.20535714286</v>
      </c>
      <c r="J116" s="49">
        <f t="shared" si="64"/>
        <v>127088.88978494624</v>
      </c>
      <c r="K116" s="49">
        <f t="shared" si="64"/>
        <v>127434.63333333333</v>
      </c>
      <c r="L116" s="49">
        <f t="shared" si="64"/>
        <v>142127.44623655913</v>
      </c>
      <c r="M116" s="49">
        <f t="shared" si="64"/>
        <v>138299.59166666667</v>
      </c>
      <c r="N116" s="49">
        <f t="shared" si="64"/>
        <v>142702.92741935485</v>
      </c>
      <c r="O116" s="49">
        <f>SUM(C116:N116)</f>
        <v>1446687.8581349205</v>
      </c>
      <c r="P116" s="49">
        <f>MAX(C116:N116)</f>
        <v>142702.92741935485</v>
      </c>
      <c r="Q116" s="49"/>
    </row>
    <row r="118" spans="1:23" hidden="1" x14ac:dyDescent="0.2">
      <c r="A118" s="15" t="str">
        <f>A16</f>
        <v>reserved</v>
      </c>
      <c r="B118" s="16" t="str">
        <f>B16</f>
        <v>X</v>
      </c>
      <c r="C118" s="191">
        <v>0</v>
      </c>
      <c r="D118" s="191">
        <v>0</v>
      </c>
      <c r="E118" s="191">
        <v>0</v>
      </c>
      <c r="F118" s="191">
        <v>0</v>
      </c>
      <c r="G118" s="191">
        <v>0</v>
      </c>
      <c r="H118" s="191">
        <v>0</v>
      </c>
      <c r="I118" s="191">
        <v>0</v>
      </c>
      <c r="J118" s="191">
        <v>0</v>
      </c>
      <c r="K118" s="191">
        <v>0</v>
      </c>
      <c r="L118" s="191">
        <v>0</v>
      </c>
      <c r="M118" s="191">
        <v>0</v>
      </c>
      <c r="N118" s="191">
        <v>0</v>
      </c>
      <c r="O118" s="49">
        <f>ROUND(SUM(C118:N118)/12,0)</f>
        <v>0</v>
      </c>
      <c r="P118" s="49"/>
      <c r="Q118" s="35"/>
    </row>
    <row r="119" spans="1:23" hidden="1" x14ac:dyDescent="0.2">
      <c r="A119" s="14" t="s">
        <v>679</v>
      </c>
      <c r="C119" s="191">
        <v>0</v>
      </c>
      <c r="D119" s="191">
        <v>0</v>
      </c>
      <c r="E119" s="191">
        <v>0</v>
      </c>
      <c r="F119" s="191">
        <v>0</v>
      </c>
      <c r="G119" s="191">
        <v>0</v>
      </c>
      <c r="H119" s="191">
        <v>0</v>
      </c>
      <c r="I119" s="191">
        <v>0</v>
      </c>
      <c r="J119" s="191">
        <v>0</v>
      </c>
      <c r="K119" s="191">
        <v>0</v>
      </c>
      <c r="L119" s="191">
        <v>0</v>
      </c>
      <c r="M119" s="191">
        <v>0</v>
      </c>
      <c r="N119" s="191">
        <v>0</v>
      </c>
      <c r="O119" s="49">
        <f>SUM(C119:N119)</f>
        <v>0</v>
      </c>
      <c r="P119" s="129"/>
      <c r="Q119" s="129"/>
      <c r="U119" s="118"/>
      <c r="W119" s="118"/>
    </row>
    <row r="120" spans="1:23" hidden="1" x14ac:dyDescent="0.2">
      <c r="A120" s="14" t="s">
        <v>680</v>
      </c>
      <c r="C120" s="49">
        <f>C119/744</f>
        <v>0</v>
      </c>
      <c r="D120" s="47">
        <f>D119/720</f>
        <v>0</v>
      </c>
      <c r="E120" s="49">
        <f t="shared" ref="E120" si="65">E119/744</f>
        <v>0</v>
      </c>
      <c r="F120" s="49">
        <f>F119/720</f>
        <v>0</v>
      </c>
      <c r="G120" s="49">
        <f t="shared" ref="G120" si="66">G119/744</f>
        <v>0</v>
      </c>
      <c r="H120" s="47">
        <f>H119/744</f>
        <v>0</v>
      </c>
      <c r="I120" s="47">
        <f>I119/672</f>
        <v>0</v>
      </c>
      <c r="J120" s="49">
        <f t="shared" ref="J120" si="67">J119/744</f>
        <v>0</v>
      </c>
      <c r="K120" s="49">
        <f>K119/720</f>
        <v>0</v>
      </c>
      <c r="L120" s="49">
        <f t="shared" ref="L120" si="68">L119/744</f>
        <v>0</v>
      </c>
      <c r="M120" s="49">
        <f>M119/720</f>
        <v>0</v>
      </c>
      <c r="N120" s="49">
        <f t="shared" ref="N120" si="69">N119/744</f>
        <v>0</v>
      </c>
      <c r="O120" s="49">
        <f>O119/8760</f>
        <v>0</v>
      </c>
      <c r="P120" s="49"/>
      <c r="Q120" s="49"/>
    </row>
    <row r="121" spans="1:23" hidden="1" x14ac:dyDescent="0.2">
      <c r="A121" s="14" t="s">
        <v>756</v>
      </c>
      <c r="C121" s="66">
        <v>0.5</v>
      </c>
      <c r="D121" s="66">
        <v>0.5</v>
      </c>
      <c r="E121" s="66">
        <v>0.5</v>
      </c>
      <c r="F121" s="66">
        <v>0.5</v>
      </c>
      <c r="G121" s="66">
        <v>0.5</v>
      </c>
      <c r="H121" s="66">
        <v>0.5</v>
      </c>
      <c r="I121" s="66">
        <v>0.5</v>
      </c>
      <c r="J121" s="66">
        <v>0.5</v>
      </c>
      <c r="K121" s="66">
        <v>0.5</v>
      </c>
      <c r="L121" s="66">
        <v>0.5</v>
      </c>
      <c r="M121" s="66">
        <v>0.5</v>
      </c>
      <c r="N121" s="66">
        <v>0.5</v>
      </c>
      <c r="O121" s="66"/>
      <c r="Q121" s="35"/>
    </row>
    <row r="122" spans="1:23" hidden="1" x14ac:dyDescent="0.2">
      <c r="A122" s="14" t="s">
        <v>757</v>
      </c>
      <c r="C122" s="49"/>
      <c r="D122" s="49"/>
      <c r="E122" s="49"/>
      <c r="F122" s="49">
        <v>0</v>
      </c>
      <c r="G122" s="49">
        <v>0</v>
      </c>
      <c r="H122" s="49">
        <v>0</v>
      </c>
      <c r="I122" s="49">
        <v>0</v>
      </c>
      <c r="J122" s="49">
        <v>0</v>
      </c>
      <c r="K122" s="49"/>
      <c r="L122" s="49"/>
      <c r="M122" s="49"/>
      <c r="N122" s="49"/>
      <c r="O122" s="49">
        <f>SUM(C122:N122)</f>
        <v>0</v>
      </c>
      <c r="Q122" s="35">
        <f>MAX(C122:N122)</f>
        <v>0</v>
      </c>
    </row>
    <row r="123" spans="1:23" hidden="1" x14ac:dyDescent="0.2">
      <c r="A123" s="14" t="s">
        <v>681</v>
      </c>
      <c r="C123" s="66">
        <v>1</v>
      </c>
      <c r="D123" s="66">
        <v>1</v>
      </c>
      <c r="E123" s="66">
        <v>1</v>
      </c>
      <c r="F123" s="66">
        <v>0</v>
      </c>
      <c r="G123" s="66">
        <v>0</v>
      </c>
      <c r="H123" s="66">
        <v>0</v>
      </c>
      <c r="I123" s="66">
        <v>0</v>
      </c>
      <c r="J123" s="66">
        <v>0</v>
      </c>
      <c r="K123" s="66">
        <v>0</v>
      </c>
      <c r="L123" s="66">
        <v>1</v>
      </c>
      <c r="M123" s="66">
        <v>1</v>
      </c>
      <c r="N123" s="66">
        <v>1</v>
      </c>
      <c r="O123" s="66"/>
      <c r="P123" s="49"/>
      <c r="Q123" s="35"/>
    </row>
    <row r="124" spans="1:23" hidden="1" x14ac:dyDescent="0.2">
      <c r="A124" s="14" t="s">
        <v>682</v>
      </c>
      <c r="C124" s="49">
        <f t="shared" ref="C124:N124" si="70">C122*C123</f>
        <v>0</v>
      </c>
      <c r="D124" s="49">
        <f t="shared" si="70"/>
        <v>0</v>
      </c>
      <c r="E124" s="49">
        <f t="shared" si="70"/>
        <v>0</v>
      </c>
      <c r="F124" s="49">
        <f t="shared" si="70"/>
        <v>0</v>
      </c>
      <c r="G124" s="49">
        <f t="shared" si="70"/>
        <v>0</v>
      </c>
      <c r="H124" s="49">
        <f t="shared" si="70"/>
        <v>0</v>
      </c>
      <c r="I124" s="49">
        <f t="shared" si="70"/>
        <v>0</v>
      </c>
      <c r="J124" s="49">
        <f t="shared" si="70"/>
        <v>0</v>
      </c>
      <c r="K124" s="49">
        <f t="shared" si="70"/>
        <v>0</v>
      </c>
      <c r="L124" s="49">
        <f t="shared" si="70"/>
        <v>0</v>
      </c>
      <c r="M124" s="49">
        <f t="shared" si="70"/>
        <v>0</v>
      </c>
      <c r="N124" s="49">
        <f t="shared" si="70"/>
        <v>0</v>
      </c>
      <c r="O124" s="49">
        <f>SUM(C124:N124)</f>
        <v>0</v>
      </c>
      <c r="P124" s="49"/>
      <c r="Q124" s="35"/>
      <c r="R124" s="35">
        <f>O124</f>
        <v>0</v>
      </c>
      <c r="S124" s="35">
        <f>H124+I124+J124</f>
        <v>0</v>
      </c>
      <c r="T124" s="35">
        <f>R124-S124</f>
        <v>0</v>
      </c>
    </row>
    <row r="125" spans="1:23" hidden="1" x14ac:dyDescent="0.2">
      <c r="A125" s="14" t="s">
        <v>758</v>
      </c>
      <c r="C125" s="66">
        <v>0.5</v>
      </c>
      <c r="D125" s="66">
        <v>0.5</v>
      </c>
      <c r="E125" s="66">
        <v>0.5</v>
      </c>
      <c r="F125" s="66">
        <v>0.5</v>
      </c>
      <c r="G125" s="66">
        <v>0.5</v>
      </c>
      <c r="H125" s="66">
        <v>0.5</v>
      </c>
      <c r="I125" s="66">
        <v>0.5</v>
      </c>
      <c r="J125" s="66">
        <v>0.5</v>
      </c>
      <c r="K125" s="66">
        <v>0.5</v>
      </c>
      <c r="L125" s="66">
        <v>0.5</v>
      </c>
      <c r="M125" s="66">
        <v>0.5</v>
      </c>
      <c r="N125" s="66">
        <v>0.5</v>
      </c>
      <c r="O125" s="66"/>
      <c r="P125" s="129"/>
      <c r="Q125" s="129"/>
      <c r="U125" s="118"/>
      <c r="W125" s="118"/>
    </row>
    <row r="126" spans="1:23" hidden="1" x14ac:dyDescent="0.2">
      <c r="A126" s="14" t="s">
        <v>759</v>
      </c>
      <c r="C126" s="49">
        <f>C120/C125</f>
        <v>0</v>
      </c>
      <c r="D126" s="49">
        <f t="shared" ref="D126:N126" si="71">D120/D125</f>
        <v>0</v>
      </c>
      <c r="E126" s="49">
        <f t="shared" si="71"/>
        <v>0</v>
      </c>
      <c r="F126" s="49">
        <f t="shared" si="71"/>
        <v>0</v>
      </c>
      <c r="G126" s="49">
        <f t="shared" si="71"/>
        <v>0</v>
      </c>
      <c r="H126" s="49">
        <f t="shared" si="71"/>
        <v>0</v>
      </c>
      <c r="I126" s="49">
        <f t="shared" si="71"/>
        <v>0</v>
      </c>
      <c r="J126" s="49">
        <f t="shared" si="71"/>
        <v>0</v>
      </c>
      <c r="K126" s="49">
        <f t="shared" si="71"/>
        <v>0</v>
      </c>
      <c r="L126" s="49">
        <f t="shared" si="71"/>
        <v>0</v>
      </c>
      <c r="M126" s="49">
        <f t="shared" si="71"/>
        <v>0</v>
      </c>
      <c r="N126" s="49">
        <f t="shared" si="71"/>
        <v>0</v>
      </c>
      <c r="O126" s="49">
        <f>SUM(C126:N126)</f>
        <v>0</v>
      </c>
      <c r="P126" s="49">
        <f>MAX(C126:N126)</f>
        <v>0</v>
      </c>
      <c r="Q126" s="49"/>
    </row>
    <row r="127" spans="1:23" hidden="1" x14ac:dyDescent="0.2"/>
    <row r="128" spans="1:23" hidden="1" x14ac:dyDescent="0.2">
      <c r="A128" s="15" t="str">
        <f>A17</f>
        <v>reserved</v>
      </c>
      <c r="B128" s="16" t="str">
        <f>B17</f>
        <v>X</v>
      </c>
      <c r="C128" s="191">
        <v>0</v>
      </c>
      <c r="D128" s="191">
        <v>0</v>
      </c>
      <c r="E128" s="191">
        <v>0</v>
      </c>
      <c r="F128" s="191">
        <v>0</v>
      </c>
      <c r="G128" s="191">
        <v>0</v>
      </c>
      <c r="H128" s="191">
        <v>0</v>
      </c>
      <c r="I128" s="191">
        <v>0</v>
      </c>
      <c r="J128" s="191">
        <v>0</v>
      </c>
      <c r="K128" s="191">
        <v>0</v>
      </c>
      <c r="L128" s="191">
        <v>0</v>
      </c>
      <c r="M128" s="191">
        <v>0</v>
      </c>
      <c r="N128" s="191">
        <v>0</v>
      </c>
      <c r="O128" s="49">
        <f>ROUND(SUM(C128:N128)/12,0)</f>
        <v>0</v>
      </c>
      <c r="P128" s="49"/>
      <c r="Q128" s="35"/>
    </row>
    <row r="129" spans="1:23" hidden="1" x14ac:dyDescent="0.2">
      <c r="A129" s="14" t="s">
        <v>679</v>
      </c>
      <c r="C129" s="191">
        <v>0</v>
      </c>
      <c r="D129" s="191">
        <v>0</v>
      </c>
      <c r="E129" s="191">
        <v>0</v>
      </c>
      <c r="F129" s="191">
        <v>0</v>
      </c>
      <c r="G129" s="191">
        <v>0</v>
      </c>
      <c r="H129" s="191">
        <v>0</v>
      </c>
      <c r="I129" s="191">
        <v>0</v>
      </c>
      <c r="J129" s="191">
        <v>0</v>
      </c>
      <c r="K129" s="191">
        <v>0</v>
      </c>
      <c r="L129" s="191">
        <v>0</v>
      </c>
      <c r="M129" s="191">
        <v>0</v>
      </c>
      <c r="N129" s="191">
        <v>0</v>
      </c>
      <c r="O129" s="49">
        <f>SUM(C129:N129)</f>
        <v>0</v>
      </c>
      <c r="P129" s="129"/>
      <c r="Q129" s="129"/>
      <c r="U129" s="118"/>
      <c r="W129" s="118"/>
    </row>
    <row r="130" spans="1:23" hidden="1" x14ac:dyDescent="0.2">
      <c r="A130" s="14" t="s">
        <v>680</v>
      </c>
      <c r="C130" s="49">
        <f>C129/744</f>
        <v>0</v>
      </c>
      <c r="D130" s="47">
        <f>D129/720</f>
        <v>0</v>
      </c>
      <c r="E130" s="49">
        <f t="shared" ref="E130:N130" si="72">E129/744</f>
        <v>0</v>
      </c>
      <c r="F130" s="49">
        <f>F129/720</f>
        <v>0</v>
      </c>
      <c r="G130" s="49">
        <f t="shared" si="72"/>
        <v>0</v>
      </c>
      <c r="H130" s="47">
        <f>H129/744</f>
        <v>0</v>
      </c>
      <c r="I130" s="47">
        <f>I129/672</f>
        <v>0</v>
      </c>
      <c r="J130" s="49">
        <f t="shared" si="72"/>
        <v>0</v>
      </c>
      <c r="K130" s="49">
        <f>K129/720</f>
        <v>0</v>
      </c>
      <c r="L130" s="49">
        <f t="shared" si="72"/>
        <v>0</v>
      </c>
      <c r="M130" s="49">
        <f>M129/720</f>
        <v>0</v>
      </c>
      <c r="N130" s="49">
        <f t="shared" si="72"/>
        <v>0</v>
      </c>
      <c r="O130" s="49">
        <f>O129/8760</f>
        <v>0</v>
      </c>
      <c r="P130" s="49"/>
      <c r="Q130" s="49"/>
    </row>
    <row r="131" spans="1:23" hidden="1" x14ac:dyDescent="0.2">
      <c r="A131" s="14" t="s">
        <v>756</v>
      </c>
      <c r="C131" s="66">
        <v>0.5</v>
      </c>
      <c r="D131" s="66">
        <v>0.5</v>
      </c>
      <c r="E131" s="66">
        <v>0.5</v>
      </c>
      <c r="F131" s="66">
        <v>0.5</v>
      </c>
      <c r="G131" s="66">
        <v>0.5</v>
      </c>
      <c r="H131" s="66">
        <v>0.5</v>
      </c>
      <c r="I131" s="66">
        <v>0.5</v>
      </c>
      <c r="J131" s="66">
        <v>0.5</v>
      </c>
      <c r="K131" s="66">
        <v>0.5</v>
      </c>
      <c r="L131" s="66">
        <v>0.5</v>
      </c>
      <c r="M131" s="66">
        <v>0.5</v>
      </c>
      <c r="N131" s="66">
        <v>0.5</v>
      </c>
      <c r="O131" s="66"/>
      <c r="Q131" s="35"/>
    </row>
    <row r="132" spans="1:23" hidden="1" x14ac:dyDescent="0.2">
      <c r="A132" s="14" t="s">
        <v>757</v>
      </c>
      <c r="C132" s="49"/>
      <c r="D132" s="49"/>
      <c r="E132" s="49"/>
      <c r="F132" s="49">
        <v>0</v>
      </c>
      <c r="G132" s="49">
        <v>0</v>
      </c>
      <c r="H132" s="49">
        <v>0</v>
      </c>
      <c r="I132" s="49">
        <v>0</v>
      </c>
      <c r="J132" s="49">
        <v>0</v>
      </c>
      <c r="K132" s="49"/>
      <c r="L132" s="49"/>
      <c r="M132" s="49"/>
      <c r="N132" s="49"/>
      <c r="O132" s="49">
        <f>SUM(C132:N132)</f>
        <v>0</v>
      </c>
      <c r="Q132" s="35">
        <f>MAX(C132:N132)</f>
        <v>0</v>
      </c>
    </row>
    <row r="133" spans="1:23" hidden="1" x14ac:dyDescent="0.2">
      <c r="A133" s="14" t="s">
        <v>681</v>
      </c>
      <c r="C133" s="66">
        <v>1</v>
      </c>
      <c r="D133" s="66">
        <v>1</v>
      </c>
      <c r="E133" s="66">
        <v>1</v>
      </c>
      <c r="F133" s="66">
        <v>0</v>
      </c>
      <c r="G133" s="66">
        <v>0</v>
      </c>
      <c r="H133" s="66">
        <v>0</v>
      </c>
      <c r="I133" s="66">
        <v>0</v>
      </c>
      <c r="J133" s="66">
        <v>0</v>
      </c>
      <c r="K133" s="66">
        <v>0</v>
      </c>
      <c r="L133" s="66">
        <v>1</v>
      </c>
      <c r="M133" s="66">
        <v>1</v>
      </c>
      <c r="N133" s="66">
        <v>1</v>
      </c>
      <c r="O133" s="66"/>
      <c r="P133" s="49"/>
      <c r="Q133" s="35"/>
    </row>
    <row r="134" spans="1:23" hidden="1" x14ac:dyDescent="0.2">
      <c r="A134" s="14" t="s">
        <v>682</v>
      </c>
      <c r="C134" s="49">
        <f t="shared" ref="C134:N134" si="73">C132*C133</f>
        <v>0</v>
      </c>
      <c r="D134" s="49">
        <f t="shared" si="73"/>
        <v>0</v>
      </c>
      <c r="E134" s="49">
        <f t="shared" si="73"/>
        <v>0</v>
      </c>
      <c r="F134" s="49">
        <f t="shared" si="73"/>
        <v>0</v>
      </c>
      <c r="G134" s="49">
        <f t="shared" si="73"/>
        <v>0</v>
      </c>
      <c r="H134" s="49">
        <f t="shared" si="73"/>
        <v>0</v>
      </c>
      <c r="I134" s="49">
        <f t="shared" si="73"/>
        <v>0</v>
      </c>
      <c r="J134" s="49">
        <f t="shared" si="73"/>
        <v>0</v>
      </c>
      <c r="K134" s="49">
        <f t="shared" si="73"/>
        <v>0</v>
      </c>
      <c r="L134" s="49">
        <f t="shared" si="73"/>
        <v>0</v>
      </c>
      <c r="M134" s="49">
        <f t="shared" si="73"/>
        <v>0</v>
      </c>
      <c r="N134" s="49">
        <f t="shared" si="73"/>
        <v>0</v>
      </c>
      <c r="O134" s="49">
        <f>SUM(C134:N134)</f>
        <v>0</v>
      </c>
      <c r="P134" s="49"/>
      <c r="Q134" s="35"/>
      <c r="R134" s="35">
        <f>O134</f>
        <v>0</v>
      </c>
      <c r="S134" s="35">
        <f>H134+I134+J134</f>
        <v>0</v>
      </c>
      <c r="T134" s="35">
        <f>R134-S134</f>
        <v>0</v>
      </c>
    </row>
    <row r="135" spans="1:23" hidden="1" x14ac:dyDescent="0.2">
      <c r="A135" s="14" t="s">
        <v>758</v>
      </c>
      <c r="C135" s="66">
        <v>0.5</v>
      </c>
      <c r="D135" s="66">
        <v>0.5</v>
      </c>
      <c r="E135" s="66">
        <v>0.5</v>
      </c>
      <c r="F135" s="66">
        <v>0.5</v>
      </c>
      <c r="G135" s="66">
        <v>0.5</v>
      </c>
      <c r="H135" s="66">
        <v>0.5</v>
      </c>
      <c r="I135" s="66">
        <v>0.5</v>
      </c>
      <c r="J135" s="66">
        <v>0.5</v>
      </c>
      <c r="K135" s="66">
        <v>0.5</v>
      </c>
      <c r="L135" s="66">
        <v>0.5</v>
      </c>
      <c r="M135" s="66">
        <v>0.5</v>
      </c>
      <c r="N135" s="66">
        <v>0.5</v>
      </c>
      <c r="O135" s="66"/>
      <c r="P135" s="129"/>
      <c r="Q135" s="129"/>
      <c r="U135" s="118"/>
      <c r="W135" s="118"/>
    </row>
    <row r="136" spans="1:23" hidden="1" x14ac:dyDescent="0.2">
      <c r="A136" s="14" t="s">
        <v>759</v>
      </c>
      <c r="C136" s="49">
        <f>C130/C135</f>
        <v>0</v>
      </c>
      <c r="D136" s="49">
        <f t="shared" ref="D136:N136" si="74">D130/D135</f>
        <v>0</v>
      </c>
      <c r="E136" s="49">
        <f t="shared" si="74"/>
        <v>0</v>
      </c>
      <c r="F136" s="49">
        <f t="shared" si="74"/>
        <v>0</v>
      </c>
      <c r="G136" s="49">
        <f t="shared" si="74"/>
        <v>0</v>
      </c>
      <c r="H136" s="49">
        <f t="shared" si="74"/>
        <v>0</v>
      </c>
      <c r="I136" s="49">
        <f t="shared" si="74"/>
        <v>0</v>
      </c>
      <c r="J136" s="49">
        <f t="shared" si="74"/>
        <v>0</v>
      </c>
      <c r="K136" s="49">
        <f t="shared" si="74"/>
        <v>0</v>
      </c>
      <c r="L136" s="49">
        <f t="shared" si="74"/>
        <v>0</v>
      </c>
      <c r="M136" s="49">
        <f t="shared" si="74"/>
        <v>0</v>
      </c>
      <c r="N136" s="49">
        <f t="shared" si="74"/>
        <v>0</v>
      </c>
      <c r="O136" s="49">
        <f>SUM(C136:N136)</f>
        <v>0</v>
      </c>
      <c r="P136" s="49">
        <f>MAX(C136:N136)</f>
        <v>0</v>
      </c>
      <c r="Q136" s="49"/>
    </row>
    <row r="137" spans="1:23" hidden="1" x14ac:dyDescent="0.2">
      <c r="L137" s="49"/>
    </row>
    <row r="138" spans="1:23" hidden="1" x14ac:dyDescent="0.2">
      <c r="A138" s="15">
        <f>A18</f>
        <v>0</v>
      </c>
      <c r="B138" s="16">
        <f>B18</f>
        <v>0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35"/>
    </row>
    <row r="139" spans="1:23" hidden="1" x14ac:dyDescent="0.2">
      <c r="A139" s="14" t="s">
        <v>679</v>
      </c>
      <c r="C139" s="49">
        <v>0</v>
      </c>
      <c r="D139" s="49">
        <v>0</v>
      </c>
      <c r="E139" s="49">
        <v>0</v>
      </c>
      <c r="F139" s="49">
        <v>0</v>
      </c>
      <c r="G139" s="49">
        <v>0</v>
      </c>
      <c r="H139" s="49">
        <v>0</v>
      </c>
      <c r="I139" s="49">
        <v>0</v>
      </c>
      <c r="J139" s="49">
        <v>0</v>
      </c>
      <c r="K139" s="49">
        <v>0</v>
      </c>
      <c r="L139" s="49">
        <v>0</v>
      </c>
      <c r="M139" s="49">
        <v>0</v>
      </c>
      <c r="N139" s="49">
        <v>0</v>
      </c>
      <c r="O139" s="49">
        <f>SUM(C139:N139)</f>
        <v>0</v>
      </c>
      <c r="P139" s="129"/>
      <c r="Q139" s="129"/>
      <c r="U139" s="118"/>
      <c r="W139" s="118"/>
    </row>
    <row r="140" spans="1:23" hidden="1" x14ac:dyDescent="0.2">
      <c r="A140" s="14" t="s">
        <v>680</v>
      </c>
      <c r="C140" s="49">
        <f>C139/744</f>
        <v>0</v>
      </c>
      <c r="D140" s="47">
        <f>D139/720</f>
        <v>0</v>
      </c>
      <c r="E140" s="49">
        <f t="shared" ref="E140:N140" si="75">E139/744</f>
        <v>0</v>
      </c>
      <c r="F140" s="49">
        <f>F139/720</f>
        <v>0</v>
      </c>
      <c r="G140" s="49">
        <f t="shared" si="75"/>
        <v>0</v>
      </c>
      <c r="H140" s="47">
        <f>H139/744</f>
        <v>0</v>
      </c>
      <c r="I140" s="47">
        <f>I139/672</f>
        <v>0</v>
      </c>
      <c r="J140" s="49">
        <f t="shared" si="75"/>
        <v>0</v>
      </c>
      <c r="K140" s="49">
        <f>K139/720</f>
        <v>0</v>
      </c>
      <c r="L140" s="49">
        <f t="shared" si="75"/>
        <v>0</v>
      </c>
      <c r="M140" s="49">
        <f>M139/720</f>
        <v>0</v>
      </c>
      <c r="N140" s="49">
        <f t="shared" si="75"/>
        <v>0</v>
      </c>
      <c r="O140" s="49">
        <f>O139/8760</f>
        <v>0</v>
      </c>
      <c r="P140" s="49"/>
      <c r="Q140" s="49"/>
    </row>
    <row r="141" spans="1:23" hidden="1" x14ac:dyDescent="0.2">
      <c r="A141" s="14" t="s">
        <v>756</v>
      </c>
      <c r="C141" s="66">
        <v>0</v>
      </c>
      <c r="D141" s="66">
        <v>0</v>
      </c>
      <c r="E141" s="66">
        <v>0</v>
      </c>
      <c r="F141" s="66">
        <v>0.25</v>
      </c>
      <c r="G141" s="66">
        <v>0.25</v>
      </c>
      <c r="H141" s="66">
        <v>0.25</v>
      </c>
      <c r="I141" s="66">
        <v>0.25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/>
      <c r="Q141" s="35"/>
    </row>
    <row r="142" spans="1:23" hidden="1" x14ac:dyDescent="0.2">
      <c r="A142" s="14" t="s">
        <v>757</v>
      </c>
      <c r="C142" s="49"/>
      <c r="D142" s="49"/>
      <c r="E142" s="49"/>
      <c r="F142" s="49">
        <v>0</v>
      </c>
      <c r="G142" s="49">
        <v>0</v>
      </c>
      <c r="H142" s="49">
        <v>0</v>
      </c>
      <c r="I142" s="49">
        <v>0</v>
      </c>
      <c r="J142" s="49">
        <v>0</v>
      </c>
      <c r="K142" s="49"/>
      <c r="L142" s="49"/>
      <c r="M142" s="49"/>
      <c r="N142" s="49"/>
      <c r="O142" s="49">
        <f>SUM(C142:N142)</f>
        <v>0</v>
      </c>
      <c r="Q142" s="35">
        <f>MAX(C142:N142)</f>
        <v>0</v>
      </c>
    </row>
    <row r="143" spans="1:23" hidden="1" x14ac:dyDescent="0.2">
      <c r="A143" s="14" t="s">
        <v>681</v>
      </c>
      <c r="C143" s="66">
        <v>1</v>
      </c>
      <c r="D143" s="66">
        <v>1</v>
      </c>
      <c r="E143" s="66">
        <v>1</v>
      </c>
      <c r="F143" s="66">
        <v>0</v>
      </c>
      <c r="G143" s="66">
        <v>0</v>
      </c>
      <c r="H143" s="66">
        <v>0</v>
      </c>
      <c r="I143" s="66">
        <v>0</v>
      </c>
      <c r="J143" s="66">
        <v>0</v>
      </c>
      <c r="K143" s="66">
        <v>0</v>
      </c>
      <c r="L143" s="66">
        <v>1</v>
      </c>
      <c r="M143" s="66">
        <v>1</v>
      </c>
      <c r="N143" s="66">
        <v>1</v>
      </c>
      <c r="O143" s="66"/>
      <c r="P143" s="49"/>
      <c r="Q143" s="35"/>
    </row>
    <row r="144" spans="1:23" hidden="1" x14ac:dyDescent="0.2">
      <c r="A144" s="14" t="s">
        <v>682</v>
      </c>
      <c r="C144" s="49">
        <f t="shared" ref="C144:N144" si="76">C142*C143</f>
        <v>0</v>
      </c>
      <c r="D144" s="49">
        <f t="shared" si="76"/>
        <v>0</v>
      </c>
      <c r="E144" s="49">
        <f t="shared" si="76"/>
        <v>0</v>
      </c>
      <c r="F144" s="49">
        <f t="shared" si="76"/>
        <v>0</v>
      </c>
      <c r="G144" s="49">
        <f t="shared" si="76"/>
        <v>0</v>
      </c>
      <c r="H144" s="49">
        <f t="shared" si="76"/>
        <v>0</v>
      </c>
      <c r="I144" s="49">
        <f t="shared" si="76"/>
        <v>0</v>
      </c>
      <c r="J144" s="49">
        <f t="shared" si="76"/>
        <v>0</v>
      </c>
      <c r="K144" s="49">
        <f t="shared" si="76"/>
        <v>0</v>
      </c>
      <c r="L144" s="49">
        <f t="shared" si="76"/>
        <v>0</v>
      </c>
      <c r="M144" s="49">
        <f t="shared" si="76"/>
        <v>0</v>
      </c>
      <c r="N144" s="49">
        <f t="shared" si="76"/>
        <v>0</v>
      </c>
      <c r="O144" s="49">
        <f>SUM(C144:N144)</f>
        <v>0</v>
      </c>
      <c r="P144" s="49"/>
      <c r="Q144" s="35"/>
      <c r="R144" s="35">
        <f>O144</f>
        <v>0</v>
      </c>
      <c r="S144" s="35">
        <f>H144+I144+J144</f>
        <v>0</v>
      </c>
      <c r="T144" s="35">
        <f>R144-S144</f>
        <v>0</v>
      </c>
    </row>
    <row r="145" spans="1:23" hidden="1" x14ac:dyDescent="0.2">
      <c r="A145" s="14" t="s">
        <v>758</v>
      </c>
      <c r="C145" s="66">
        <v>0.65</v>
      </c>
      <c r="D145" s="66">
        <v>0.65</v>
      </c>
      <c r="E145" s="66">
        <v>0.65</v>
      </c>
      <c r="F145" s="66">
        <v>0.65</v>
      </c>
      <c r="G145" s="66">
        <v>0.65</v>
      </c>
      <c r="H145" s="66">
        <v>0.65</v>
      </c>
      <c r="I145" s="66">
        <v>0.65</v>
      </c>
      <c r="J145" s="66">
        <v>0.65</v>
      </c>
      <c r="K145" s="66">
        <v>0.65</v>
      </c>
      <c r="L145" s="66">
        <v>0.65</v>
      </c>
      <c r="M145" s="66">
        <v>0.65</v>
      </c>
      <c r="N145" s="66">
        <v>0.65</v>
      </c>
      <c r="O145" s="66"/>
      <c r="P145" s="129"/>
      <c r="Q145" s="129"/>
      <c r="U145" s="118"/>
      <c r="W145" s="118"/>
    </row>
    <row r="146" spans="1:23" hidden="1" x14ac:dyDescent="0.2">
      <c r="A146" s="14" t="s">
        <v>759</v>
      </c>
      <c r="C146" s="49">
        <f>C140/C145</f>
        <v>0</v>
      </c>
      <c r="D146" s="49">
        <f t="shared" ref="D146:N146" si="77">D140/D145</f>
        <v>0</v>
      </c>
      <c r="E146" s="49">
        <f t="shared" si="77"/>
        <v>0</v>
      </c>
      <c r="F146" s="49">
        <f t="shared" si="77"/>
        <v>0</v>
      </c>
      <c r="G146" s="49">
        <f t="shared" si="77"/>
        <v>0</v>
      </c>
      <c r="H146" s="49">
        <f t="shared" si="77"/>
        <v>0</v>
      </c>
      <c r="I146" s="49">
        <f t="shared" si="77"/>
        <v>0</v>
      </c>
      <c r="J146" s="49">
        <f t="shared" si="77"/>
        <v>0</v>
      </c>
      <c r="K146" s="49">
        <f t="shared" si="77"/>
        <v>0</v>
      </c>
      <c r="L146" s="49">
        <f t="shared" si="77"/>
        <v>0</v>
      </c>
      <c r="M146" s="49">
        <f t="shared" si="77"/>
        <v>0</v>
      </c>
      <c r="N146" s="49">
        <f t="shared" si="77"/>
        <v>0</v>
      </c>
      <c r="O146" s="49">
        <f>SUM(C146:N146)</f>
        <v>0</v>
      </c>
      <c r="P146" s="49">
        <f>MAX(C146:N146)</f>
        <v>0</v>
      </c>
      <c r="Q146" s="49"/>
    </row>
    <row r="147" spans="1:23" hidden="1" x14ac:dyDescent="0.2"/>
    <row r="148" spans="1:23" hidden="1" x14ac:dyDescent="0.2">
      <c r="A148" s="15">
        <f>A19</f>
        <v>0</v>
      </c>
      <c r="B148" s="16">
        <f>B19</f>
        <v>0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35"/>
    </row>
    <row r="149" spans="1:23" hidden="1" x14ac:dyDescent="0.2">
      <c r="A149" s="14" t="s">
        <v>679</v>
      </c>
      <c r="C149" s="49">
        <v>0</v>
      </c>
      <c r="D149" s="49">
        <v>0</v>
      </c>
      <c r="E149" s="49">
        <v>0</v>
      </c>
      <c r="F149" s="49">
        <v>0</v>
      </c>
      <c r="G149" s="49">
        <v>0</v>
      </c>
      <c r="H149" s="49">
        <v>0</v>
      </c>
      <c r="I149" s="49">
        <v>0</v>
      </c>
      <c r="J149" s="49">
        <v>0</v>
      </c>
      <c r="K149" s="49">
        <v>0</v>
      </c>
      <c r="L149" s="49">
        <v>0</v>
      </c>
      <c r="M149" s="49">
        <v>0</v>
      </c>
      <c r="N149" s="49">
        <v>0</v>
      </c>
      <c r="O149" s="49">
        <f>SUM(C149:N149)</f>
        <v>0</v>
      </c>
      <c r="P149" s="129"/>
      <c r="Q149" s="129"/>
      <c r="U149" s="118"/>
      <c r="W149" s="118"/>
    </row>
    <row r="150" spans="1:23" hidden="1" x14ac:dyDescent="0.2">
      <c r="A150" s="14" t="s">
        <v>680</v>
      </c>
      <c r="C150" s="49">
        <f>C149/744</f>
        <v>0</v>
      </c>
      <c r="D150" s="47">
        <f>D149/720</f>
        <v>0</v>
      </c>
      <c r="E150" s="49">
        <f t="shared" ref="E150:N150" si="78">E149/744</f>
        <v>0</v>
      </c>
      <c r="F150" s="49">
        <f>F149/720</f>
        <v>0</v>
      </c>
      <c r="G150" s="49">
        <f t="shared" si="78"/>
        <v>0</v>
      </c>
      <c r="H150" s="47">
        <f>H149/744</f>
        <v>0</v>
      </c>
      <c r="I150" s="47">
        <f>I149/672</f>
        <v>0</v>
      </c>
      <c r="J150" s="49">
        <f t="shared" si="78"/>
        <v>0</v>
      </c>
      <c r="K150" s="49">
        <f>K149/720</f>
        <v>0</v>
      </c>
      <c r="L150" s="49">
        <f t="shared" si="78"/>
        <v>0</v>
      </c>
      <c r="M150" s="49">
        <f>M149/720</f>
        <v>0</v>
      </c>
      <c r="N150" s="49">
        <f t="shared" si="78"/>
        <v>0</v>
      </c>
      <c r="O150" s="49">
        <f>O149/8760</f>
        <v>0</v>
      </c>
      <c r="P150" s="49"/>
      <c r="Q150" s="49"/>
    </row>
    <row r="151" spans="1:23" hidden="1" x14ac:dyDescent="0.2">
      <c r="A151" s="14" t="s">
        <v>756</v>
      </c>
      <c r="C151" s="66">
        <v>0</v>
      </c>
      <c r="D151" s="66">
        <v>0</v>
      </c>
      <c r="E151" s="66">
        <v>0</v>
      </c>
      <c r="F151" s="66">
        <v>0.25</v>
      </c>
      <c r="G151" s="66">
        <v>0.25</v>
      </c>
      <c r="H151" s="66">
        <v>0.25</v>
      </c>
      <c r="I151" s="66">
        <v>0.25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/>
      <c r="Q151" s="35"/>
    </row>
    <row r="152" spans="1:23" hidden="1" x14ac:dyDescent="0.2">
      <c r="A152" s="14" t="s">
        <v>757</v>
      </c>
      <c r="C152" s="49"/>
      <c r="D152" s="49"/>
      <c r="E152" s="49"/>
      <c r="F152" s="49">
        <v>0</v>
      </c>
      <c r="G152" s="49">
        <v>0</v>
      </c>
      <c r="H152" s="49">
        <v>0</v>
      </c>
      <c r="I152" s="49">
        <v>0</v>
      </c>
      <c r="J152" s="49">
        <v>0</v>
      </c>
      <c r="K152" s="49"/>
      <c r="L152" s="49"/>
      <c r="M152" s="49"/>
      <c r="N152" s="49"/>
      <c r="O152" s="49">
        <f>SUM(C152:N152)</f>
        <v>0</v>
      </c>
      <c r="Q152" s="35">
        <f>MAX(C152:N152)</f>
        <v>0</v>
      </c>
    </row>
    <row r="153" spans="1:23" hidden="1" x14ac:dyDescent="0.2">
      <c r="A153" s="14" t="s">
        <v>681</v>
      </c>
      <c r="C153" s="66">
        <v>1</v>
      </c>
      <c r="D153" s="66">
        <v>1</v>
      </c>
      <c r="E153" s="66">
        <v>1</v>
      </c>
      <c r="F153" s="66">
        <v>0</v>
      </c>
      <c r="G153" s="66">
        <v>0</v>
      </c>
      <c r="H153" s="66">
        <v>0</v>
      </c>
      <c r="I153" s="66">
        <v>0</v>
      </c>
      <c r="J153" s="66">
        <v>0</v>
      </c>
      <c r="K153" s="66">
        <v>0</v>
      </c>
      <c r="L153" s="66">
        <v>1</v>
      </c>
      <c r="M153" s="66">
        <v>1</v>
      </c>
      <c r="N153" s="66">
        <v>1</v>
      </c>
      <c r="O153" s="66"/>
      <c r="P153" s="49"/>
      <c r="Q153" s="35"/>
    </row>
    <row r="154" spans="1:23" hidden="1" x14ac:dyDescent="0.2">
      <c r="A154" s="14" t="s">
        <v>682</v>
      </c>
      <c r="C154" s="49">
        <f t="shared" ref="C154:N154" si="79">C152*C153</f>
        <v>0</v>
      </c>
      <c r="D154" s="49">
        <f t="shared" si="79"/>
        <v>0</v>
      </c>
      <c r="E154" s="49">
        <f t="shared" si="79"/>
        <v>0</v>
      </c>
      <c r="F154" s="49">
        <f t="shared" si="79"/>
        <v>0</v>
      </c>
      <c r="G154" s="49">
        <f t="shared" si="79"/>
        <v>0</v>
      </c>
      <c r="H154" s="49">
        <f t="shared" si="79"/>
        <v>0</v>
      </c>
      <c r="I154" s="49">
        <f t="shared" si="79"/>
        <v>0</v>
      </c>
      <c r="J154" s="49">
        <f t="shared" si="79"/>
        <v>0</v>
      </c>
      <c r="K154" s="49">
        <f t="shared" si="79"/>
        <v>0</v>
      </c>
      <c r="L154" s="49">
        <f t="shared" si="79"/>
        <v>0</v>
      </c>
      <c r="M154" s="49">
        <f t="shared" si="79"/>
        <v>0</v>
      </c>
      <c r="N154" s="49">
        <f t="shared" si="79"/>
        <v>0</v>
      </c>
      <c r="O154" s="49">
        <f>SUM(C154:N154)</f>
        <v>0</v>
      </c>
      <c r="P154" s="49"/>
      <c r="Q154" s="35"/>
      <c r="R154" s="35">
        <f>O154</f>
        <v>0</v>
      </c>
      <c r="S154" s="35">
        <f>H154+I154+J154</f>
        <v>0</v>
      </c>
      <c r="T154" s="35">
        <f>R154-S154</f>
        <v>0</v>
      </c>
    </row>
    <row r="155" spans="1:23" hidden="1" x14ac:dyDescent="0.2">
      <c r="A155" s="14" t="s">
        <v>758</v>
      </c>
      <c r="C155" s="66">
        <v>0.65</v>
      </c>
      <c r="D155" s="66">
        <v>0.65</v>
      </c>
      <c r="E155" s="66">
        <v>0.65</v>
      </c>
      <c r="F155" s="66">
        <v>0.65</v>
      </c>
      <c r="G155" s="66">
        <v>0.65</v>
      </c>
      <c r="H155" s="66">
        <v>0.65</v>
      </c>
      <c r="I155" s="66">
        <v>0.65</v>
      </c>
      <c r="J155" s="66">
        <v>0.65</v>
      </c>
      <c r="K155" s="66">
        <v>0.65</v>
      </c>
      <c r="L155" s="66">
        <v>0.65</v>
      </c>
      <c r="M155" s="66">
        <v>0.65</v>
      </c>
      <c r="N155" s="66">
        <v>0.65</v>
      </c>
      <c r="O155" s="66"/>
      <c r="P155" s="129"/>
      <c r="Q155" s="129"/>
      <c r="U155" s="118"/>
      <c r="W155" s="118"/>
    </row>
    <row r="156" spans="1:23" hidden="1" x14ac:dyDescent="0.2">
      <c r="A156" s="14" t="s">
        <v>759</v>
      </c>
      <c r="C156" s="49">
        <f>C150/C155</f>
        <v>0</v>
      </c>
      <c r="D156" s="49">
        <f t="shared" ref="D156:N156" si="80">D150/D155</f>
        <v>0</v>
      </c>
      <c r="E156" s="49">
        <f t="shared" si="80"/>
        <v>0</v>
      </c>
      <c r="F156" s="49">
        <f t="shared" si="80"/>
        <v>0</v>
      </c>
      <c r="G156" s="49">
        <f t="shared" si="80"/>
        <v>0</v>
      </c>
      <c r="H156" s="49">
        <f t="shared" si="80"/>
        <v>0</v>
      </c>
      <c r="I156" s="49">
        <f t="shared" si="80"/>
        <v>0</v>
      </c>
      <c r="J156" s="49">
        <f t="shared" si="80"/>
        <v>0</v>
      </c>
      <c r="K156" s="49">
        <f t="shared" si="80"/>
        <v>0</v>
      </c>
      <c r="L156" s="49">
        <f t="shared" si="80"/>
        <v>0</v>
      </c>
      <c r="M156" s="49">
        <f t="shared" si="80"/>
        <v>0</v>
      </c>
      <c r="N156" s="49">
        <f t="shared" si="80"/>
        <v>0</v>
      </c>
      <c r="O156" s="49">
        <f>SUM(C156:N156)</f>
        <v>0</v>
      </c>
      <c r="P156" s="49">
        <f>MAX(C156:N156)</f>
        <v>0</v>
      </c>
      <c r="Q156" s="49"/>
    </row>
    <row r="157" spans="1:23" hidden="1" x14ac:dyDescent="0.2"/>
    <row r="158" spans="1:23" hidden="1" x14ac:dyDescent="0.2">
      <c r="A158" s="15">
        <f>A20</f>
        <v>0</v>
      </c>
      <c r="B158" s="16">
        <f>B20</f>
        <v>0</v>
      </c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35"/>
    </row>
    <row r="159" spans="1:23" hidden="1" x14ac:dyDescent="0.2">
      <c r="A159" s="14" t="s">
        <v>679</v>
      </c>
      <c r="C159" s="49">
        <v>0</v>
      </c>
      <c r="D159" s="49">
        <v>0</v>
      </c>
      <c r="E159" s="49">
        <v>0</v>
      </c>
      <c r="F159" s="49">
        <v>0</v>
      </c>
      <c r="G159" s="49">
        <v>0</v>
      </c>
      <c r="H159" s="49">
        <v>0</v>
      </c>
      <c r="I159" s="49">
        <v>0</v>
      </c>
      <c r="J159" s="49">
        <v>0</v>
      </c>
      <c r="K159" s="49">
        <v>0</v>
      </c>
      <c r="L159" s="49">
        <v>0</v>
      </c>
      <c r="M159" s="49">
        <v>0</v>
      </c>
      <c r="N159" s="49">
        <v>0</v>
      </c>
      <c r="O159" s="49">
        <f>SUM(C159:N159)</f>
        <v>0</v>
      </c>
      <c r="P159" s="129"/>
      <c r="Q159" s="129"/>
      <c r="U159" s="118"/>
      <c r="W159" s="118"/>
    </row>
    <row r="160" spans="1:23" hidden="1" x14ac:dyDescent="0.2">
      <c r="A160" s="14" t="s">
        <v>680</v>
      </c>
      <c r="C160" s="49">
        <f>C159/744</f>
        <v>0</v>
      </c>
      <c r="D160" s="47">
        <f>D159/720</f>
        <v>0</v>
      </c>
      <c r="E160" s="49">
        <f t="shared" ref="E160:N160" si="81">E159/744</f>
        <v>0</v>
      </c>
      <c r="F160" s="49">
        <f>F159/720</f>
        <v>0</v>
      </c>
      <c r="G160" s="49">
        <f t="shared" si="81"/>
        <v>0</v>
      </c>
      <c r="H160" s="47">
        <f>H159/744</f>
        <v>0</v>
      </c>
      <c r="I160" s="47">
        <f>I159/672</f>
        <v>0</v>
      </c>
      <c r="J160" s="49">
        <f t="shared" si="81"/>
        <v>0</v>
      </c>
      <c r="K160" s="49">
        <f>K159/720</f>
        <v>0</v>
      </c>
      <c r="L160" s="49">
        <f t="shared" si="81"/>
        <v>0</v>
      </c>
      <c r="M160" s="49">
        <f>M159/720</f>
        <v>0</v>
      </c>
      <c r="N160" s="49">
        <f t="shared" si="81"/>
        <v>0</v>
      </c>
      <c r="O160" s="49">
        <f>O159/8760</f>
        <v>0</v>
      </c>
      <c r="P160" s="49"/>
      <c r="Q160" s="49"/>
    </row>
    <row r="161" spans="1:23" hidden="1" x14ac:dyDescent="0.2">
      <c r="A161" s="14" t="s">
        <v>756</v>
      </c>
      <c r="C161" s="66">
        <v>0</v>
      </c>
      <c r="D161" s="66">
        <v>0</v>
      </c>
      <c r="E161" s="66">
        <v>0</v>
      </c>
      <c r="F161" s="66">
        <v>0.25</v>
      </c>
      <c r="G161" s="66">
        <v>0.25</v>
      </c>
      <c r="H161" s="66">
        <v>0.25</v>
      </c>
      <c r="I161" s="66">
        <v>0.25</v>
      </c>
      <c r="J161" s="66">
        <v>0</v>
      </c>
      <c r="K161" s="66">
        <v>0</v>
      </c>
      <c r="L161" s="66">
        <v>0</v>
      </c>
      <c r="M161" s="66">
        <v>0</v>
      </c>
      <c r="N161" s="66">
        <v>0</v>
      </c>
      <c r="O161" s="66"/>
      <c r="Q161" s="35"/>
    </row>
    <row r="162" spans="1:23" hidden="1" x14ac:dyDescent="0.2">
      <c r="A162" s="14" t="s">
        <v>757</v>
      </c>
      <c r="C162" s="49"/>
      <c r="D162" s="49"/>
      <c r="E162" s="49"/>
      <c r="F162" s="49">
        <v>0</v>
      </c>
      <c r="G162" s="49">
        <v>0</v>
      </c>
      <c r="H162" s="49">
        <v>0</v>
      </c>
      <c r="I162" s="49">
        <v>0</v>
      </c>
      <c r="J162" s="49">
        <v>0</v>
      </c>
      <c r="K162" s="49"/>
      <c r="L162" s="49"/>
      <c r="M162" s="49"/>
      <c r="N162" s="49"/>
      <c r="O162" s="49">
        <f>SUM(C162:N162)</f>
        <v>0</v>
      </c>
      <c r="Q162" s="35">
        <f>MAX(C162:N162)</f>
        <v>0</v>
      </c>
    </row>
    <row r="163" spans="1:23" hidden="1" x14ac:dyDescent="0.2">
      <c r="A163" s="14" t="s">
        <v>681</v>
      </c>
      <c r="C163" s="66">
        <v>1</v>
      </c>
      <c r="D163" s="66">
        <v>1</v>
      </c>
      <c r="E163" s="66">
        <v>1</v>
      </c>
      <c r="F163" s="66">
        <v>0</v>
      </c>
      <c r="G163" s="66">
        <v>0</v>
      </c>
      <c r="H163" s="66">
        <v>0</v>
      </c>
      <c r="I163" s="66">
        <v>0</v>
      </c>
      <c r="J163" s="66">
        <v>0</v>
      </c>
      <c r="K163" s="66">
        <v>0</v>
      </c>
      <c r="L163" s="66">
        <v>1</v>
      </c>
      <c r="M163" s="66">
        <v>1</v>
      </c>
      <c r="N163" s="66">
        <v>1</v>
      </c>
      <c r="O163" s="66"/>
      <c r="P163" s="49"/>
      <c r="Q163" s="35"/>
    </row>
    <row r="164" spans="1:23" hidden="1" x14ac:dyDescent="0.2">
      <c r="A164" s="14" t="s">
        <v>682</v>
      </c>
      <c r="C164" s="49">
        <f t="shared" ref="C164:N164" si="82">C162*C163</f>
        <v>0</v>
      </c>
      <c r="D164" s="49">
        <f t="shared" si="82"/>
        <v>0</v>
      </c>
      <c r="E164" s="49">
        <f t="shared" si="82"/>
        <v>0</v>
      </c>
      <c r="F164" s="49">
        <f t="shared" si="82"/>
        <v>0</v>
      </c>
      <c r="G164" s="49">
        <f t="shared" si="82"/>
        <v>0</v>
      </c>
      <c r="H164" s="49">
        <f t="shared" si="82"/>
        <v>0</v>
      </c>
      <c r="I164" s="49">
        <f t="shared" si="82"/>
        <v>0</v>
      </c>
      <c r="J164" s="49">
        <f t="shared" si="82"/>
        <v>0</v>
      </c>
      <c r="K164" s="49">
        <f t="shared" si="82"/>
        <v>0</v>
      </c>
      <c r="L164" s="49">
        <f t="shared" si="82"/>
        <v>0</v>
      </c>
      <c r="M164" s="49">
        <f t="shared" si="82"/>
        <v>0</v>
      </c>
      <c r="N164" s="49">
        <f t="shared" si="82"/>
        <v>0</v>
      </c>
      <c r="O164" s="49">
        <f>SUM(C164:N164)</f>
        <v>0</v>
      </c>
      <c r="P164" s="49"/>
      <c r="Q164" s="35"/>
      <c r="R164" s="35">
        <f>O164</f>
        <v>0</v>
      </c>
      <c r="S164" s="35">
        <f>H164+I164+J164</f>
        <v>0</v>
      </c>
      <c r="T164" s="35">
        <f>R164-S164</f>
        <v>0</v>
      </c>
    </row>
    <row r="165" spans="1:23" hidden="1" x14ac:dyDescent="0.2">
      <c r="A165" s="14" t="s">
        <v>758</v>
      </c>
      <c r="C165" s="66">
        <v>0.65</v>
      </c>
      <c r="D165" s="66">
        <v>0.65</v>
      </c>
      <c r="E165" s="66">
        <v>0.65</v>
      </c>
      <c r="F165" s="66">
        <v>0.65</v>
      </c>
      <c r="G165" s="66">
        <v>0.65</v>
      </c>
      <c r="H165" s="66">
        <v>0.65</v>
      </c>
      <c r="I165" s="66">
        <v>0.65</v>
      </c>
      <c r="J165" s="66">
        <v>0.65</v>
      </c>
      <c r="K165" s="66">
        <v>0.65</v>
      </c>
      <c r="L165" s="66">
        <v>0.65</v>
      </c>
      <c r="M165" s="66">
        <v>0.65</v>
      </c>
      <c r="N165" s="66">
        <v>0.65</v>
      </c>
      <c r="O165" s="66"/>
      <c r="P165" s="129"/>
      <c r="Q165" s="129"/>
      <c r="U165" s="118"/>
      <c r="W165" s="118"/>
    </row>
    <row r="166" spans="1:23" hidden="1" x14ac:dyDescent="0.2">
      <c r="A166" s="14" t="s">
        <v>759</v>
      </c>
      <c r="C166" s="49">
        <f>C160/C165</f>
        <v>0</v>
      </c>
      <c r="D166" s="49">
        <f t="shared" ref="D166:N166" si="83">D160/D165</f>
        <v>0</v>
      </c>
      <c r="E166" s="49">
        <f t="shared" si="83"/>
        <v>0</v>
      </c>
      <c r="F166" s="49">
        <f t="shared" si="83"/>
        <v>0</v>
      </c>
      <c r="G166" s="49">
        <f t="shared" si="83"/>
        <v>0</v>
      </c>
      <c r="H166" s="49">
        <f t="shared" si="83"/>
        <v>0</v>
      </c>
      <c r="I166" s="49">
        <f t="shared" si="83"/>
        <v>0</v>
      </c>
      <c r="J166" s="49">
        <f t="shared" si="83"/>
        <v>0</v>
      </c>
      <c r="K166" s="49">
        <f t="shared" si="83"/>
        <v>0</v>
      </c>
      <c r="L166" s="49">
        <f t="shared" si="83"/>
        <v>0</v>
      </c>
      <c r="M166" s="49">
        <f t="shared" si="83"/>
        <v>0</v>
      </c>
      <c r="N166" s="49">
        <f t="shared" si="83"/>
        <v>0</v>
      </c>
      <c r="O166" s="49">
        <f>SUM(C166:N166)</f>
        <v>0</v>
      </c>
      <c r="P166" s="49">
        <f>MAX(C166:N166)</f>
        <v>0</v>
      </c>
      <c r="Q166" s="49"/>
    </row>
    <row r="167" spans="1:23" ht="15.75" hidden="1" customHeight="1" x14ac:dyDescent="0.2"/>
    <row r="168" spans="1:23" hidden="1" x14ac:dyDescent="0.2">
      <c r="A168" s="15">
        <f>A21</f>
        <v>0</v>
      </c>
      <c r="B168" s="16">
        <f>B21</f>
        <v>0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35"/>
    </row>
    <row r="169" spans="1:23" hidden="1" x14ac:dyDescent="0.2">
      <c r="A169" s="14" t="s">
        <v>679</v>
      </c>
      <c r="C169" s="49">
        <v>0</v>
      </c>
      <c r="D169" s="49">
        <v>0</v>
      </c>
      <c r="E169" s="49">
        <v>0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  <c r="O169" s="49">
        <f>SUM(C169:N169)</f>
        <v>0</v>
      </c>
      <c r="P169" s="129"/>
      <c r="Q169" s="129"/>
      <c r="U169" s="118"/>
      <c r="W169" s="118"/>
    </row>
    <row r="170" spans="1:23" hidden="1" x14ac:dyDescent="0.2">
      <c r="A170" s="14" t="s">
        <v>680</v>
      </c>
      <c r="C170" s="49">
        <f>C169/744</f>
        <v>0</v>
      </c>
      <c r="D170" s="47">
        <f>D169/720</f>
        <v>0</v>
      </c>
      <c r="E170" s="49">
        <f t="shared" ref="E170:N170" si="84">E169/744</f>
        <v>0</v>
      </c>
      <c r="F170" s="49">
        <f>F169/720</f>
        <v>0</v>
      </c>
      <c r="G170" s="49">
        <f t="shared" si="84"/>
        <v>0</v>
      </c>
      <c r="H170" s="47">
        <f>H169/744</f>
        <v>0</v>
      </c>
      <c r="I170" s="47">
        <f>I169/672</f>
        <v>0</v>
      </c>
      <c r="J170" s="49">
        <f t="shared" si="84"/>
        <v>0</v>
      </c>
      <c r="K170" s="49">
        <f>K169/720</f>
        <v>0</v>
      </c>
      <c r="L170" s="49">
        <f t="shared" si="84"/>
        <v>0</v>
      </c>
      <c r="M170" s="49">
        <f>M169/720</f>
        <v>0</v>
      </c>
      <c r="N170" s="49">
        <f t="shared" si="84"/>
        <v>0</v>
      </c>
      <c r="O170" s="49">
        <f>O169/8760</f>
        <v>0</v>
      </c>
      <c r="P170" s="49"/>
      <c r="Q170" s="49"/>
    </row>
    <row r="171" spans="1:23" hidden="1" x14ac:dyDescent="0.2">
      <c r="A171" s="14" t="s">
        <v>756</v>
      </c>
      <c r="C171" s="66">
        <v>0</v>
      </c>
      <c r="D171" s="66">
        <v>0</v>
      </c>
      <c r="E171" s="66">
        <v>0</v>
      </c>
      <c r="F171" s="66">
        <v>0.25</v>
      </c>
      <c r="G171" s="66">
        <v>0.25</v>
      </c>
      <c r="H171" s="66">
        <v>0.25</v>
      </c>
      <c r="I171" s="66">
        <v>0.25</v>
      </c>
      <c r="J171" s="66">
        <v>0</v>
      </c>
      <c r="K171" s="66">
        <v>0</v>
      </c>
      <c r="L171" s="66">
        <v>0</v>
      </c>
      <c r="M171" s="66">
        <v>0</v>
      </c>
      <c r="N171" s="66">
        <v>0</v>
      </c>
      <c r="O171" s="66"/>
      <c r="Q171" s="35"/>
    </row>
    <row r="172" spans="1:23" hidden="1" x14ac:dyDescent="0.2">
      <c r="A172" s="14" t="s">
        <v>757</v>
      </c>
      <c r="C172" s="49"/>
      <c r="D172" s="49"/>
      <c r="E172" s="49"/>
      <c r="F172" s="49">
        <v>0</v>
      </c>
      <c r="G172" s="49">
        <v>0</v>
      </c>
      <c r="H172" s="49">
        <v>0</v>
      </c>
      <c r="I172" s="49">
        <v>0</v>
      </c>
      <c r="J172" s="49">
        <v>0</v>
      </c>
      <c r="K172" s="49"/>
      <c r="L172" s="49"/>
      <c r="M172" s="49"/>
      <c r="N172" s="49"/>
      <c r="O172" s="49">
        <f>SUM(C172:N172)</f>
        <v>0</v>
      </c>
      <c r="Q172" s="35">
        <f>MAX(C172:N172)</f>
        <v>0</v>
      </c>
    </row>
    <row r="173" spans="1:23" hidden="1" x14ac:dyDescent="0.2">
      <c r="A173" s="14" t="s">
        <v>681</v>
      </c>
      <c r="C173" s="66">
        <v>1</v>
      </c>
      <c r="D173" s="66">
        <v>1</v>
      </c>
      <c r="E173" s="66">
        <v>1</v>
      </c>
      <c r="F173" s="66">
        <v>0</v>
      </c>
      <c r="G173" s="66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1</v>
      </c>
      <c r="M173" s="66">
        <v>1</v>
      </c>
      <c r="N173" s="66">
        <v>1</v>
      </c>
      <c r="O173" s="66"/>
      <c r="P173" s="49"/>
      <c r="Q173" s="35"/>
    </row>
    <row r="174" spans="1:23" hidden="1" x14ac:dyDescent="0.2">
      <c r="A174" s="14" t="s">
        <v>682</v>
      </c>
      <c r="C174" s="49">
        <f t="shared" ref="C174:N174" si="85">C172*C173</f>
        <v>0</v>
      </c>
      <c r="D174" s="49">
        <f t="shared" si="85"/>
        <v>0</v>
      </c>
      <c r="E174" s="49">
        <f t="shared" si="85"/>
        <v>0</v>
      </c>
      <c r="F174" s="49">
        <f t="shared" si="85"/>
        <v>0</v>
      </c>
      <c r="G174" s="49">
        <f t="shared" si="85"/>
        <v>0</v>
      </c>
      <c r="H174" s="49">
        <f t="shared" si="85"/>
        <v>0</v>
      </c>
      <c r="I174" s="49">
        <f t="shared" si="85"/>
        <v>0</v>
      </c>
      <c r="J174" s="49">
        <f t="shared" si="85"/>
        <v>0</v>
      </c>
      <c r="K174" s="49">
        <f t="shared" si="85"/>
        <v>0</v>
      </c>
      <c r="L174" s="49">
        <f t="shared" si="85"/>
        <v>0</v>
      </c>
      <c r="M174" s="49">
        <f t="shared" si="85"/>
        <v>0</v>
      </c>
      <c r="N174" s="49">
        <f t="shared" si="85"/>
        <v>0</v>
      </c>
      <c r="O174" s="49">
        <f>SUM(C174:N174)</f>
        <v>0</v>
      </c>
      <c r="P174" s="49"/>
      <c r="Q174" s="35"/>
      <c r="R174" s="35">
        <f>O174</f>
        <v>0</v>
      </c>
      <c r="S174" s="35">
        <f>H174+I174+J174</f>
        <v>0</v>
      </c>
      <c r="T174" s="35">
        <f>R174-S174</f>
        <v>0</v>
      </c>
    </row>
    <row r="175" spans="1:23" hidden="1" x14ac:dyDescent="0.2">
      <c r="A175" s="14" t="s">
        <v>758</v>
      </c>
      <c r="C175" s="66">
        <v>0.65</v>
      </c>
      <c r="D175" s="66">
        <v>0.65</v>
      </c>
      <c r="E175" s="66">
        <v>0.65</v>
      </c>
      <c r="F175" s="66">
        <v>0.65</v>
      </c>
      <c r="G175" s="66">
        <v>0.65</v>
      </c>
      <c r="H175" s="66">
        <v>0.65</v>
      </c>
      <c r="I175" s="66">
        <v>0.65</v>
      </c>
      <c r="J175" s="66">
        <v>0.65</v>
      </c>
      <c r="K175" s="66">
        <v>0.65</v>
      </c>
      <c r="L175" s="66">
        <v>0.65</v>
      </c>
      <c r="M175" s="66">
        <v>0.65</v>
      </c>
      <c r="N175" s="66">
        <v>0.65</v>
      </c>
      <c r="O175" s="66"/>
      <c r="P175" s="129"/>
      <c r="Q175" s="129"/>
      <c r="U175" s="118"/>
      <c r="W175" s="118"/>
    </row>
    <row r="176" spans="1:23" hidden="1" x14ac:dyDescent="0.2">
      <c r="A176" s="14" t="s">
        <v>759</v>
      </c>
      <c r="C176" s="49">
        <f>C170/C175</f>
        <v>0</v>
      </c>
      <c r="D176" s="49">
        <f t="shared" ref="D176:N176" si="86">D170/D175</f>
        <v>0</v>
      </c>
      <c r="E176" s="49">
        <f t="shared" si="86"/>
        <v>0</v>
      </c>
      <c r="F176" s="49">
        <f t="shared" si="86"/>
        <v>0</v>
      </c>
      <c r="G176" s="49">
        <f t="shared" si="86"/>
        <v>0</v>
      </c>
      <c r="H176" s="49">
        <f t="shared" si="86"/>
        <v>0</v>
      </c>
      <c r="I176" s="49">
        <f t="shared" si="86"/>
        <v>0</v>
      </c>
      <c r="J176" s="49">
        <f t="shared" si="86"/>
        <v>0</v>
      </c>
      <c r="K176" s="49">
        <f t="shared" si="86"/>
        <v>0</v>
      </c>
      <c r="L176" s="49">
        <f t="shared" si="86"/>
        <v>0</v>
      </c>
      <c r="M176" s="49">
        <f t="shared" si="86"/>
        <v>0</v>
      </c>
      <c r="N176" s="49">
        <f t="shared" si="86"/>
        <v>0</v>
      </c>
      <c r="O176" s="49">
        <f>SUM(C176:N176)</f>
        <v>0</v>
      </c>
      <c r="P176" s="49">
        <f>MAX(C176:N176)</f>
        <v>0</v>
      </c>
      <c r="Q176" s="49"/>
    </row>
    <row r="177" spans="1:23" hidden="1" x14ac:dyDescent="0.2"/>
    <row r="178" spans="1:23" hidden="1" x14ac:dyDescent="0.2">
      <c r="A178" s="15">
        <f>A22</f>
        <v>0</v>
      </c>
      <c r="B178" s="16">
        <f>B22</f>
        <v>0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35"/>
    </row>
    <row r="179" spans="1:23" hidden="1" x14ac:dyDescent="0.2">
      <c r="A179" s="14" t="s">
        <v>679</v>
      </c>
      <c r="C179" s="49">
        <v>0</v>
      </c>
      <c r="D179" s="49">
        <v>0</v>
      </c>
      <c r="E179" s="49">
        <v>0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49">
        <v>0</v>
      </c>
      <c r="M179" s="49">
        <v>0</v>
      </c>
      <c r="N179" s="49">
        <v>0</v>
      </c>
      <c r="O179" s="49">
        <f>SUM(C179:N179)</f>
        <v>0</v>
      </c>
      <c r="P179" s="129"/>
      <c r="Q179" s="129"/>
      <c r="U179" s="118"/>
      <c r="W179" s="118"/>
    </row>
    <row r="180" spans="1:23" hidden="1" x14ac:dyDescent="0.2">
      <c r="A180" s="14" t="s">
        <v>680</v>
      </c>
      <c r="C180" s="49">
        <f>C179/744</f>
        <v>0</v>
      </c>
      <c r="D180" s="47">
        <f>D179/720</f>
        <v>0</v>
      </c>
      <c r="E180" s="49">
        <f t="shared" ref="E180:N180" si="87">E179/744</f>
        <v>0</v>
      </c>
      <c r="F180" s="49">
        <f>F179/720</f>
        <v>0</v>
      </c>
      <c r="G180" s="49">
        <f t="shared" si="87"/>
        <v>0</v>
      </c>
      <c r="H180" s="47">
        <f>H179/744</f>
        <v>0</v>
      </c>
      <c r="I180" s="47">
        <f>I179/672</f>
        <v>0</v>
      </c>
      <c r="J180" s="49">
        <f t="shared" si="87"/>
        <v>0</v>
      </c>
      <c r="K180" s="49">
        <f>K179/720</f>
        <v>0</v>
      </c>
      <c r="L180" s="49">
        <f t="shared" si="87"/>
        <v>0</v>
      </c>
      <c r="M180" s="49">
        <f>M179/720</f>
        <v>0</v>
      </c>
      <c r="N180" s="49">
        <f t="shared" si="87"/>
        <v>0</v>
      </c>
      <c r="O180" s="49">
        <f>O179/8760</f>
        <v>0</v>
      </c>
      <c r="P180" s="49"/>
      <c r="Q180" s="49"/>
    </row>
    <row r="181" spans="1:23" hidden="1" x14ac:dyDescent="0.2">
      <c r="A181" s="14" t="s">
        <v>756</v>
      </c>
      <c r="C181" s="66">
        <v>0</v>
      </c>
      <c r="D181" s="66">
        <v>0</v>
      </c>
      <c r="E181" s="66">
        <v>0</v>
      </c>
      <c r="F181" s="66">
        <v>0.25</v>
      </c>
      <c r="G181" s="66">
        <v>0.25</v>
      </c>
      <c r="H181" s="66">
        <v>0.25</v>
      </c>
      <c r="I181" s="66">
        <v>0.25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/>
      <c r="Q181" s="35"/>
    </row>
    <row r="182" spans="1:23" hidden="1" x14ac:dyDescent="0.2">
      <c r="A182" s="14" t="s">
        <v>757</v>
      </c>
      <c r="C182" s="49"/>
      <c r="D182" s="49"/>
      <c r="E182" s="49"/>
      <c r="F182" s="49">
        <v>0</v>
      </c>
      <c r="G182" s="49">
        <v>0</v>
      </c>
      <c r="H182" s="49">
        <v>0</v>
      </c>
      <c r="I182" s="49">
        <v>0</v>
      </c>
      <c r="J182" s="49">
        <v>0</v>
      </c>
      <c r="K182" s="49"/>
      <c r="L182" s="49"/>
      <c r="M182" s="49"/>
      <c r="N182" s="49"/>
      <c r="O182" s="49">
        <f>SUM(C182:N182)</f>
        <v>0</v>
      </c>
      <c r="Q182" s="35">
        <f>MAX(C182:N182)</f>
        <v>0</v>
      </c>
    </row>
    <row r="183" spans="1:23" hidden="1" x14ac:dyDescent="0.2">
      <c r="A183" s="14" t="s">
        <v>681</v>
      </c>
      <c r="C183" s="66">
        <v>1</v>
      </c>
      <c r="D183" s="66">
        <v>1</v>
      </c>
      <c r="E183" s="66">
        <v>1</v>
      </c>
      <c r="F183" s="66">
        <v>0</v>
      </c>
      <c r="G183" s="66">
        <v>0</v>
      </c>
      <c r="H183" s="66">
        <v>0</v>
      </c>
      <c r="I183" s="66">
        <v>0</v>
      </c>
      <c r="J183" s="66">
        <v>0</v>
      </c>
      <c r="K183" s="66">
        <v>0</v>
      </c>
      <c r="L183" s="66">
        <v>1</v>
      </c>
      <c r="M183" s="66">
        <v>1</v>
      </c>
      <c r="N183" s="66">
        <v>1</v>
      </c>
      <c r="O183" s="66"/>
      <c r="P183" s="49"/>
      <c r="Q183" s="35"/>
    </row>
    <row r="184" spans="1:23" hidden="1" x14ac:dyDescent="0.2">
      <c r="A184" s="14" t="s">
        <v>682</v>
      </c>
      <c r="C184" s="49">
        <f t="shared" ref="C184:N184" si="88">C182*C183</f>
        <v>0</v>
      </c>
      <c r="D184" s="49">
        <f t="shared" si="88"/>
        <v>0</v>
      </c>
      <c r="E184" s="49">
        <f t="shared" si="88"/>
        <v>0</v>
      </c>
      <c r="F184" s="49">
        <f t="shared" si="88"/>
        <v>0</v>
      </c>
      <c r="G184" s="49">
        <f t="shared" si="88"/>
        <v>0</v>
      </c>
      <c r="H184" s="49">
        <f t="shared" si="88"/>
        <v>0</v>
      </c>
      <c r="I184" s="49">
        <f t="shared" si="88"/>
        <v>0</v>
      </c>
      <c r="J184" s="49">
        <f t="shared" si="88"/>
        <v>0</v>
      </c>
      <c r="K184" s="49">
        <f t="shared" si="88"/>
        <v>0</v>
      </c>
      <c r="L184" s="49">
        <f t="shared" si="88"/>
        <v>0</v>
      </c>
      <c r="M184" s="49">
        <f t="shared" si="88"/>
        <v>0</v>
      </c>
      <c r="N184" s="49">
        <f t="shared" si="88"/>
        <v>0</v>
      </c>
      <c r="O184" s="49">
        <f>SUM(C184:N184)</f>
        <v>0</v>
      </c>
      <c r="P184" s="49"/>
      <c r="Q184" s="35"/>
      <c r="R184" s="35">
        <f>O184</f>
        <v>0</v>
      </c>
      <c r="S184" s="35">
        <f>H184+I184+J184</f>
        <v>0</v>
      </c>
      <c r="T184" s="35">
        <f>R184-S184</f>
        <v>0</v>
      </c>
    </row>
    <row r="185" spans="1:23" hidden="1" x14ac:dyDescent="0.2">
      <c r="A185" s="14" t="s">
        <v>758</v>
      </c>
      <c r="C185" s="66">
        <v>0.65</v>
      </c>
      <c r="D185" s="66">
        <v>0.65</v>
      </c>
      <c r="E185" s="66">
        <v>0.65</v>
      </c>
      <c r="F185" s="66">
        <v>0.65</v>
      </c>
      <c r="G185" s="66">
        <v>0.65</v>
      </c>
      <c r="H185" s="66">
        <v>0.65</v>
      </c>
      <c r="I185" s="66">
        <v>0.65</v>
      </c>
      <c r="J185" s="66">
        <v>0.65</v>
      </c>
      <c r="K185" s="66">
        <v>0.65</v>
      </c>
      <c r="L185" s="66">
        <v>0.65</v>
      </c>
      <c r="M185" s="66">
        <v>0.65</v>
      </c>
      <c r="N185" s="66">
        <v>0.65</v>
      </c>
      <c r="O185" s="66"/>
      <c r="P185" s="129"/>
      <c r="Q185" s="129"/>
      <c r="U185" s="118"/>
      <c r="W185" s="118"/>
    </row>
    <row r="186" spans="1:23" hidden="1" x14ac:dyDescent="0.2">
      <c r="A186" s="14" t="s">
        <v>759</v>
      </c>
      <c r="C186" s="49">
        <f>C180/C185</f>
        <v>0</v>
      </c>
      <c r="D186" s="49">
        <f t="shared" ref="D186:N186" si="89">D180/D185</f>
        <v>0</v>
      </c>
      <c r="E186" s="49">
        <f t="shared" si="89"/>
        <v>0</v>
      </c>
      <c r="F186" s="49">
        <f t="shared" si="89"/>
        <v>0</v>
      </c>
      <c r="G186" s="49">
        <f t="shared" si="89"/>
        <v>0</v>
      </c>
      <c r="H186" s="49">
        <f t="shared" si="89"/>
        <v>0</v>
      </c>
      <c r="I186" s="49">
        <f t="shared" si="89"/>
        <v>0</v>
      </c>
      <c r="J186" s="49">
        <f t="shared" si="89"/>
        <v>0</v>
      </c>
      <c r="K186" s="49">
        <f t="shared" si="89"/>
        <v>0</v>
      </c>
      <c r="L186" s="49">
        <f t="shared" si="89"/>
        <v>0</v>
      </c>
      <c r="M186" s="49">
        <f t="shared" si="89"/>
        <v>0</v>
      </c>
      <c r="N186" s="49">
        <f t="shared" si="89"/>
        <v>0</v>
      </c>
      <c r="O186" s="49">
        <f>SUM(C186:N186)</f>
        <v>0</v>
      </c>
      <c r="P186" s="49">
        <f>MAX(C186:N186)</f>
        <v>0</v>
      </c>
      <c r="Q186" s="49"/>
    </row>
    <row r="187" spans="1:23" hidden="1" x14ac:dyDescent="0.2"/>
    <row r="188" spans="1:23" hidden="1" x14ac:dyDescent="0.2">
      <c r="A188" s="15">
        <f>A23</f>
        <v>0</v>
      </c>
      <c r="B188" s="16">
        <f>B23</f>
        <v>0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35"/>
    </row>
    <row r="189" spans="1:23" hidden="1" x14ac:dyDescent="0.2">
      <c r="A189" s="14" t="s">
        <v>679</v>
      </c>
      <c r="C189" s="49">
        <v>0</v>
      </c>
      <c r="D189" s="49">
        <v>0</v>
      </c>
      <c r="E189" s="49">
        <v>0</v>
      </c>
      <c r="F189" s="49">
        <v>0</v>
      </c>
      <c r="G189" s="49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49">
        <v>0</v>
      </c>
      <c r="N189" s="49">
        <v>0</v>
      </c>
      <c r="O189" s="49">
        <f>SUM(C189:N189)</f>
        <v>0</v>
      </c>
      <c r="P189" s="129"/>
      <c r="Q189" s="129"/>
      <c r="U189" s="118"/>
      <c r="W189" s="118"/>
    </row>
    <row r="190" spans="1:23" hidden="1" x14ac:dyDescent="0.2">
      <c r="A190" s="14" t="s">
        <v>680</v>
      </c>
      <c r="C190" s="49">
        <f>C189/744</f>
        <v>0</v>
      </c>
      <c r="D190" s="47">
        <f>D189/720</f>
        <v>0</v>
      </c>
      <c r="E190" s="49">
        <f t="shared" ref="E190:N190" si="90">E189/744</f>
        <v>0</v>
      </c>
      <c r="F190" s="49">
        <f>F189/720</f>
        <v>0</v>
      </c>
      <c r="G190" s="49">
        <f t="shared" si="90"/>
        <v>0</v>
      </c>
      <c r="H190" s="47">
        <f>H189/744</f>
        <v>0</v>
      </c>
      <c r="I190" s="47">
        <f>I189/672</f>
        <v>0</v>
      </c>
      <c r="J190" s="49">
        <f t="shared" si="90"/>
        <v>0</v>
      </c>
      <c r="K190" s="49">
        <f>K189/720</f>
        <v>0</v>
      </c>
      <c r="L190" s="49">
        <f t="shared" si="90"/>
        <v>0</v>
      </c>
      <c r="M190" s="49">
        <f>M189/720</f>
        <v>0</v>
      </c>
      <c r="N190" s="49">
        <f t="shared" si="90"/>
        <v>0</v>
      </c>
      <c r="O190" s="49">
        <f>O189/8760</f>
        <v>0</v>
      </c>
      <c r="P190" s="49"/>
      <c r="Q190" s="49"/>
    </row>
    <row r="191" spans="1:23" hidden="1" x14ac:dyDescent="0.2">
      <c r="A191" s="14" t="s">
        <v>756</v>
      </c>
      <c r="C191" s="66">
        <v>0</v>
      </c>
      <c r="D191" s="66">
        <v>0</v>
      </c>
      <c r="E191" s="66">
        <v>0</v>
      </c>
      <c r="F191" s="66">
        <v>0.25</v>
      </c>
      <c r="G191" s="66">
        <v>0.25</v>
      </c>
      <c r="H191" s="66">
        <v>0.25</v>
      </c>
      <c r="I191" s="66">
        <v>0.25</v>
      </c>
      <c r="J191" s="66">
        <v>0</v>
      </c>
      <c r="K191" s="66">
        <v>0</v>
      </c>
      <c r="L191" s="66">
        <v>0</v>
      </c>
      <c r="M191" s="66">
        <v>0</v>
      </c>
      <c r="N191" s="66">
        <v>0</v>
      </c>
      <c r="O191" s="66"/>
      <c r="Q191" s="35"/>
    </row>
    <row r="192" spans="1:23" hidden="1" x14ac:dyDescent="0.2">
      <c r="A192" s="14" t="s">
        <v>757</v>
      </c>
      <c r="C192" s="49"/>
      <c r="D192" s="49"/>
      <c r="E192" s="49"/>
      <c r="F192" s="49">
        <v>0</v>
      </c>
      <c r="G192" s="49">
        <v>0</v>
      </c>
      <c r="H192" s="49">
        <v>0</v>
      </c>
      <c r="I192" s="49">
        <v>0</v>
      </c>
      <c r="J192" s="49">
        <v>0</v>
      </c>
      <c r="K192" s="49"/>
      <c r="L192" s="49"/>
      <c r="M192" s="49"/>
      <c r="N192" s="49"/>
      <c r="O192" s="49">
        <f>SUM(C192:N192)</f>
        <v>0</v>
      </c>
      <c r="Q192" s="35">
        <f>MAX(C192:N192)</f>
        <v>0</v>
      </c>
    </row>
    <row r="193" spans="1:23" hidden="1" x14ac:dyDescent="0.2">
      <c r="A193" s="14" t="s">
        <v>681</v>
      </c>
      <c r="C193" s="66">
        <v>1</v>
      </c>
      <c r="D193" s="66">
        <v>1</v>
      </c>
      <c r="E193" s="66">
        <v>1</v>
      </c>
      <c r="F193" s="66">
        <v>0</v>
      </c>
      <c r="G193" s="66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1</v>
      </c>
      <c r="M193" s="66">
        <v>1</v>
      </c>
      <c r="N193" s="66">
        <v>1</v>
      </c>
      <c r="O193" s="66"/>
      <c r="P193" s="49"/>
      <c r="Q193" s="35"/>
    </row>
    <row r="194" spans="1:23" hidden="1" x14ac:dyDescent="0.2">
      <c r="A194" s="14" t="s">
        <v>682</v>
      </c>
      <c r="C194" s="49">
        <f t="shared" ref="C194:N194" si="91">C192*C193</f>
        <v>0</v>
      </c>
      <c r="D194" s="49">
        <f t="shared" si="91"/>
        <v>0</v>
      </c>
      <c r="E194" s="49">
        <f t="shared" si="91"/>
        <v>0</v>
      </c>
      <c r="F194" s="49">
        <f t="shared" si="91"/>
        <v>0</v>
      </c>
      <c r="G194" s="49">
        <f t="shared" si="91"/>
        <v>0</v>
      </c>
      <c r="H194" s="49">
        <f t="shared" si="91"/>
        <v>0</v>
      </c>
      <c r="I194" s="49">
        <f t="shared" si="91"/>
        <v>0</v>
      </c>
      <c r="J194" s="49">
        <f t="shared" si="91"/>
        <v>0</v>
      </c>
      <c r="K194" s="49">
        <f t="shared" si="91"/>
        <v>0</v>
      </c>
      <c r="L194" s="49">
        <f t="shared" si="91"/>
        <v>0</v>
      </c>
      <c r="M194" s="49">
        <f t="shared" si="91"/>
        <v>0</v>
      </c>
      <c r="N194" s="49">
        <f t="shared" si="91"/>
        <v>0</v>
      </c>
      <c r="O194" s="49">
        <f>SUM(C194:N194)</f>
        <v>0</v>
      </c>
      <c r="P194" s="49"/>
      <c r="Q194" s="35"/>
      <c r="R194" s="35">
        <f>O194</f>
        <v>0</v>
      </c>
      <c r="S194" s="35">
        <f>H194+I194+J194</f>
        <v>0</v>
      </c>
      <c r="T194" s="35">
        <f>R194-S194</f>
        <v>0</v>
      </c>
    </row>
    <row r="195" spans="1:23" hidden="1" x14ac:dyDescent="0.2">
      <c r="A195" s="14" t="s">
        <v>758</v>
      </c>
      <c r="C195" s="66">
        <v>0.65</v>
      </c>
      <c r="D195" s="66">
        <v>0.65</v>
      </c>
      <c r="E195" s="66">
        <v>0.65</v>
      </c>
      <c r="F195" s="66">
        <v>0.65</v>
      </c>
      <c r="G195" s="66">
        <v>0.65</v>
      </c>
      <c r="H195" s="66">
        <v>0.65</v>
      </c>
      <c r="I195" s="66">
        <v>0.65</v>
      </c>
      <c r="J195" s="66">
        <v>0.65</v>
      </c>
      <c r="K195" s="66">
        <v>0.65</v>
      </c>
      <c r="L195" s="66">
        <v>0.65</v>
      </c>
      <c r="M195" s="66">
        <v>0.65</v>
      </c>
      <c r="N195" s="66">
        <v>0.65</v>
      </c>
      <c r="O195" s="66"/>
      <c r="P195" s="129"/>
      <c r="Q195" s="129"/>
      <c r="U195" s="118"/>
      <c r="W195" s="118"/>
    </row>
    <row r="196" spans="1:23" ht="1.5" customHeight="1" x14ac:dyDescent="0.2">
      <c r="A196" s="14" t="s">
        <v>759</v>
      </c>
      <c r="C196" s="49">
        <f>C190/C195</f>
        <v>0</v>
      </c>
      <c r="D196" s="49">
        <f t="shared" ref="D196:N196" si="92">D190/D195</f>
        <v>0</v>
      </c>
      <c r="E196" s="49">
        <f t="shared" si="92"/>
        <v>0</v>
      </c>
      <c r="F196" s="49">
        <f t="shared" si="92"/>
        <v>0</v>
      </c>
      <c r="G196" s="49">
        <f t="shared" si="92"/>
        <v>0</v>
      </c>
      <c r="H196" s="49">
        <f t="shared" si="92"/>
        <v>0</v>
      </c>
      <c r="I196" s="49">
        <f t="shared" si="92"/>
        <v>0</v>
      </c>
      <c r="J196" s="49">
        <f t="shared" si="92"/>
        <v>0</v>
      </c>
      <c r="K196" s="49">
        <f t="shared" si="92"/>
        <v>0</v>
      </c>
      <c r="L196" s="49">
        <f t="shared" si="92"/>
        <v>0</v>
      </c>
      <c r="M196" s="49">
        <f t="shared" si="92"/>
        <v>0</v>
      </c>
      <c r="N196" s="49">
        <f t="shared" si="92"/>
        <v>0</v>
      </c>
      <c r="O196" s="49">
        <f>SUM(C196:N196)</f>
        <v>0</v>
      </c>
      <c r="P196" s="49">
        <f>MAX(C196:N196)</f>
        <v>0</v>
      </c>
      <c r="Q196" s="49"/>
    </row>
    <row r="197" spans="1:23" x14ac:dyDescent="0.2"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</row>
    <row r="198" spans="1:23" x14ac:dyDescent="0.2">
      <c r="A198" s="14" t="s">
        <v>743</v>
      </c>
      <c r="C198" s="49">
        <f>C39+C49+C59+C69+C79+C89+C99+C109+C119+C129+C139+C149+C159+C169+C179+C189</f>
        <v>92984165</v>
      </c>
      <c r="D198" s="49">
        <f t="shared" ref="D198:N198" si="93">D39+D49+D59+D69+D79+D89+D99+D109+D119+D129+D139+D149+D159+D169+D179+D189</f>
        <v>76706699</v>
      </c>
      <c r="E198" s="49">
        <f t="shared" si="93"/>
        <v>70300670</v>
      </c>
      <c r="F198" s="49">
        <f t="shared" si="93"/>
        <v>69628913</v>
      </c>
      <c r="G198" s="49">
        <f t="shared" si="93"/>
        <v>71035603</v>
      </c>
      <c r="H198" s="49">
        <f t="shared" si="93"/>
        <v>76359874</v>
      </c>
      <c r="I198" s="49">
        <f t="shared" si="93"/>
        <v>83785731</v>
      </c>
      <c r="J198" s="49">
        <f t="shared" si="93"/>
        <v>87584830</v>
      </c>
      <c r="K198" s="49">
        <f t="shared" si="93"/>
        <v>81627311</v>
      </c>
      <c r="L198" s="49">
        <f t="shared" si="93"/>
        <v>80354671</v>
      </c>
      <c r="M198" s="49">
        <f t="shared" si="93"/>
        <v>81464893</v>
      </c>
      <c r="N198" s="49">
        <f t="shared" si="93"/>
        <v>100185276</v>
      </c>
      <c r="O198" s="49">
        <f>SUM(C198:N198)</f>
        <v>972018636</v>
      </c>
      <c r="P198" s="49"/>
      <c r="Q198" s="49"/>
    </row>
    <row r="199" spans="1:23" x14ac:dyDescent="0.2"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</row>
    <row r="200" spans="1:23" x14ac:dyDescent="0.2">
      <c r="A200" s="14" t="s">
        <v>715</v>
      </c>
      <c r="C200" s="49">
        <f>'Purchased Power'!C7</f>
        <v>130289</v>
      </c>
      <c r="D200" s="49">
        <f>'Purchased Power'!D7</f>
        <v>85920</v>
      </c>
      <c r="E200" s="49">
        <f>'Purchased Power'!E7</f>
        <v>77737</v>
      </c>
      <c r="F200" s="49">
        <f>'Purchased Power'!F7</f>
        <v>57841</v>
      </c>
      <c r="G200" s="49">
        <f>'Purchased Power'!G7</f>
        <v>66022</v>
      </c>
      <c r="H200" s="49">
        <f>'Purchased Power'!H7</f>
        <v>83688</v>
      </c>
      <c r="I200" s="49">
        <f>'Purchased Power'!I7</f>
        <v>88888</v>
      </c>
      <c r="J200" s="49">
        <f>'Purchased Power'!J7</f>
        <v>90447</v>
      </c>
      <c r="K200" s="49">
        <f>'Purchased Power'!K7</f>
        <v>83276</v>
      </c>
      <c r="L200" s="49">
        <f>'Purchased Power'!L7</f>
        <v>68337</v>
      </c>
      <c r="M200" s="49">
        <f>'Purchased Power'!M7</f>
        <v>64249</v>
      </c>
      <c r="N200" s="49">
        <f>'Purchased Power'!N7</f>
        <v>102835</v>
      </c>
      <c r="O200" s="49">
        <f>SUM(C200:N200)</f>
        <v>999529</v>
      </c>
      <c r="P200" s="49"/>
      <c r="Q200" s="49"/>
      <c r="R200" s="49"/>
      <c r="S200" s="49"/>
    </row>
    <row r="201" spans="1:23" x14ac:dyDescent="0.2">
      <c r="A201" s="14" t="s">
        <v>867</v>
      </c>
      <c r="C201" s="49">
        <f>'Purchased Power'!D8</f>
        <v>38383690</v>
      </c>
      <c r="D201" s="49">
        <f>'Purchased Power'!E8</f>
        <v>34308162</v>
      </c>
      <c r="E201" s="49">
        <f>'Purchased Power'!F8</f>
        <v>29597211</v>
      </c>
      <c r="F201" s="49">
        <f>'Purchased Power'!G8</f>
        <v>32068361</v>
      </c>
      <c r="G201" s="49">
        <f>'Purchased Power'!H8</f>
        <v>38955040</v>
      </c>
      <c r="H201" s="49">
        <f>'Purchased Power'!I8</f>
        <v>43353279</v>
      </c>
      <c r="I201" s="49">
        <f>'Purchased Power'!J8</f>
        <v>42300277</v>
      </c>
      <c r="J201" s="49">
        <f>'Purchased Power'!K8</f>
        <v>34212053</v>
      </c>
      <c r="K201" s="49">
        <f>'Purchased Power'!L8</f>
        <v>30242426</v>
      </c>
      <c r="L201" s="49">
        <f>'Purchased Power'!M8</f>
        <v>33796384</v>
      </c>
      <c r="M201" s="49">
        <f>'Purchased Power'!N8</f>
        <v>47439934</v>
      </c>
      <c r="N201" s="49">
        <f>'Purchased Power'!O8</f>
        <v>462388481</v>
      </c>
      <c r="O201" s="49">
        <f>SUM(C201:N201)</f>
        <v>867045298</v>
      </c>
      <c r="P201" s="123">
        <f>O198/O201</f>
        <v>1.1210701888841799</v>
      </c>
      <c r="Q201" s="49"/>
      <c r="R201" s="49"/>
      <c r="S201" s="49"/>
    </row>
    <row r="202" spans="1:23" x14ac:dyDescent="0.2">
      <c r="P202" s="123"/>
    </row>
    <row r="203" spans="1:23" x14ac:dyDescent="0.2">
      <c r="A203" s="14" t="s">
        <v>716</v>
      </c>
      <c r="C203" s="35">
        <f>(C44+C54+C64+C74+C84+C94+C104+C114+C124+C134+C144+C154+C164+C174+C184+C194)</f>
        <v>130288.99988520605</v>
      </c>
      <c r="D203" s="35">
        <f t="shared" ref="D203:N203" si="94">(D44+D54+D64+D74+D84+D94+D104+D114+D124+D134+D144+D154+D164+D174+D184+D194)</f>
        <v>85920.000117757343</v>
      </c>
      <c r="E203" s="35">
        <f t="shared" si="94"/>
        <v>77737.000002750166</v>
      </c>
      <c r="F203" s="35">
        <f t="shared" si="94"/>
        <v>57841.000450269865</v>
      </c>
      <c r="G203" s="35">
        <f t="shared" si="94"/>
        <v>66022.000000311062</v>
      </c>
      <c r="H203" s="35">
        <f t="shared" si="94"/>
        <v>83688.000033340213</v>
      </c>
      <c r="I203" s="35">
        <f t="shared" si="94"/>
        <v>88888.00000002209</v>
      </c>
      <c r="J203" s="35">
        <f t="shared" si="94"/>
        <v>90447.000006831891</v>
      </c>
      <c r="K203" s="35">
        <f t="shared" si="94"/>
        <v>83275.999999864798</v>
      </c>
      <c r="L203" s="35">
        <f t="shared" si="94"/>
        <v>68337.000028240087</v>
      </c>
      <c r="M203" s="35">
        <f t="shared" si="94"/>
        <v>64249.00000064863</v>
      </c>
      <c r="N203" s="35">
        <f t="shared" si="94"/>
        <v>102835.00015383662</v>
      </c>
      <c r="O203" s="35">
        <f>SUM(C203:N203)</f>
        <v>999529.00067907898</v>
      </c>
      <c r="P203" s="123">
        <f>O203/O200</f>
        <v>1.000000000679399</v>
      </c>
    </row>
    <row r="205" spans="1:23" x14ac:dyDescent="0.2">
      <c r="A205" s="14" t="s">
        <v>717</v>
      </c>
      <c r="C205" s="35">
        <f>C200-C203</f>
        <v>1.1479394743219018E-4</v>
      </c>
      <c r="D205" s="35">
        <f t="shared" ref="D205:O205" si="95">D200-D203</f>
        <v>-1.1775734310504049E-4</v>
      </c>
      <c r="E205" s="35">
        <f t="shared" si="95"/>
        <v>-2.7501664590090513E-6</v>
      </c>
      <c r="F205" s="35">
        <f t="shared" si="95"/>
        <v>-4.5026986481389031E-4</v>
      </c>
      <c r="G205" s="35">
        <f t="shared" si="95"/>
        <v>-3.1106173992156982E-7</v>
      </c>
      <c r="H205" s="35">
        <f t="shared" si="95"/>
        <v>-3.3340213121846318E-5</v>
      </c>
      <c r="I205" s="35">
        <f t="shared" si="95"/>
        <v>-2.2089807316660881E-8</v>
      </c>
      <c r="J205" s="35">
        <f t="shared" si="95"/>
        <v>-6.8318913690745831E-6</v>
      </c>
      <c r="K205" s="35">
        <f t="shared" si="95"/>
        <v>1.3520184438675642E-7</v>
      </c>
      <c r="L205" s="35">
        <f t="shared" si="95"/>
        <v>-2.8240086976438761E-5</v>
      </c>
      <c r="M205" s="35">
        <f t="shared" si="95"/>
        <v>-6.4862979343160987E-7</v>
      </c>
      <c r="N205" s="35">
        <f t="shared" si="95"/>
        <v>-1.5383661957457662E-4</v>
      </c>
      <c r="O205" s="35">
        <f t="shared" si="95"/>
        <v>-6.7907897755503654E-4</v>
      </c>
    </row>
    <row r="207" spans="1:23" x14ac:dyDescent="0.2"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</row>
    <row r="208" spans="1:23" x14ac:dyDescent="0.2"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</row>
    <row r="209" spans="3:15" x14ac:dyDescent="0.2"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</row>
    <row r="210" spans="3:15" x14ac:dyDescent="0.2"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49"/>
    </row>
    <row r="211" spans="3:15" x14ac:dyDescent="0.2"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49"/>
    </row>
  </sheetData>
  <printOptions horizontalCentered="1"/>
  <pageMargins left="0.25" right="0.25" top="1" bottom="0.32" header="0.5" footer="0.25"/>
  <pageSetup scale="66" fitToWidth="2" fitToHeight="5" pageOrder="overThenDown" orientation="landscape" r:id="rId1"/>
  <headerFooter alignWithMargins="0">
    <oddFooter>&amp;RExhibit JW-6
Page &amp;P of &amp;N</oddFooter>
  </headerFooter>
  <rowBreaks count="3" manualBreakCount="3">
    <brk id="30" max="19" man="1"/>
    <brk id="67" max="19" man="1"/>
    <brk id="126" max="19" man="1"/>
  </rowBreaks>
  <colBreaks count="1" manualBreakCount="1">
    <brk id="11" max="218" man="1"/>
  </colBreaks>
  <ignoredErrors>
    <ignoredError sqref="D90:N90 D40:M40 C52:N52 D50:M50 D100:M100 D54:M5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56"/>
  <sheetViews>
    <sheetView view="pageBreakPreview" zoomScaleNormal="100" zoomScaleSheetLayoutView="100" workbookViewId="0">
      <pane xSplit="2" ySplit="4" topLeftCell="C35" activePane="bottomRight" state="frozen"/>
      <selection activeCell="H10" sqref="H10:I26"/>
      <selection pane="topRight" activeCell="H10" sqref="H10:I26"/>
      <selection pane="bottomLeft" activeCell="H10" sqref="H10:I26"/>
      <selection pane="bottomRight" activeCell="H9" sqref="H9"/>
    </sheetView>
  </sheetViews>
  <sheetFormatPr defaultRowHeight="12.75" x14ac:dyDescent="0.2"/>
  <cols>
    <col min="1" max="1" width="5.7109375" style="32" customWidth="1"/>
    <col min="2" max="2" width="28.85546875" style="14" customWidth="1"/>
    <col min="3" max="3" width="13.7109375" style="14" customWidth="1"/>
    <col min="4" max="14" width="14" style="14" bestFit="1" customWidth="1"/>
    <col min="15" max="15" width="15.140625" style="14" bestFit="1" customWidth="1"/>
    <col min="16" max="16" width="14.42578125" style="14" bestFit="1" customWidth="1"/>
    <col min="17" max="17" width="11.42578125" style="14" bestFit="1" customWidth="1"/>
    <col min="18" max="16384" width="9.140625" style="14"/>
  </cols>
  <sheetData>
    <row r="1" spans="1:18" x14ac:dyDescent="0.2">
      <c r="A1" s="15" t="str">
        <f>'Summary of Returns'!A1</f>
        <v>MEADE COUNTY R.E.C.C.</v>
      </c>
    </row>
    <row r="2" spans="1:18" x14ac:dyDescent="0.2">
      <c r="A2" s="15" t="s">
        <v>96</v>
      </c>
    </row>
    <row r="4" spans="1:18" x14ac:dyDescent="0.2">
      <c r="A4" s="161" t="s">
        <v>952</v>
      </c>
      <c r="B4" s="61" t="s">
        <v>953</v>
      </c>
      <c r="C4" s="140" t="s">
        <v>1144</v>
      </c>
      <c r="D4" s="140" t="s">
        <v>1145</v>
      </c>
      <c r="E4" s="140" t="s">
        <v>1014</v>
      </c>
      <c r="F4" s="140" t="s">
        <v>1015</v>
      </c>
      <c r="G4" s="140" t="s">
        <v>1016</v>
      </c>
      <c r="H4" s="140" t="s">
        <v>1017</v>
      </c>
      <c r="I4" s="140" t="s">
        <v>1018</v>
      </c>
      <c r="J4" s="140" t="s">
        <v>1019</v>
      </c>
      <c r="K4" s="140" t="s">
        <v>1020</v>
      </c>
      <c r="L4" s="140" t="s">
        <v>1021</v>
      </c>
      <c r="M4" s="140" t="s">
        <v>1022</v>
      </c>
      <c r="N4" s="140" t="s">
        <v>1023</v>
      </c>
      <c r="O4" s="61" t="s">
        <v>862</v>
      </c>
      <c r="P4" s="16"/>
      <c r="R4" s="29"/>
    </row>
    <row r="5" spans="1:18" x14ac:dyDescent="0.2">
      <c r="A5" s="32">
        <v>1</v>
      </c>
      <c r="B5" s="29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6"/>
      <c r="P5" s="16"/>
      <c r="R5" s="29"/>
    </row>
    <row r="6" spans="1:18" x14ac:dyDescent="0.2">
      <c r="A6" s="32">
        <f>A5+1</f>
        <v>2</v>
      </c>
      <c r="B6" s="182" t="s">
        <v>1049</v>
      </c>
    </row>
    <row r="7" spans="1:18" x14ac:dyDescent="0.2">
      <c r="A7" s="32">
        <f t="shared" ref="A7:A56" si="0">A6+1</f>
        <v>3</v>
      </c>
      <c r="B7" s="14" t="s">
        <v>1050</v>
      </c>
      <c r="C7" s="24">
        <v>130289</v>
      </c>
      <c r="D7" s="24">
        <v>85920</v>
      </c>
      <c r="E7" s="24">
        <v>77737</v>
      </c>
      <c r="F7" s="24">
        <v>57841</v>
      </c>
      <c r="G7" s="24">
        <v>66022</v>
      </c>
      <c r="H7" s="24">
        <v>83688</v>
      </c>
      <c r="I7" s="24">
        <v>88888</v>
      </c>
      <c r="J7" s="24">
        <v>90447</v>
      </c>
      <c r="K7" s="24">
        <v>83276</v>
      </c>
      <c r="L7" s="24">
        <v>68337</v>
      </c>
      <c r="M7" s="24">
        <v>64249</v>
      </c>
      <c r="N7" s="24">
        <v>102835</v>
      </c>
      <c r="O7" s="24">
        <f>SUM(C7:N7)</f>
        <v>999529</v>
      </c>
    </row>
    <row r="8" spans="1:18" x14ac:dyDescent="0.2">
      <c r="A8" s="32">
        <f t="shared" si="0"/>
        <v>4</v>
      </c>
      <c r="B8" s="14" t="s">
        <v>954</v>
      </c>
      <c r="C8" s="24">
        <v>57731664</v>
      </c>
      <c r="D8" s="24">
        <v>38383690</v>
      </c>
      <c r="E8" s="24">
        <v>34308162</v>
      </c>
      <c r="F8" s="24">
        <v>29597211</v>
      </c>
      <c r="G8" s="24">
        <v>32068361</v>
      </c>
      <c r="H8" s="24">
        <v>38955040</v>
      </c>
      <c r="I8" s="24">
        <v>43353279</v>
      </c>
      <c r="J8" s="24">
        <v>42300277</v>
      </c>
      <c r="K8" s="24">
        <v>34212053</v>
      </c>
      <c r="L8" s="24">
        <v>30242426</v>
      </c>
      <c r="M8" s="24">
        <v>33796384</v>
      </c>
      <c r="N8" s="24">
        <v>47439934</v>
      </c>
      <c r="O8" s="24">
        <f t="shared" ref="O8" si="1">SUM(C8:N8)</f>
        <v>462388481</v>
      </c>
    </row>
    <row r="9" spans="1:18" x14ac:dyDescent="0.2">
      <c r="A9" s="32">
        <f t="shared" si="0"/>
        <v>5</v>
      </c>
      <c r="B9" s="14" t="s">
        <v>1051</v>
      </c>
      <c r="C9" s="40">
        <v>13.805</v>
      </c>
      <c r="D9" s="40">
        <v>13.805</v>
      </c>
      <c r="E9" s="40">
        <v>13.805</v>
      </c>
      <c r="F9" s="40">
        <v>13.805</v>
      </c>
      <c r="G9" s="40">
        <v>13.805</v>
      </c>
      <c r="H9" s="40">
        <v>13.805</v>
      </c>
      <c r="I9" s="40">
        <v>13.805</v>
      </c>
      <c r="J9" s="40">
        <v>13.805</v>
      </c>
      <c r="K9" s="40">
        <v>13.805</v>
      </c>
      <c r="L9" s="40">
        <v>13.805</v>
      </c>
      <c r="M9" s="40">
        <v>13.805</v>
      </c>
      <c r="N9" s="40">
        <v>13.805</v>
      </c>
      <c r="O9" s="40">
        <f>AVERAGE(C9:N9)</f>
        <v>13.805000000000005</v>
      </c>
    </row>
    <row r="10" spans="1:18" x14ac:dyDescent="0.2">
      <c r="A10" s="32">
        <f t="shared" si="0"/>
        <v>6</v>
      </c>
      <c r="B10" s="14" t="s">
        <v>1052</v>
      </c>
      <c r="C10" s="42">
        <f>ROUND(C9*C7,2)</f>
        <v>1798639.65</v>
      </c>
      <c r="D10" s="42">
        <f t="shared" ref="D10:N10" si="2">ROUND(D9*D7,2)</f>
        <v>1186125.6000000001</v>
      </c>
      <c r="E10" s="42">
        <f t="shared" si="2"/>
        <v>1073159.29</v>
      </c>
      <c r="F10" s="42">
        <f t="shared" si="2"/>
        <v>798495.01</v>
      </c>
      <c r="G10" s="42">
        <f t="shared" si="2"/>
        <v>911433.71</v>
      </c>
      <c r="H10" s="42">
        <f t="shared" si="2"/>
        <v>1155312.8400000001</v>
      </c>
      <c r="I10" s="42">
        <f t="shared" si="2"/>
        <v>1227098.8400000001</v>
      </c>
      <c r="J10" s="42">
        <f t="shared" si="2"/>
        <v>1248620.8400000001</v>
      </c>
      <c r="K10" s="42">
        <f t="shared" si="2"/>
        <v>1149625.18</v>
      </c>
      <c r="L10" s="42">
        <f t="shared" si="2"/>
        <v>943392.29</v>
      </c>
      <c r="M10" s="42">
        <f t="shared" si="2"/>
        <v>886957.45</v>
      </c>
      <c r="N10" s="42">
        <f t="shared" si="2"/>
        <v>1419637.18</v>
      </c>
      <c r="O10" s="42">
        <f t="shared" ref="O10" si="3">SUM(C10:N10)</f>
        <v>13798497.879999999</v>
      </c>
    </row>
    <row r="11" spans="1:18" x14ac:dyDescent="0.2">
      <c r="A11" s="32">
        <f t="shared" si="0"/>
        <v>7</v>
      </c>
      <c r="B11" s="14" t="s">
        <v>1053</v>
      </c>
      <c r="C11" s="40">
        <v>4.4999999999999998E-2</v>
      </c>
      <c r="D11" s="40">
        <v>4.4999999999999998E-2</v>
      </c>
      <c r="E11" s="40">
        <v>4.4999999999999998E-2</v>
      </c>
      <c r="F11" s="40">
        <v>4.4999999999999998E-2</v>
      </c>
      <c r="G11" s="40">
        <v>4.4999999999999998E-2</v>
      </c>
      <c r="H11" s="40">
        <v>4.4999999999999998E-2</v>
      </c>
      <c r="I11" s="40">
        <v>4.4999999999999998E-2</v>
      </c>
      <c r="J11" s="40">
        <v>4.4999999999999998E-2</v>
      </c>
      <c r="K11" s="40">
        <v>4.4999999999999998E-2</v>
      </c>
      <c r="L11" s="40">
        <v>4.4999999999999998E-2</v>
      </c>
      <c r="M11" s="40">
        <v>4.4999999999999998E-2</v>
      </c>
      <c r="N11" s="40">
        <v>4.4999999999999998E-2</v>
      </c>
      <c r="O11" s="40">
        <f>AVERAGE(C11:N11)</f>
        <v>4.4999999999999991E-2</v>
      </c>
    </row>
    <row r="12" spans="1:18" x14ac:dyDescent="0.2">
      <c r="A12" s="32">
        <f t="shared" si="0"/>
        <v>8</v>
      </c>
      <c r="B12" s="14" t="s">
        <v>1054</v>
      </c>
      <c r="C12" s="42">
        <f>ROUND(C11*C8,2)</f>
        <v>2597924.88</v>
      </c>
      <c r="D12" s="42">
        <f t="shared" ref="D12:N12" si="4">ROUND(D11*D8,2)</f>
        <v>1727266.05</v>
      </c>
      <c r="E12" s="42">
        <f t="shared" si="4"/>
        <v>1543867.29</v>
      </c>
      <c r="F12" s="42">
        <f t="shared" si="4"/>
        <v>1331874.5</v>
      </c>
      <c r="G12" s="42">
        <f t="shared" si="4"/>
        <v>1443076.25</v>
      </c>
      <c r="H12" s="42">
        <f t="shared" si="4"/>
        <v>1752976.8</v>
      </c>
      <c r="I12" s="42">
        <f t="shared" si="4"/>
        <v>1950897.56</v>
      </c>
      <c r="J12" s="42">
        <f t="shared" si="4"/>
        <v>1903512.47</v>
      </c>
      <c r="K12" s="42">
        <f t="shared" si="4"/>
        <v>1539542.39</v>
      </c>
      <c r="L12" s="42">
        <f t="shared" si="4"/>
        <v>1360909.17</v>
      </c>
      <c r="M12" s="42">
        <f t="shared" si="4"/>
        <v>1520837.28</v>
      </c>
      <c r="N12" s="42">
        <f t="shared" si="4"/>
        <v>2134797.0299999998</v>
      </c>
      <c r="O12" s="42">
        <f t="shared" ref="O12:O19" si="5">SUM(C12:N12)</f>
        <v>20807481.670000002</v>
      </c>
    </row>
    <row r="13" spans="1:18" x14ac:dyDescent="0.2">
      <c r="A13" s="32">
        <f t="shared" si="0"/>
        <v>9</v>
      </c>
      <c r="B13" s="14" t="s">
        <v>1055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f t="shared" si="5"/>
        <v>0</v>
      </c>
    </row>
    <row r="14" spans="1:18" x14ac:dyDescent="0.2">
      <c r="A14" s="32">
        <f t="shared" si="0"/>
        <v>10</v>
      </c>
      <c r="B14" s="14" t="s">
        <v>1055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f t="shared" si="5"/>
        <v>0</v>
      </c>
    </row>
    <row r="15" spans="1:18" x14ac:dyDescent="0.2">
      <c r="A15" s="32">
        <f t="shared" si="0"/>
        <v>11</v>
      </c>
      <c r="B15" s="14" t="s">
        <v>1056</v>
      </c>
      <c r="C15" s="42">
        <v>671015.13</v>
      </c>
      <c r="D15" s="42">
        <v>274903.99</v>
      </c>
      <c r="E15" s="42">
        <v>610273.59</v>
      </c>
      <c r="F15" s="42">
        <v>352177.21</v>
      </c>
      <c r="G15" s="42">
        <v>204596.14</v>
      </c>
      <c r="H15" s="42">
        <v>240586.33</v>
      </c>
      <c r="I15" s="42">
        <v>329961.81</v>
      </c>
      <c r="J15" s="42">
        <v>451513.16</v>
      </c>
      <c r="K15" s="42">
        <v>500932.88</v>
      </c>
      <c r="L15" s="42">
        <v>515482.15</v>
      </c>
      <c r="M15" s="42">
        <v>531515.73</v>
      </c>
      <c r="N15" s="42">
        <v>667100.35</v>
      </c>
      <c r="O15" s="42">
        <f t="shared" si="5"/>
        <v>5350058.47</v>
      </c>
    </row>
    <row r="16" spans="1:18" x14ac:dyDescent="0.2">
      <c r="A16" s="32">
        <f t="shared" si="0"/>
        <v>12</v>
      </c>
      <c r="B16" s="14" t="s">
        <v>1071</v>
      </c>
      <c r="C16" s="42">
        <v>388014.51</v>
      </c>
      <c r="D16" s="42">
        <v>257976.78</v>
      </c>
      <c r="E16" s="42">
        <v>230585.16</v>
      </c>
      <c r="F16" s="42">
        <v>198922.86</v>
      </c>
      <c r="G16" s="42">
        <v>215531.45</v>
      </c>
      <c r="H16" s="42">
        <v>261816.82</v>
      </c>
      <c r="I16" s="42">
        <v>291377.39</v>
      </c>
      <c r="J16" s="42">
        <v>284300.15999999997</v>
      </c>
      <c r="K16" s="42">
        <v>245300.42</v>
      </c>
      <c r="L16" s="42">
        <v>216838.19</v>
      </c>
      <c r="M16" s="42">
        <v>242320.07</v>
      </c>
      <c r="N16" s="42">
        <v>340144.33</v>
      </c>
      <c r="O16" s="42">
        <f t="shared" si="5"/>
        <v>3173128.14</v>
      </c>
    </row>
    <row r="17" spans="1:17" x14ac:dyDescent="0.2">
      <c r="A17" s="32">
        <f t="shared" si="0"/>
        <v>13</v>
      </c>
      <c r="B17" s="14" t="s">
        <v>1058</v>
      </c>
      <c r="C17" s="42">
        <v>462660.57</v>
      </c>
      <c r="D17" s="42">
        <v>246892.54</v>
      </c>
      <c r="E17" s="42">
        <v>195286.46</v>
      </c>
      <c r="F17" s="42">
        <v>204473.53</v>
      </c>
      <c r="G17" s="42">
        <v>208483.3</v>
      </c>
      <c r="H17" s="42">
        <v>265052</v>
      </c>
      <c r="I17" s="42">
        <v>327896.83</v>
      </c>
      <c r="J17" s="42">
        <v>303275.46999999997</v>
      </c>
      <c r="K17" s="42">
        <v>236156.94</v>
      </c>
      <c r="L17" s="42">
        <v>206291.9</v>
      </c>
      <c r="M17" s="42">
        <v>215348.57</v>
      </c>
      <c r="N17" s="42">
        <v>364723.29</v>
      </c>
      <c r="O17" s="42">
        <f t="shared" si="5"/>
        <v>3236541.4</v>
      </c>
    </row>
    <row r="18" spans="1:17" x14ac:dyDescent="0.2">
      <c r="A18" s="32">
        <f t="shared" si="0"/>
        <v>14</v>
      </c>
      <c r="B18" s="14" t="s">
        <v>1059</v>
      </c>
      <c r="C18" s="42">
        <v>-150592.04</v>
      </c>
      <c r="D18" s="42">
        <v>-156047.42000000001</v>
      </c>
      <c r="E18" s="42">
        <v>-151892.32</v>
      </c>
      <c r="F18" s="42">
        <v>-146730.68</v>
      </c>
      <c r="G18" s="42">
        <v>-137809.26999999999</v>
      </c>
      <c r="H18" s="42">
        <v>-129112.97</v>
      </c>
      <c r="I18" s="42">
        <v>-129242.67</v>
      </c>
      <c r="J18" s="42">
        <v>-130403.24</v>
      </c>
      <c r="K18" s="42">
        <v>-129276.61</v>
      </c>
      <c r="L18" s="42">
        <v>-128556.09</v>
      </c>
      <c r="M18" s="42">
        <v>-133786.34</v>
      </c>
      <c r="N18" s="42">
        <v>-144634.76</v>
      </c>
      <c r="O18" s="42">
        <f t="shared" si="5"/>
        <v>-1668084.4100000004</v>
      </c>
    </row>
    <row r="19" spans="1:17" x14ac:dyDescent="0.2">
      <c r="A19" s="32">
        <f t="shared" si="0"/>
        <v>15</v>
      </c>
      <c r="B19" s="178" t="s">
        <v>0</v>
      </c>
      <c r="C19" s="101">
        <f>C10+SUM(C12:C18)</f>
        <v>5767662.6999999993</v>
      </c>
      <c r="D19" s="101">
        <f t="shared" ref="D19" si="6">D10+SUM(D12:D18)</f>
        <v>3537117.54</v>
      </c>
      <c r="E19" s="101">
        <f t="shared" ref="E19:N19" si="7">E10+SUM(E12:E18)</f>
        <v>3501279.47</v>
      </c>
      <c r="F19" s="101">
        <f t="shared" si="7"/>
        <v>2739212.4299999997</v>
      </c>
      <c r="G19" s="101">
        <f t="shared" si="7"/>
        <v>2845311.58</v>
      </c>
      <c r="H19" s="101">
        <f t="shared" si="7"/>
        <v>3546631.8200000003</v>
      </c>
      <c r="I19" s="101">
        <f t="shared" si="7"/>
        <v>3997989.7600000007</v>
      </c>
      <c r="J19" s="101">
        <f t="shared" si="7"/>
        <v>4060818.8599999994</v>
      </c>
      <c r="K19" s="101">
        <f t="shared" si="7"/>
        <v>3542281.2</v>
      </c>
      <c r="L19" s="101">
        <f t="shared" si="7"/>
        <v>3114357.61</v>
      </c>
      <c r="M19" s="101">
        <f t="shared" si="7"/>
        <v>3263192.76</v>
      </c>
      <c r="N19" s="101">
        <f t="shared" si="7"/>
        <v>4781767.42</v>
      </c>
      <c r="O19" s="101">
        <f t="shared" si="5"/>
        <v>44697623.149999999</v>
      </c>
      <c r="Q19" s="35"/>
    </row>
    <row r="20" spans="1:17" x14ac:dyDescent="0.2">
      <c r="A20" s="32">
        <f t="shared" si="0"/>
        <v>16</v>
      </c>
    </row>
    <row r="21" spans="1:17" x14ac:dyDescent="0.2">
      <c r="A21" s="32">
        <f t="shared" si="0"/>
        <v>17</v>
      </c>
      <c r="B21" s="182" t="s">
        <v>1060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</row>
    <row r="22" spans="1:17" x14ac:dyDescent="0.2">
      <c r="A22" s="32">
        <f t="shared" si="0"/>
        <v>18</v>
      </c>
      <c r="B22" s="14" t="s">
        <v>1061</v>
      </c>
      <c r="C22" s="49">
        <v>139059</v>
      </c>
      <c r="D22" s="49">
        <v>143168</v>
      </c>
      <c r="E22" s="49">
        <v>137343</v>
      </c>
      <c r="F22" s="49">
        <v>140636</v>
      </c>
      <c r="G22" s="49">
        <v>141330</v>
      </c>
      <c r="H22" s="49">
        <v>142744</v>
      </c>
      <c r="I22" s="49">
        <v>148173</v>
      </c>
      <c r="J22" s="49">
        <v>147546</v>
      </c>
      <c r="K22" s="49">
        <v>150006</v>
      </c>
      <c r="L22" s="49">
        <v>149822</v>
      </c>
      <c r="M22" s="49">
        <v>153421</v>
      </c>
      <c r="N22" s="49">
        <v>151462</v>
      </c>
      <c r="O22" s="24">
        <f t="shared" ref="O22" si="8">SUM(C22:N22)</f>
        <v>1744710</v>
      </c>
    </row>
    <row r="23" spans="1:17" x14ac:dyDescent="0.2">
      <c r="A23" s="32">
        <f t="shared" si="0"/>
        <v>19</v>
      </c>
      <c r="B23" s="14" t="s">
        <v>1051</v>
      </c>
      <c r="C23" s="194">
        <v>3.6549999999999998</v>
      </c>
      <c r="D23" s="194">
        <f>C23</f>
        <v>3.6549999999999998</v>
      </c>
      <c r="E23" s="194">
        <f t="shared" ref="E23:N23" si="9">D23</f>
        <v>3.6549999999999998</v>
      </c>
      <c r="F23" s="194">
        <f t="shared" si="9"/>
        <v>3.6549999999999998</v>
      </c>
      <c r="G23" s="194">
        <f t="shared" si="9"/>
        <v>3.6549999999999998</v>
      </c>
      <c r="H23" s="194">
        <f t="shared" si="9"/>
        <v>3.6549999999999998</v>
      </c>
      <c r="I23" s="194">
        <f t="shared" si="9"/>
        <v>3.6549999999999998</v>
      </c>
      <c r="J23" s="194">
        <f t="shared" si="9"/>
        <v>3.6549999999999998</v>
      </c>
      <c r="K23" s="194">
        <f t="shared" si="9"/>
        <v>3.6549999999999998</v>
      </c>
      <c r="L23" s="194">
        <f t="shared" si="9"/>
        <v>3.6549999999999998</v>
      </c>
      <c r="M23" s="194">
        <f t="shared" si="9"/>
        <v>3.6549999999999998</v>
      </c>
      <c r="N23" s="194">
        <f t="shared" si="9"/>
        <v>3.6549999999999998</v>
      </c>
      <c r="O23" s="40">
        <f>AVERAGE(C23:N23)</f>
        <v>3.6550000000000007</v>
      </c>
    </row>
    <row r="24" spans="1:17" x14ac:dyDescent="0.2">
      <c r="A24" s="32">
        <f t="shared" si="0"/>
        <v>20</v>
      </c>
      <c r="B24" s="14" t="s">
        <v>1052</v>
      </c>
      <c r="C24" s="42">
        <v>508260.64</v>
      </c>
      <c r="D24" s="42">
        <v>523279.04</v>
      </c>
      <c r="E24" s="42">
        <v>501988.66</v>
      </c>
      <c r="F24" s="42">
        <v>514024.58</v>
      </c>
      <c r="G24" s="42">
        <v>516561.15</v>
      </c>
      <c r="H24" s="42">
        <v>521729.32</v>
      </c>
      <c r="I24" s="42">
        <v>541572.31000000006</v>
      </c>
      <c r="J24" s="42">
        <v>539280.63</v>
      </c>
      <c r="K24" s="42">
        <v>548271.93000000005</v>
      </c>
      <c r="L24" s="42">
        <v>547599.41</v>
      </c>
      <c r="M24" s="42">
        <v>560753.76</v>
      </c>
      <c r="N24" s="42">
        <v>553593.61</v>
      </c>
      <c r="O24" s="42">
        <f t="shared" ref="O24:O26" si="10">SUM(C24:N24)</f>
        <v>6376915.04</v>
      </c>
    </row>
    <row r="25" spans="1:17" x14ac:dyDescent="0.2">
      <c r="A25" s="32">
        <f t="shared" si="0"/>
        <v>21</v>
      </c>
      <c r="B25" s="14" t="s">
        <v>1146</v>
      </c>
      <c r="C25" s="24">
        <v>13513580</v>
      </c>
      <c r="D25" s="24">
        <v>13863583</v>
      </c>
      <c r="E25" s="24">
        <v>14318808</v>
      </c>
      <c r="F25" s="24">
        <v>15211649</v>
      </c>
      <c r="G25" s="24">
        <v>14010572</v>
      </c>
      <c r="H25" s="24">
        <v>13958733</v>
      </c>
      <c r="I25" s="24">
        <v>13895549</v>
      </c>
      <c r="J25" s="24">
        <v>16523335</v>
      </c>
      <c r="K25" s="24">
        <v>14863976</v>
      </c>
      <c r="L25" s="24">
        <v>19863789</v>
      </c>
      <c r="M25" s="24">
        <v>17321194</v>
      </c>
      <c r="N25" s="24">
        <v>18203014</v>
      </c>
      <c r="O25" s="24">
        <f t="shared" si="10"/>
        <v>185547782</v>
      </c>
    </row>
    <row r="26" spans="1:17" x14ac:dyDescent="0.2">
      <c r="A26" s="32">
        <f t="shared" si="0"/>
        <v>22</v>
      </c>
      <c r="B26" s="14" t="s">
        <v>1147</v>
      </c>
      <c r="C26" s="24">
        <v>25285100</v>
      </c>
      <c r="D26" s="24">
        <v>24764399</v>
      </c>
      <c r="E26" s="24">
        <v>25018577</v>
      </c>
      <c r="F26" s="24">
        <v>24766403</v>
      </c>
      <c r="G26" s="24">
        <v>27453093</v>
      </c>
      <c r="H26" s="24">
        <v>24999495</v>
      </c>
      <c r="I26" s="24">
        <v>27920728</v>
      </c>
      <c r="J26" s="24">
        <v>30753732</v>
      </c>
      <c r="K26" s="24">
        <v>31012492</v>
      </c>
      <c r="L26" s="24">
        <v>33007621</v>
      </c>
      <c r="M26" s="24">
        <v>32466659</v>
      </c>
      <c r="N26" s="24">
        <v>34882475</v>
      </c>
      <c r="O26" s="24">
        <f t="shared" si="10"/>
        <v>342330774</v>
      </c>
    </row>
    <row r="27" spans="1:17" x14ac:dyDescent="0.2">
      <c r="A27" s="32">
        <f t="shared" si="0"/>
        <v>23</v>
      </c>
      <c r="B27" s="14" t="s">
        <v>1148</v>
      </c>
      <c r="C27" s="38">
        <f>C29/C25</f>
        <v>3.4349999778001093E-2</v>
      </c>
      <c r="D27" s="38">
        <f t="shared" ref="D27:N27" si="11">D29/D25</f>
        <v>3.4350000284919129E-2</v>
      </c>
      <c r="E27" s="38">
        <f t="shared" si="11"/>
        <v>3.4349999664776566E-2</v>
      </c>
      <c r="F27" s="38">
        <f t="shared" si="11"/>
        <v>3.4349999792921859E-2</v>
      </c>
      <c r="G27" s="38">
        <f t="shared" si="11"/>
        <v>3.435000012847441E-2</v>
      </c>
      <c r="H27" s="38">
        <f t="shared" si="11"/>
        <v>3.435000010387762E-2</v>
      </c>
      <c r="I27" s="38">
        <f t="shared" si="11"/>
        <v>3.4350000133136153E-2</v>
      </c>
      <c r="J27" s="38">
        <f t="shared" si="11"/>
        <v>3.4350000166431298E-2</v>
      </c>
      <c r="K27" s="38">
        <f t="shared" si="11"/>
        <v>3.4350000296017702E-2</v>
      </c>
      <c r="L27" s="38">
        <f t="shared" si="11"/>
        <v>3.4349999891762843E-2</v>
      </c>
      <c r="M27" s="38">
        <f t="shared" si="11"/>
        <v>3.4349999774842314E-2</v>
      </c>
      <c r="N27" s="38">
        <f t="shared" si="11"/>
        <v>3.4349999950557639E-2</v>
      </c>
      <c r="O27" s="38">
        <f>AVERAGE(C27:N27)</f>
        <v>3.4349999997143221E-2</v>
      </c>
    </row>
    <row r="28" spans="1:17" x14ac:dyDescent="0.2">
      <c r="A28" s="32">
        <f t="shared" si="0"/>
        <v>24</v>
      </c>
      <c r="B28" s="14" t="s">
        <v>1149</v>
      </c>
      <c r="C28" s="38">
        <f>C30/C26</f>
        <v>2.6239999841804067E-2</v>
      </c>
      <c r="D28" s="38">
        <f t="shared" ref="D28:N28" si="12">D30/D26</f>
        <v>2.6240000009691331E-2</v>
      </c>
      <c r="E28" s="38">
        <f t="shared" si="12"/>
        <v>2.6239999980814256E-2</v>
      </c>
      <c r="F28" s="38">
        <f t="shared" si="12"/>
        <v>2.6239999809419236E-2</v>
      </c>
      <c r="G28" s="38">
        <f t="shared" si="12"/>
        <v>2.6239999988343754E-2</v>
      </c>
      <c r="H28" s="38">
        <f t="shared" si="12"/>
        <v>2.6240000048000971E-2</v>
      </c>
      <c r="I28" s="38">
        <f t="shared" si="12"/>
        <v>2.6239999902581336E-2</v>
      </c>
      <c r="J28" s="38">
        <f t="shared" si="12"/>
        <v>2.6240000075437999E-2</v>
      </c>
      <c r="K28" s="38">
        <f t="shared" si="12"/>
        <v>2.6239999997420396E-2</v>
      </c>
      <c r="L28" s="38">
        <f t="shared" si="12"/>
        <v>2.6240000150268328E-2</v>
      </c>
      <c r="M28" s="38">
        <f t="shared" si="12"/>
        <v>2.6239999933470211E-2</v>
      </c>
      <c r="N28" s="38">
        <f t="shared" si="12"/>
        <v>2.6239999885329237E-2</v>
      </c>
      <c r="O28" s="38">
        <f>AVERAGE(C28:N28)</f>
        <v>2.6239999968548425E-2</v>
      </c>
    </row>
    <row r="29" spans="1:17" x14ac:dyDescent="0.2">
      <c r="A29" s="32">
        <f t="shared" si="0"/>
        <v>25</v>
      </c>
      <c r="B29" s="14" t="s">
        <v>1150</v>
      </c>
      <c r="C29" s="42">
        <v>464191.47</v>
      </c>
      <c r="D29" s="42">
        <v>476214.08</v>
      </c>
      <c r="E29" s="42">
        <v>491851.05</v>
      </c>
      <c r="F29" s="42">
        <v>522520.14</v>
      </c>
      <c r="G29" s="42">
        <v>481263.15</v>
      </c>
      <c r="H29" s="42">
        <v>479482.48</v>
      </c>
      <c r="I29" s="42">
        <v>477312.11</v>
      </c>
      <c r="J29" s="42">
        <v>567576.56000000006</v>
      </c>
      <c r="K29" s="42">
        <v>510577.58</v>
      </c>
      <c r="L29" s="42">
        <v>682321.15</v>
      </c>
      <c r="M29" s="42">
        <v>594983.01</v>
      </c>
      <c r="N29" s="42">
        <v>625273.53</v>
      </c>
      <c r="O29" s="42">
        <f t="shared" ref="O29" si="13">SUM(C29:N29)</f>
        <v>6373566.3100000005</v>
      </c>
    </row>
    <row r="30" spans="1:17" x14ac:dyDescent="0.2">
      <c r="A30" s="32">
        <f t="shared" si="0"/>
        <v>26</v>
      </c>
      <c r="B30" s="14" t="s">
        <v>1151</v>
      </c>
      <c r="C30" s="42">
        <v>663481.02</v>
      </c>
      <c r="D30" s="42">
        <v>649817.82999999996</v>
      </c>
      <c r="E30" s="42">
        <v>656487.46</v>
      </c>
      <c r="F30" s="42">
        <v>649870.41</v>
      </c>
      <c r="G30" s="42">
        <v>720369.16</v>
      </c>
      <c r="H30" s="42">
        <v>655986.75</v>
      </c>
      <c r="I30" s="42">
        <v>732639.9</v>
      </c>
      <c r="J30" s="42">
        <v>806977.93</v>
      </c>
      <c r="K30" s="42">
        <v>813767.79</v>
      </c>
      <c r="L30" s="42">
        <v>866119.98</v>
      </c>
      <c r="M30" s="42">
        <v>851925.13</v>
      </c>
      <c r="N30" s="42">
        <v>915316.14</v>
      </c>
      <c r="O30" s="42">
        <f t="shared" ref="O30:O36" si="14">SUM(C30:N30)</f>
        <v>8982759.5</v>
      </c>
    </row>
    <row r="31" spans="1:17" x14ac:dyDescent="0.2">
      <c r="A31" s="32">
        <f t="shared" si="0"/>
        <v>27</v>
      </c>
      <c r="B31" s="14" t="s">
        <v>1056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f t="shared" si="14"/>
        <v>0</v>
      </c>
    </row>
    <row r="32" spans="1:17" x14ac:dyDescent="0.2">
      <c r="A32" s="32">
        <f t="shared" si="0"/>
        <v>28</v>
      </c>
      <c r="B32" s="14" t="s">
        <v>1057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f t="shared" si="14"/>
        <v>0</v>
      </c>
    </row>
    <row r="33" spans="1:15" x14ac:dyDescent="0.2">
      <c r="A33" s="32">
        <f t="shared" si="0"/>
        <v>29</v>
      </c>
      <c r="B33" s="14" t="s">
        <v>1058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f t="shared" si="14"/>
        <v>0</v>
      </c>
    </row>
    <row r="34" spans="1:15" x14ac:dyDescent="0.2">
      <c r="A34" s="32">
        <f t="shared" si="0"/>
        <v>30</v>
      </c>
      <c r="B34" s="14" t="s">
        <v>1059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f t="shared" si="14"/>
        <v>0</v>
      </c>
    </row>
    <row r="35" spans="1:15" x14ac:dyDescent="0.2">
      <c r="A35" s="32">
        <f t="shared" si="0"/>
        <v>31</v>
      </c>
      <c r="B35" s="14" t="s">
        <v>1062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f t="shared" si="14"/>
        <v>0</v>
      </c>
    </row>
    <row r="36" spans="1:15" x14ac:dyDescent="0.2">
      <c r="A36" s="32">
        <f t="shared" si="0"/>
        <v>32</v>
      </c>
      <c r="B36" s="178" t="s">
        <v>0</v>
      </c>
      <c r="C36" s="101">
        <f>C24+SUM(C29:C35)</f>
        <v>1635933.13</v>
      </c>
      <c r="D36" s="101">
        <f t="shared" ref="D36:N36" si="15">D24+SUM(D29:D35)</f>
        <v>1649310.95</v>
      </c>
      <c r="E36" s="101">
        <f t="shared" si="15"/>
        <v>1650327.17</v>
      </c>
      <c r="F36" s="101">
        <f t="shared" si="15"/>
        <v>1686415.1300000001</v>
      </c>
      <c r="G36" s="101">
        <f t="shared" si="15"/>
        <v>1718193.46</v>
      </c>
      <c r="H36" s="101">
        <f t="shared" si="15"/>
        <v>1657198.55</v>
      </c>
      <c r="I36" s="101">
        <f t="shared" si="15"/>
        <v>1751524.32</v>
      </c>
      <c r="J36" s="101">
        <f t="shared" si="15"/>
        <v>1913835.12</v>
      </c>
      <c r="K36" s="101">
        <f t="shared" si="15"/>
        <v>1872617.3000000003</v>
      </c>
      <c r="L36" s="101">
        <f t="shared" si="15"/>
        <v>2096040.54</v>
      </c>
      <c r="M36" s="101">
        <f t="shared" si="15"/>
        <v>2007661.9000000001</v>
      </c>
      <c r="N36" s="101">
        <f t="shared" si="15"/>
        <v>2094183.2799999998</v>
      </c>
      <c r="O36" s="101">
        <f t="shared" si="14"/>
        <v>21733240.850000001</v>
      </c>
    </row>
    <row r="37" spans="1:15" x14ac:dyDescent="0.2">
      <c r="A37" s="32">
        <f t="shared" si="0"/>
        <v>33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ht="13.5" thickBot="1" x14ac:dyDescent="0.25">
      <c r="A38" s="32">
        <f t="shared" si="0"/>
        <v>34</v>
      </c>
      <c r="B38" s="146" t="s">
        <v>862</v>
      </c>
      <c r="C38" s="150">
        <f>C19+C36</f>
        <v>7403595.8299999991</v>
      </c>
      <c r="D38" s="150">
        <f>D19+D36</f>
        <v>5186428.49</v>
      </c>
      <c r="E38" s="150">
        <f t="shared" ref="E38:N38" si="16">E19+E36</f>
        <v>5151606.6400000006</v>
      </c>
      <c r="F38" s="150">
        <f t="shared" si="16"/>
        <v>4425627.5599999996</v>
      </c>
      <c r="G38" s="150">
        <f t="shared" si="16"/>
        <v>4563505.04</v>
      </c>
      <c r="H38" s="150">
        <f t="shared" si="16"/>
        <v>5203830.37</v>
      </c>
      <c r="I38" s="150">
        <f t="shared" si="16"/>
        <v>5749514.080000001</v>
      </c>
      <c r="J38" s="150">
        <f t="shared" si="16"/>
        <v>5974653.9799999995</v>
      </c>
      <c r="K38" s="150">
        <f t="shared" si="16"/>
        <v>5414898.5</v>
      </c>
      <c r="L38" s="150">
        <f t="shared" si="16"/>
        <v>5210398.1500000004</v>
      </c>
      <c r="M38" s="150">
        <f t="shared" si="16"/>
        <v>5270854.66</v>
      </c>
      <c r="N38" s="150">
        <f t="shared" si="16"/>
        <v>6875950.6999999993</v>
      </c>
      <c r="O38" s="150">
        <f t="shared" ref="O38" si="17">SUM(C38:N38)</f>
        <v>66430864</v>
      </c>
    </row>
    <row r="39" spans="1:15" ht="13.5" thickTop="1" x14ac:dyDescent="0.2">
      <c r="A39" s="32">
        <f t="shared" si="0"/>
        <v>35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1:15" x14ac:dyDescent="0.2">
      <c r="A40" s="32">
        <f>A39+1</f>
        <v>36</v>
      </c>
      <c r="B40" s="14" t="s">
        <v>1063</v>
      </c>
      <c r="C40" s="42">
        <f t="shared" ref="C40:N40" si="18">C10+C24+C18+C34+C52*(C17+C33)</f>
        <v>2300040.8691169089</v>
      </c>
      <c r="D40" s="42">
        <f t="shared" si="18"/>
        <v>1630998.5841797951</v>
      </c>
      <c r="E40" s="42">
        <f t="shared" si="18"/>
        <v>1479334.0396998692</v>
      </c>
      <c r="F40" s="42">
        <f t="shared" si="18"/>
        <v>1222259.9536928909</v>
      </c>
      <c r="G40" s="42">
        <f t="shared" si="18"/>
        <v>1351949.2654703425</v>
      </c>
      <c r="H40" s="42">
        <f t="shared" si="18"/>
        <v>1631002.7148538558</v>
      </c>
      <c r="I40" s="42">
        <f t="shared" si="18"/>
        <v>1738580.333923978</v>
      </c>
      <c r="J40" s="42">
        <f t="shared" si="18"/>
        <v>1746132.510685212</v>
      </c>
      <c r="K40" s="42">
        <f t="shared" si="18"/>
        <v>1640151.5105764901</v>
      </c>
      <c r="L40" s="42">
        <f t="shared" si="18"/>
        <v>1418601.3699925181</v>
      </c>
      <c r="M40" s="42">
        <f t="shared" si="18"/>
        <v>1369893.913811781</v>
      </c>
      <c r="N40" s="42">
        <f t="shared" si="18"/>
        <v>1931023.9622694612</v>
      </c>
      <c r="O40" s="42">
        <f t="shared" ref="O40:O43" si="19">SUM(C40:N40)</f>
        <v>19459969.028273106</v>
      </c>
    </row>
    <row r="41" spans="1:15" x14ac:dyDescent="0.2">
      <c r="A41" s="32">
        <f t="shared" si="0"/>
        <v>37</v>
      </c>
      <c r="B41" s="14" t="s">
        <v>1064</v>
      </c>
      <c r="C41" s="42">
        <f>C12+C13+C14+C15+C16+C29+C30+C31+C32+C35+C51*(C17+C33)</f>
        <v>5103554.9608830912</v>
      </c>
      <c r="D41" s="42">
        <f t="shared" ref="D41:N41" si="20">D12+D13+D14+D15+D16+D29+D30+D31+D32+D35+D51*(D17+D33)</f>
        <v>3555429.9058202053</v>
      </c>
      <c r="E41" s="42">
        <f t="shared" si="20"/>
        <v>3672272.6003001304</v>
      </c>
      <c r="F41" s="42">
        <f t="shared" si="20"/>
        <v>3203367.6063071094</v>
      </c>
      <c r="G41" s="42">
        <f t="shared" si="20"/>
        <v>3211555.7745296578</v>
      </c>
      <c r="H41" s="42">
        <f t="shared" si="20"/>
        <v>3572827.6551461443</v>
      </c>
      <c r="I41" s="42">
        <f t="shared" si="20"/>
        <v>4010933.7460760223</v>
      </c>
      <c r="J41" s="42">
        <f t="shared" si="20"/>
        <v>4228521.4693147885</v>
      </c>
      <c r="K41" s="42">
        <f t="shared" si="20"/>
        <v>3774746.9894235097</v>
      </c>
      <c r="L41" s="42">
        <f t="shared" si="20"/>
        <v>3791796.7800074816</v>
      </c>
      <c r="M41" s="42">
        <f t="shared" si="20"/>
        <v>3900960.7461882187</v>
      </c>
      <c r="N41" s="42">
        <f t="shared" si="20"/>
        <v>4944926.7377305385</v>
      </c>
      <c r="O41" s="42">
        <f t="shared" si="19"/>
        <v>46970894.971726894</v>
      </c>
    </row>
    <row r="42" spans="1:15" x14ac:dyDescent="0.2">
      <c r="A42" s="32">
        <f t="shared" si="0"/>
        <v>38</v>
      </c>
      <c r="B42" s="14" t="s">
        <v>1065</v>
      </c>
      <c r="C42" s="42">
        <f>SUM(C40:C41)</f>
        <v>7403595.8300000001</v>
      </c>
      <c r="D42" s="42">
        <f t="shared" ref="D42:N42" si="21">SUM(D40:D41)</f>
        <v>5186428.49</v>
      </c>
      <c r="E42" s="42">
        <f t="shared" si="21"/>
        <v>5151606.6399999997</v>
      </c>
      <c r="F42" s="42">
        <f t="shared" si="21"/>
        <v>4425627.5600000005</v>
      </c>
      <c r="G42" s="42">
        <f t="shared" si="21"/>
        <v>4563505.04</v>
      </c>
      <c r="H42" s="42">
        <f t="shared" si="21"/>
        <v>5203830.37</v>
      </c>
      <c r="I42" s="42">
        <f t="shared" si="21"/>
        <v>5749514.0800000001</v>
      </c>
      <c r="J42" s="42">
        <f t="shared" si="21"/>
        <v>5974653.9800000004</v>
      </c>
      <c r="K42" s="42">
        <f t="shared" si="21"/>
        <v>5414898.5</v>
      </c>
      <c r="L42" s="42">
        <f t="shared" si="21"/>
        <v>5210398.1499999994</v>
      </c>
      <c r="M42" s="42">
        <f t="shared" si="21"/>
        <v>5270854.66</v>
      </c>
      <c r="N42" s="42">
        <f t="shared" si="21"/>
        <v>6875950.6999999993</v>
      </c>
      <c r="O42" s="42">
        <f t="shared" si="19"/>
        <v>66430864.000000015</v>
      </c>
    </row>
    <row r="43" spans="1:15" x14ac:dyDescent="0.2">
      <c r="A43" s="32">
        <f t="shared" si="0"/>
        <v>39</v>
      </c>
      <c r="B43" s="14" t="s">
        <v>930</v>
      </c>
      <c r="C43" s="42">
        <f t="shared" ref="C43:N43" si="22">C42-C38</f>
        <v>0</v>
      </c>
      <c r="D43" s="42">
        <f t="shared" si="22"/>
        <v>0</v>
      </c>
      <c r="E43" s="42">
        <f t="shared" si="22"/>
        <v>0</v>
      </c>
      <c r="F43" s="42">
        <f t="shared" si="22"/>
        <v>0</v>
      </c>
      <c r="G43" s="42">
        <f t="shared" si="22"/>
        <v>0</v>
      </c>
      <c r="H43" s="42">
        <f t="shared" si="22"/>
        <v>0</v>
      </c>
      <c r="I43" s="42">
        <f t="shared" si="22"/>
        <v>0</v>
      </c>
      <c r="J43" s="42">
        <f t="shared" si="22"/>
        <v>0</v>
      </c>
      <c r="K43" s="42">
        <f t="shared" si="22"/>
        <v>0</v>
      </c>
      <c r="L43" s="42">
        <f t="shared" si="22"/>
        <v>0</v>
      </c>
      <c r="M43" s="42">
        <f t="shared" si="22"/>
        <v>0</v>
      </c>
      <c r="N43" s="42">
        <f t="shared" si="22"/>
        <v>0</v>
      </c>
      <c r="O43" s="42">
        <f t="shared" si="19"/>
        <v>0</v>
      </c>
    </row>
    <row r="44" spans="1:15" x14ac:dyDescent="0.2">
      <c r="A44" s="32">
        <f t="shared" si="0"/>
        <v>40</v>
      </c>
      <c r="B44" s="14" t="s">
        <v>1066</v>
      </c>
      <c r="C44" s="201">
        <f>C40/C42</f>
        <v>0.3106653742222053</v>
      </c>
      <c r="D44" s="201">
        <f t="shared" ref="D44:O44" si="23">D40/D42</f>
        <v>0.31447432222858912</v>
      </c>
      <c r="E44" s="201">
        <f t="shared" si="23"/>
        <v>0.287159743178658</v>
      </c>
      <c r="F44" s="201">
        <f t="shared" si="23"/>
        <v>0.27617777075052624</v>
      </c>
      <c r="G44" s="201">
        <f t="shared" si="23"/>
        <v>0.29625238793871089</v>
      </c>
      <c r="H44" s="201">
        <f t="shared" si="23"/>
        <v>0.31342349747919546</v>
      </c>
      <c r="I44" s="201">
        <f t="shared" si="23"/>
        <v>0.30238735130186478</v>
      </c>
      <c r="J44" s="201">
        <f t="shared" si="23"/>
        <v>0.29225667570546265</v>
      </c>
      <c r="K44" s="201">
        <f t="shared" si="23"/>
        <v>0.30289607655184858</v>
      </c>
      <c r="L44" s="201">
        <f t="shared" si="23"/>
        <v>0.2722635255796178</v>
      </c>
      <c r="M44" s="201">
        <f t="shared" si="23"/>
        <v>0.25989976999513414</v>
      </c>
      <c r="N44" s="201">
        <f t="shared" si="23"/>
        <v>0.28083737747995507</v>
      </c>
      <c r="O44" s="201">
        <f t="shared" si="23"/>
        <v>0.29293566057296955</v>
      </c>
    </row>
    <row r="45" spans="1:15" x14ac:dyDescent="0.2">
      <c r="A45" s="32">
        <f t="shared" si="0"/>
        <v>41</v>
      </c>
      <c r="B45" s="14" t="s">
        <v>1067</v>
      </c>
      <c r="C45" s="201">
        <f>C41/C42</f>
        <v>0.6893346257777947</v>
      </c>
      <c r="D45" s="201">
        <f t="shared" ref="D45:O45" si="24">D41/D42</f>
        <v>0.68552567777141094</v>
      </c>
      <c r="E45" s="201">
        <f t="shared" si="24"/>
        <v>0.712840256821342</v>
      </c>
      <c r="F45" s="201">
        <f t="shared" si="24"/>
        <v>0.7238222292494737</v>
      </c>
      <c r="G45" s="201">
        <f t="shared" si="24"/>
        <v>0.70374761206128911</v>
      </c>
      <c r="H45" s="201">
        <f t="shared" si="24"/>
        <v>0.6865765025208046</v>
      </c>
      <c r="I45" s="201">
        <f t="shared" si="24"/>
        <v>0.69761264869813522</v>
      </c>
      <c r="J45" s="201">
        <f t="shared" si="24"/>
        <v>0.70774332429453735</v>
      </c>
      <c r="K45" s="201">
        <f t="shared" si="24"/>
        <v>0.69710392344815142</v>
      </c>
      <c r="L45" s="201">
        <f t="shared" si="24"/>
        <v>0.72773647442038225</v>
      </c>
      <c r="M45" s="201">
        <f t="shared" si="24"/>
        <v>0.7401002300048658</v>
      </c>
      <c r="N45" s="201">
        <f t="shared" si="24"/>
        <v>0.71916262252004493</v>
      </c>
      <c r="O45" s="201">
        <f t="shared" si="24"/>
        <v>0.70706433942703029</v>
      </c>
    </row>
    <row r="46" spans="1:15" x14ac:dyDescent="0.2">
      <c r="A46" s="32">
        <f t="shared" si="0"/>
        <v>42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5" x14ac:dyDescent="0.2">
      <c r="A47" s="32">
        <f t="shared" si="0"/>
        <v>43</v>
      </c>
      <c r="B47" s="182" t="s">
        <v>1068</v>
      </c>
      <c r="O47" s="24"/>
    </row>
    <row r="48" spans="1:15" x14ac:dyDescent="0.2">
      <c r="A48" s="32">
        <f t="shared" si="0"/>
        <v>44</v>
      </c>
      <c r="B48" s="14" t="s">
        <v>1141</v>
      </c>
      <c r="C48" s="24">
        <f>C12+C15+C16+C29+C30+C31+C32+C35</f>
        <v>4784627.01</v>
      </c>
      <c r="D48" s="24">
        <f t="shared" ref="D48:N48" si="25">D12+D15+D16+D29+D30+D31+D32+D35</f>
        <v>3386178.73</v>
      </c>
      <c r="E48" s="24">
        <f t="shared" si="25"/>
        <v>3533064.55</v>
      </c>
      <c r="F48" s="24">
        <f t="shared" si="25"/>
        <v>3055365.12</v>
      </c>
      <c r="G48" s="24">
        <f t="shared" si="25"/>
        <v>3064836.1500000004</v>
      </c>
      <c r="H48" s="24">
        <f t="shared" si="25"/>
        <v>3390849.18</v>
      </c>
      <c r="I48" s="24">
        <f t="shared" si="25"/>
        <v>3782188.77</v>
      </c>
      <c r="J48" s="24">
        <f t="shared" si="25"/>
        <v>4013880.2800000003</v>
      </c>
      <c r="K48" s="24">
        <f t="shared" si="25"/>
        <v>3610121.06</v>
      </c>
      <c r="L48" s="24">
        <f t="shared" si="25"/>
        <v>3641670.6399999997</v>
      </c>
      <c r="M48" s="24">
        <f t="shared" si="25"/>
        <v>3741581.2199999997</v>
      </c>
      <c r="N48" s="24">
        <f t="shared" si="25"/>
        <v>4682631.38</v>
      </c>
      <c r="O48" s="24">
        <f>SUM(C48:N48)</f>
        <v>44686994.090000004</v>
      </c>
    </row>
    <row r="49" spans="1:15" x14ac:dyDescent="0.2">
      <c r="A49" s="32">
        <f t="shared" si="0"/>
        <v>45</v>
      </c>
      <c r="B49" s="14" t="s">
        <v>1140</v>
      </c>
      <c r="C49" s="24">
        <f>C10+C18+C24+C34</f>
        <v>2156308.25</v>
      </c>
      <c r="D49" s="24">
        <f t="shared" ref="D49:N49" si="26">D10+D18+D24+D34</f>
        <v>1553357.22</v>
      </c>
      <c r="E49" s="24">
        <f t="shared" si="26"/>
        <v>1423255.63</v>
      </c>
      <c r="F49" s="24">
        <f t="shared" si="26"/>
        <v>1165788.9100000001</v>
      </c>
      <c r="G49" s="24">
        <f t="shared" si="26"/>
        <v>1290185.5899999999</v>
      </c>
      <c r="H49" s="24">
        <f t="shared" si="26"/>
        <v>1547929.1900000002</v>
      </c>
      <c r="I49" s="24">
        <f t="shared" si="26"/>
        <v>1639428.4800000002</v>
      </c>
      <c r="J49" s="24">
        <f t="shared" si="26"/>
        <v>1657498.23</v>
      </c>
      <c r="K49" s="24">
        <f t="shared" si="26"/>
        <v>1568620.5</v>
      </c>
      <c r="L49" s="24">
        <f t="shared" si="26"/>
        <v>1362435.61</v>
      </c>
      <c r="M49" s="24">
        <f t="shared" si="26"/>
        <v>1313924.8700000001</v>
      </c>
      <c r="N49" s="24">
        <f t="shared" si="26"/>
        <v>1828596.0299999998</v>
      </c>
      <c r="O49" s="24">
        <f t="shared" ref="O49:O50" si="27">SUM(C49:N49)</f>
        <v>18507328.510000002</v>
      </c>
    </row>
    <row r="50" spans="1:15" x14ac:dyDescent="0.2">
      <c r="A50" s="32">
        <f t="shared" si="0"/>
        <v>46</v>
      </c>
      <c r="B50" s="202" t="s">
        <v>1142</v>
      </c>
      <c r="C50" s="203">
        <f t="shared" ref="C50:N50" si="28">SUM(C48:C49)</f>
        <v>6940935.2599999998</v>
      </c>
      <c r="D50" s="203">
        <f t="shared" si="28"/>
        <v>4939535.95</v>
      </c>
      <c r="E50" s="203">
        <f t="shared" si="28"/>
        <v>4956320.18</v>
      </c>
      <c r="F50" s="203">
        <f t="shared" si="28"/>
        <v>4221154.03</v>
      </c>
      <c r="G50" s="203">
        <f t="shared" si="28"/>
        <v>4355021.74</v>
      </c>
      <c r="H50" s="203">
        <f t="shared" si="28"/>
        <v>4938778.37</v>
      </c>
      <c r="I50" s="203">
        <f t="shared" si="28"/>
        <v>5421617.25</v>
      </c>
      <c r="J50" s="203">
        <f t="shared" si="28"/>
        <v>5671378.5099999998</v>
      </c>
      <c r="K50" s="203">
        <f t="shared" si="28"/>
        <v>5178741.5600000005</v>
      </c>
      <c r="L50" s="203">
        <f t="shared" si="28"/>
        <v>5004106.25</v>
      </c>
      <c r="M50" s="203">
        <f t="shared" si="28"/>
        <v>5055506.09</v>
      </c>
      <c r="N50" s="203">
        <f t="shared" si="28"/>
        <v>6511227.4100000001</v>
      </c>
      <c r="O50" s="203">
        <f t="shared" si="27"/>
        <v>63194322.599999994</v>
      </c>
    </row>
    <row r="51" spans="1:15" x14ac:dyDescent="0.2">
      <c r="A51" s="32">
        <f t="shared" si="0"/>
        <v>47</v>
      </c>
      <c r="B51" s="14" t="s">
        <v>1069</v>
      </c>
      <c r="C51" s="25">
        <f t="shared" ref="C51:O51" si="29">C48/C50</f>
        <v>0.6893346257777947</v>
      </c>
      <c r="D51" s="25">
        <f t="shared" si="29"/>
        <v>0.68552567777141082</v>
      </c>
      <c r="E51" s="25">
        <f t="shared" si="29"/>
        <v>0.712840256821342</v>
      </c>
      <c r="F51" s="25">
        <f t="shared" si="29"/>
        <v>0.7238222292494737</v>
      </c>
      <c r="G51" s="25">
        <f t="shared" si="29"/>
        <v>0.70374761206128911</v>
      </c>
      <c r="H51" s="25">
        <f t="shared" si="29"/>
        <v>0.6865765025208046</v>
      </c>
      <c r="I51" s="25">
        <f t="shared" si="29"/>
        <v>0.69761264869813522</v>
      </c>
      <c r="J51" s="25">
        <f t="shared" si="29"/>
        <v>0.70774332429453746</v>
      </c>
      <c r="K51" s="25">
        <f t="shared" si="29"/>
        <v>0.69710392344815131</v>
      </c>
      <c r="L51" s="25">
        <f t="shared" si="29"/>
        <v>0.72773647442038214</v>
      </c>
      <c r="M51" s="25">
        <f t="shared" si="29"/>
        <v>0.7401002300048658</v>
      </c>
      <c r="N51" s="25">
        <f t="shared" si="29"/>
        <v>0.71916262252004493</v>
      </c>
      <c r="O51" s="25">
        <f t="shared" si="29"/>
        <v>0.70713621495485435</v>
      </c>
    </row>
    <row r="52" spans="1:15" ht="13.5" customHeight="1" x14ac:dyDescent="0.2">
      <c r="A52" s="32">
        <f t="shared" si="0"/>
        <v>48</v>
      </c>
      <c r="B52" s="14" t="s">
        <v>1070</v>
      </c>
      <c r="C52" s="25">
        <f t="shared" ref="C52:G52" si="30">C49/C50</f>
        <v>0.31066537422220536</v>
      </c>
      <c r="D52" s="25">
        <f t="shared" si="30"/>
        <v>0.31447432222858906</v>
      </c>
      <c r="E52" s="25">
        <f t="shared" si="30"/>
        <v>0.287159743178658</v>
      </c>
      <c r="F52" s="25">
        <f t="shared" si="30"/>
        <v>0.27617777075052624</v>
      </c>
      <c r="G52" s="25">
        <f t="shared" si="30"/>
        <v>0.29625238793871089</v>
      </c>
      <c r="H52" s="25">
        <f>H49/H50</f>
        <v>0.31342349747919546</v>
      </c>
      <c r="I52" s="25">
        <f t="shared" ref="I52:O52" si="31">I49/I50</f>
        <v>0.30238735130186484</v>
      </c>
      <c r="J52" s="25">
        <f t="shared" si="31"/>
        <v>0.29225667570546265</v>
      </c>
      <c r="K52" s="25">
        <f t="shared" si="31"/>
        <v>0.30289607655184858</v>
      </c>
      <c r="L52" s="25">
        <f t="shared" si="31"/>
        <v>0.27226352557961775</v>
      </c>
      <c r="M52" s="25">
        <f t="shared" si="31"/>
        <v>0.2598997699951342</v>
      </c>
      <c r="N52" s="25">
        <f t="shared" si="31"/>
        <v>0.28083737747995502</v>
      </c>
      <c r="O52" s="25">
        <f t="shared" si="31"/>
        <v>0.29286378504514587</v>
      </c>
    </row>
    <row r="53" spans="1:15" x14ac:dyDescent="0.2">
      <c r="A53" s="32">
        <f t="shared" si="0"/>
        <v>49</v>
      </c>
    </row>
    <row r="54" spans="1:15" x14ac:dyDescent="0.2">
      <c r="A54" s="32">
        <f t="shared" si="0"/>
        <v>50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14" t="s">
        <v>0</v>
      </c>
      <c r="O54" s="24">
        <f>O38</f>
        <v>66430864</v>
      </c>
    </row>
    <row r="55" spans="1:15" x14ac:dyDescent="0.2">
      <c r="A55" s="32">
        <f t="shared" si="0"/>
        <v>51</v>
      </c>
      <c r="N55" s="14" t="s">
        <v>941</v>
      </c>
      <c r="O55" s="24">
        <v>66430864</v>
      </c>
    </row>
    <row r="56" spans="1:15" x14ac:dyDescent="0.2">
      <c r="A56" s="32">
        <f t="shared" si="0"/>
        <v>52</v>
      </c>
      <c r="N56" s="178" t="s">
        <v>1028</v>
      </c>
      <c r="O56" s="37">
        <f>O55-O54</f>
        <v>0</v>
      </c>
    </row>
  </sheetData>
  <phoneticPr fontId="18" type="noConversion"/>
  <pageMargins left="0.45" right="0.45" top="1.25" bottom="0.75" header="0.55000000000000004" footer="0.3"/>
  <pageSetup scale="60" orientation="landscape" r:id="rId1"/>
  <headerFooter>
    <oddFooter>&amp;RExhibit JW-7
Page &amp;P of &amp;N</oddFooter>
  </headerFooter>
  <ignoredErrors>
    <ignoredError sqref="O10:O1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P89"/>
  <sheetViews>
    <sheetView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5.5703125" style="14" customWidth="1"/>
    <col min="2" max="2" width="35.85546875" style="29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80.5703125" style="14" customWidth="1"/>
    <col min="9" max="9" width="9.140625" style="14" customWidth="1"/>
    <col min="10" max="10" width="10.140625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14" x14ac:dyDescent="0.2">
      <c r="A1" s="13" t="str">
        <f>'Summary of Returns'!A1</f>
        <v>MEADE COUNTY R.E.C.C.</v>
      </c>
    </row>
    <row r="2" spans="1:14" x14ac:dyDescent="0.2">
      <c r="A2" s="13" t="s">
        <v>678</v>
      </c>
    </row>
    <row r="3" spans="1:14" ht="15" x14ac:dyDescent="0.25">
      <c r="I3"/>
      <c r="J3"/>
      <c r="K3"/>
      <c r="L3"/>
      <c r="M3"/>
      <c r="N3"/>
    </row>
    <row r="4" spans="1:14" ht="62.25" customHeight="1" thickBot="1" x14ac:dyDescent="0.3">
      <c r="A4" s="61" t="s">
        <v>952</v>
      </c>
      <c r="B4" s="86" t="s">
        <v>753</v>
      </c>
      <c r="C4" s="142" t="s">
        <v>873</v>
      </c>
      <c r="D4" s="81" t="s">
        <v>874</v>
      </c>
      <c r="E4" s="81" t="s">
        <v>875</v>
      </c>
      <c r="F4" s="81" t="s">
        <v>865</v>
      </c>
      <c r="G4" s="81" t="s">
        <v>876</v>
      </c>
      <c r="H4" s="82"/>
      <c r="I4" s="240" t="s">
        <v>1126</v>
      </c>
      <c r="J4" s="240"/>
      <c r="K4"/>
      <c r="L4" s="240" t="s">
        <v>1127</v>
      </c>
      <c r="M4" s="240"/>
      <c r="N4"/>
    </row>
    <row r="5" spans="1:14" ht="15" x14ac:dyDescent="0.25">
      <c r="A5" s="29"/>
      <c r="B5" s="13"/>
      <c r="C5" s="16"/>
      <c r="I5" s="207">
        <v>1</v>
      </c>
      <c r="J5" s="207">
        <v>2</v>
      </c>
      <c r="K5" s="207"/>
      <c r="L5" s="207">
        <v>1</v>
      </c>
      <c r="M5" s="207">
        <v>2</v>
      </c>
      <c r="N5"/>
    </row>
    <row r="6" spans="1:14" ht="15" x14ac:dyDescent="0.25">
      <c r="A6" s="29">
        <v>1</v>
      </c>
      <c r="B6" s="14" t="str">
        <f>'Summary of Returns'!B10</f>
        <v>Residential</v>
      </c>
      <c r="C6" s="143">
        <f>'Summary of Returns'!C10</f>
        <v>1</v>
      </c>
      <c r="D6" s="116">
        <f>'Billing Det'!C8</f>
        <v>29248</v>
      </c>
      <c r="E6" s="144">
        <f>I6*L6+J6*M6</f>
        <v>222.2266909999999</v>
      </c>
      <c r="F6" s="144">
        <f t="shared" ref="F6:F16" si="0">E6*D6</f>
        <v>6499686.2583679976</v>
      </c>
      <c r="G6" s="145">
        <f t="shared" ref="G6:G11" si="1">F6/$F$32</f>
        <v>0.7738274588366082</v>
      </c>
      <c r="H6" s="145"/>
      <c r="I6" s="222">
        <v>217.96</v>
      </c>
      <c r="J6" s="223">
        <v>3500.03</v>
      </c>
      <c r="K6" s="215"/>
      <c r="L6" s="211">
        <v>0.99870000000000003</v>
      </c>
      <c r="M6" s="211">
        <f>1-L6</f>
        <v>1.2999999999999678E-3</v>
      </c>
      <c r="N6"/>
    </row>
    <row r="7" spans="1:14" ht="15" x14ac:dyDescent="0.25">
      <c r="A7" s="29">
        <v>2</v>
      </c>
      <c r="B7" s="14" t="str">
        <f>'Summary of Returns'!B11</f>
        <v>Small Comm</v>
      </c>
      <c r="C7" s="143">
        <f>'Summary of Returns'!C11</f>
        <v>2</v>
      </c>
      <c r="D7" s="116">
        <f>'Billing Det'!C9</f>
        <v>1819</v>
      </c>
      <c r="E7" s="144">
        <f t="shared" ref="E7:E8" si="2">I7*L7+J7*M7</f>
        <v>349.2428000000001</v>
      </c>
      <c r="F7" s="144">
        <f t="shared" si="0"/>
        <v>635272.65320000018</v>
      </c>
      <c r="G7" s="145">
        <f t="shared" si="1"/>
        <v>7.5633100330227243E-2</v>
      </c>
      <c r="H7" s="145"/>
      <c r="I7" s="222">
        <f>I6</f>
        <v>217.96</v>
      </c>
      <c r="J7" s="223">
        <f>J6</f>
        <v>3500.03</v>
      </c>
      <c r="K7" s="215"/>
      <c r="L7" s="211">
        <v>0.96</v>
      </c>
      <c r="M7" s="211">
        <f>1-L7</f>
        <v>4.0000000000000036E-2</v>
      </c>
      <c r="N7"/>
    </row>
    <row r="8" spans="1:14" ht="15" x14ac:dyDescent="0.25">
      <c r="A8" s="29">
        <v>3</v>
      </c>
      <c r="B8" s="14" t="str">
        <f>'Summary of Returns'!B12</f>
        <v>3 Phase</v>
      </c>
      <c r="C8" s="143">
        <f>'Summary of Returns'!C12</f>
        <v>3</v>
      </c>
      <c r="D8" s="116">
        <f>'Billing Det'!C10</f>
        <v>402</v>
      </c>
      <c r="E8" s="144">
        <f t="shared" si="2"/>
        <v>2683.9799999999996</v>
      </c>
      <c r="F8" s="144">
        <f t="shared" si="0"/>
        <v>1078959.9599999997</v>
      </c>
      <c r="G8" s="145">
        <f t="shared" si="1"/>
        <v>0.12845679173488139</v>
      </c>
      <c r="H8" s="145"/>
      <c r="I8" s="222">
        <v>475.98</v>
      </c>
      <c r="J8" s="223">
        <v>5075.9799999999996</v>
      </c>
      <c r="K8" s="215"/>
      <c r="L8" s="211">
        <v>0.52</v>
      </c>
      <c r="M8" s="211">
        <f>1-L8</f>
        <v>0.48</v>
      </c>
      <c r="N8"/>
    </row>
    <row r="9" spans="1:14" ht="15" x14ac:dyDescent="0.25">
      <c r="A9" s="29">
        <v>4</v>
      </c>
      <c r="B9" s="14" t="str">
        <f>'Summary of Returns'!B13</f>
        <v>3 Ph 0-999 KVA TOD</v>
      </c>
      <c r="C9" s="143" t="str">
        <f>'Summary of Returns'!C13</f>
        <v>3A</v>
      </c>
      <c r="D9" s="116">
        <f>'Billing Det'!C11</f>
        <v>4</v>
      </c>
      <c r="E9" s="144">
        <v>20609</v>
      </c>
      <c r="F9" s="144">
        <f t="shared" si="0"/>
        <v>82436</v>
      </c>
      <c r="G9" s="145">
        <f t="shared" si="1"/>
        <v>9.8145107103480324E-3</v>
      </c>
      <c r="H9" s="145"/>
      <c r="I9" s="213"/>
      <c r="J9" s="214"/>
      <c r="K9" s="215"/>
      <c r="L9" s="212"/>
      <c r="M9" s="212"/>
      <c r="N9"/>
    </row>
    <row r="10" spans="1:14" ht="15" x14ac:dyDescent="0.25">
      <c r="A10" s="29">
        <v>5</v>
      </c>
      <c r="B10" s="14" t="str">
        <f>'Summary of Returns'!B14</f>
        <v>Large 1000 KVA TOD</v>
      </c>
      <c r="C10" s="143">
        <f>'Summary of Returns'!C14</f>
        <v>4</v>
      </c>
      <c r="D10" s="116">
        <f>'Billing Det'!C12</f>
        <v>5</v>
      </c>
      <c r="E10" s="144">
        <v>20609</v>
      </c>
      <c r="F10" s="144">
        <f t="shared" si="0"/>
        <v>103045</v>
      </c>
      <c r="G10" s="145">
        <f t="shared" si="1"/>
        <v>1.226813838793504E-2</v>
      </c>
      <c r="H10" s="145"/>
      <c r="I10" s="208"/>
      <c r="J10" s="209"/>
      <c r="K10" s="210"/>
      <c r="L10" s="211"/>
      <c r="M10" s="211"/>
      <c r="N10"/>
    </row>
    <row r="11" spans="1:14" ht="15" x14ac:dyDescent="0.25">
      <c r="A11" s="29">
        <v>6</v>
      </c>
      <c r="B11" s="14" t="str">
        <f>'Summary of Returns'!B15</f>
        <v>Private Outdoor Lighting</v>
      </c>
      <c r="C11" s="143">
        <f>'Summary of Returns'!C15</f>
        <v>5</v>
      </c>
      <c r="D11" s="116">
        <f>'Billing Det'!C13</f>
        <v>0</v>
      </c>
      <c r="E11" s="144">
        <v>0</v>
      </c>
      <c r="F11" s="144">
        <f t="shared" si="0"/>
        <v>0</v>
      </c>
      <c r="G11" s="145">
        <f t="shared" si="1"/>
        <v>0</v>
      </c>
      <c r="H11" s="145"/>
      <c r="I11" s="210"/>
      <c r="J11" s="210"/>
      <c r="K11" s="210"/>
      <c r="L11" s="210"/>
      <c r="M11" s="210"/>
      <c r="N11"/>
    </row>
    <row r="12" spans="1:14" x14ac:dyDescent="0.2">
      <c r="A12" s="29">
        <v>7</v>
      </c>
      <c r="B12" s="14" t="str">
        <f>'Summary of Returns'!B16</f>
        <v>Street &amp; Hwy Lights</v>
      </c>
      <c r="C12" s="143">
        <f>'Summary of Returns'!C16</f>
        <v>6</v>
      </c>
      <c r="D12" s="116">
        <f>'Billing Det'!C14</f>
        <v>6</v>
      </c>
      <c r="E12" s="144">
        <v>0</v>
      </c>
      <c r="F12" s="144">
        <f t="shared" si="0"/>
        <v>0</v>
      </c>
      <c r="G12" s="145">
        <f t="shared" ref="G12:G16" si="3">F12/$F$32</f>
        <v>0</v>
      </c>
      <c r="H12" s="145"/>
    </row>
    <row r="13" spans="1:14" hidden="1" x14ac:dyDescent="0.2">
      <c r="A13" s="29">
        <v>8</v>
      </c>
      <c r="B13" s="14" t="str">
        <f>'Summary of Returns'!B17</f>
        <v>Special Contract</v>
      </c>
      <c r="C13" s="143" t="str">
        <f>'Summary of Returns'!C17</f>
        <v>SC</v>
      </c>
      <c r="D13" s="116">
        <f>'Billing Det'!C15</f>
        <v>1</v>
      </c>
      <c r="E13" s="186">
        <v>0</v>
      </c>
      <c r="F13" s="144">
        <f t="shared" si="0"/>
        <v>0</v>
      </c>
      <c r="G13" s="145">
        <f t="shared" si="3"/>
        <v>0</v>
      </c>
      <c r="H13" s="145"/>
    </row>
    <row r="14" spans="1:14" hidden="1" x14ac:dyDescent="0.2">
      <c r="A14" s="29">
        <v>9</v>
      </c>
      <c r="B14" s="14" t="str">
        <f>'Summary of Returns'!B18</f>
        <v>reserved</v>
      </c>
      <c r="C14" s="143" t="str">
        <f>'Summary of Returns'!C18</f>
        <v>X</v>
      </c>
      <c r="D14" s="116">
        <f>'Billing Det'!C16</f>
        <v>0</v>
      </c>
      <c r="E14" s="186">
        <v>0</v>
      </c>
      <c r="F14" s="144">
        <f t="shared" si="0"/>
        <v>0</v>
      </c>
      <c r="G14" s="145">
        <f t="shared" si="3"/>
        <v>0</v>
      </c>
      <c r="H14" s="145"/>
    </row>
    <row r="15" spans="1:14" hidden="1" x14ac:dyDescent="0.2">
      <c r="A15" s="29">
        <v>10</v>
      </c>
      <c r="B15" s="14" t="str">
        <f>'Summary of Returns'!B19</f>
        <v>reserved</v>
      </c>
      <c r="C15" s="143" t="str">
        <f>'Summary of Returns'!C19</f>
        <v>X</v>
      </c>
      <c r="D15" s="116">
        <f>'Billing Det'!C17</f>
        <v>0</v>
      </c>
      <c r="E15" s="186">
        <v>0</v>
      </c>
      <c r="F15" s="144">
        <f t="shared" si="0"/>
        <v>0</v>
      </c>
      <c r="G15" s="145">
        <f t="shared" si="3"/>
        <v>0</v>
      </c>
      <c r="H15" s="145"/>
    </row>
    <row r="16" spans="1:14" hidden="1" x14ac:dyDescent="0.2">
      <c r="A16" s="29">
        <v>11</v>
      </c>
      <c r="B16" s="14">
        <f>'Summary of Returns'!B20</f>
        <v>0</v>
      </c>
      <c r="C16" s="143">
        <f>'Summary of Returns'!C20</f>
        <v>0</v>
      </c>
      <c r="D16" s="116">
        <f>'Billing Det'!C18</f>
        <v>0</v>
      </c>
      <c r="E16" s="144">
        <v>0</v>
      </c>
      <c r="F16" s="144">
        <f t="shared" si="0"/>
        <v>0</v>
      </c>
      <c r="G16" s="145">
        <f t="shared" si="3"/>
        <v>0</v>
      </c>
      <c r="H16" s="66"/>
    </row>
    <row r="17" spans="1:8" hidden="1" x14ac:dyDescent="0.2">
      <c r="A17" s="29"/>
      <c r="B17" s="14"/>
      <c r="C17" s="29"/>
      <c r="D17" s="49"/>
      <c r="E17" s="65"/>
      <c r="F17" s="65"/>
      <c r="G17" s="66"/>
      <c r="H17" s="66"/>
    </row>
    <row r="18" spans="1:8" hidden="1" x14ac:dyDescent="0.2">
      <c r="A18" s="29"/>
      <c r="B18" s="14"/>
      <c r="C18" s="29"/>
      <c r="D18" s="49"/>
      <c r="E18" s="129"/>
      <c r="F18" s="65"/>
      <c r="G18" s="66"/>
      <c r="H18" s="66"/>
    </row>
    <row r="19" spans="1:8" hidden="1" x14ac:dyDescent="0.2">
      <c r="A19" s="29"/>
      <c r="B19" s="14"/>
      <c r="C19" s="29"/>
      <c r="D19" s="49"/>
      <c r="E19" s="65"/>
      <c r="F19" s="65"/>
      <c r="G19" s="66"/>
      <c r="H19" s="66"/>
    </row>
    <row r="20" spans="1:8" hidden="1" x14ac:dyDescent="0.2">
      <c r="A20" s="29"/>
      <c r="B20" s="14"/>
      <c r="C20" s="29"/>
      <c r="D20" s="49"/>
      <c r="E20" s="129"/>
      <c r="F20" s="65"/>
      <c r="G20" s="66"/>
      <c r="H20" s="66"/>
    </row>
    <row r="21" spans="1:8" hidden="1" x14ac:dyDescent="0.2">
      <c r="A21" s="29"/>
      <c r="B21" s="14"/>
      <c r="C21" s="29"/>
      <c r="D21" s="49"/>
      <c r="E21" s="65"/>
      <c r="F21" s="65"/>
      <c r="G21" s="66"/>
      <c r="H21" s="66"/>
    </row>
    <row r="22" spans="1:8" hidden="1" x14ac:dyDescent="0.2">
      <c r="A22" s="29"/>
      <c r="B22" s="14"/>
      <c r="C22" s="29"/>
      <c r="D22" s="49"/>
      <c r="E22" s="129"/>
      <c r="F22" s="65"/>
      <c r="G22" s="66"/>
      <c r="H22" s="66"/>
    </row>
    <row r="23" spans="1:8" hidden="1" x14ac:dyDescent="0.2">
      <c r="A23" s="29"/>
      <c r="B23" s="14"/>
      <c r="C23" s="29"/>
      <c r="D23" s="49"/>
      <c r="E23" s="65"/>
      <c r="F23" s="65"/>
      <c r="G23" s="66"/>
      <c r="H23" s="66"/>
    </row>
    <row r="24" spans="1:8" hidden="1" x14ac:dyDescent="0.2">
      <c r="A24" s="29"/>
      <c r="B24" s="14"/>
      <c r="C24" s="29"/>
      <c r="D24" s="49"/>
      <c r="E24" s="129"/>
      <c r="F24" s="65"/>
      <c r="G24" s="66"/>
      <c r="H24" s="66"/>
    </row>
    <row r="25" spans="1:8" hidden="1" x14ac:dyDescent="0.2">
      <c r="A25" s="29"/>
      <c r="B25" s="14"/>
      <c r="C25" s="29"/>
      <c r="D25" s="49"/>
      <c r="E25" s="65"/>
      <c r="F25" s="65"/>
      <c r="G25" s="66"/>
      <c r="H25" s="66"/>
    </row>
    <row r="26" spans="1:8" hidden="1" x14ac:dyDescent="0.2">
      <c r="A26" s="29"/>
      <c r="B26" s="14"/>
      <c r="C26" s="29"/>
      <c r="D26" s="49"/>
      <c r="E26" s="129"/>
      <c r="F26" s="65"/>
      <c r="G26" s="66"/>
      <c r="H26" s="66"/>
    </row>
    <row r="27" spans="1:8" hidden="1" x14ac:dyDescent="0.2">
      <c r="A27" s="29"/>
      <c r="B27" s="14"/>
      <c r="C27" s="29"/>
      <c r="D27" s="49"/>
      <c r="E27" s="65"/>
      <c r="F27" s="65"/>
      <c r="G27" s="66"/>
      <c r="H27" s="66"/>
    </row>
    <row r="28" spans="1:8" hidden="1" x14ac:dyDescent="0.2">
      <c r="A28" s="29"/>
      <c r="B28" s="14"/>
      <c r="C28" s="29"/>
      <c r="D28" s="49"/>
      <c r="E28" s="129"/>
      <c r="F28" s="65"/>
      <c r="G28" s="66"/>
      <c r="H28" s="66"/>
    </row>
    <row r="29" spans="1:8" hidden="1" x14ac:dyDescent="0.2">
      <c r="A29" s="29"/>
      <c r="B29" s="14"/>
      <c r="C29" s="29"/>
      <c r="D29" s="49"/>
      <c r="E29" s="65"/>
      <c r="F29" s="65"/>
      <c r="G29" s="66"/>
      <c r="H29" s="66"/>
    </row>
    <row r="30" spans="1:8" hidden="1" x14ac:dyDescent="0.2">
      <c r="A30" s="29"/>
      <c r="B30" s="14"/>
      <c r="C30" s="29"/>
      <c r="D30" s="49"/>
      <c r="E30" s="129"/>
      <c r="F30" s="65"/>
      <c r="G30" s="66"/>
      <c r="H30" s="66"/>
    </row>
    <row r="31" spans="1:8" hidden="1" x14ac:dyDescent="0.2">
      <c r="A31" s="29"/>
      <c r="B31" s="14"/>
      <c r="C31" s="29"/>
      <c r="D31" s="49"/>
      <c r="E31" s="65"/>
      <c r="F31" s="65"/>
      <c r="G31" s="66"/>
      <c r="H31" s="66"/>
    </row>
    <row r="32" spans="1:8" ht="13.5" thickBot="1" x14ac:dyDescent="0.25">
      <c r="A32" s="29">
        <v>8</v>
      </c>
      <c r="B32" s="146" t="s">
        <v>0</v>
      </c>
      <c r="C32" s="147"/>
      <c r="D32" s="148">
        <f>SUM(D6:D31)</f>
        <v>31485</v>
      </c>
      <c r="E32" s="149">
        <f>F32/D32</f>
        <v>266.77465051827846</v>
      </c>
      <c r="F32" s="150">
        <f>SUM(F6:F31)</f>
        <v>8399399.8715679981</v>
      </c>
      <c r="G32" s="151">
        <f>SUM(G6:G31)</f>
        <v>0.99999999999999978</v>
      </c>
      <c r="H32" s="46"/>
    </row>
    <row r="33" spans="1:16" ht="13.5" thickTop="1" x14ac:dyDescent="0.2">
      <c r="A33" s="29"/>
      <c r="B33" s="14"/>
      <c r="C33" s="152"/>
      <c r="D33" s="49"/>
    </row>
    <row r="34" spans="1:16" x14ac:dyDescent="0.2">
      <c r="B34" s="152"/>
      <c r="C34" s="49"/>
    </row>
    <row r="35" spans="1:16" x14ac:dyDescent="0.2">
      <c r="B35" s="152"/>
      <c r="C35" s="49"/>
    </row>
    <row r="36" spans="1:16" x14ac:dyDescent="0.2">
      <c r="B36" s="153"/>
      <c r="C36" s="154"/>
    </row>
    <row r="37" spans="1:16" s="13" customFormat="1" x14ac:dyDescent="0.2">
      <c r="A37" s="14"/>
      <c r="B37" s="153"/>
      <c r="C37" s="15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B38" s="153"/>
      <c r="C38" s="154"/>
    </row>
    <row r="39" spans="1:16" x14ac:dyDescent="0.2">
      <c r="B39" s="152"/>
      <c r="C39" s="49"/>
    </row>
    <row r="40" spans="1:16" x14ac:dyDescent="0.2">
      <c r="B40" s="152"/>
      <c r="C40" s="49"/>
    </row>
    <row r="41" spans="1:16" x14ac:dyDescent="0.2">
      <c r="B41" s="152"/>
      <c r="C41" s="49"/>
    </row>
    <row r="42" spans="1:16" x14ac:dyDescent="0.2">
      <c r="B42" s="152"/>
      <c r="C42" s="49"/>
    </row>
    <row r="43" spans="1:16" x14ac:dyDescent="0.2">
      <c r="B43" s="152"/>
      <c r="C43" s="49"/>
    </row>
    <row r="44" spans="1:16" x14ac:dyDescent="0.2">
      <c r="B44" s="152"/>
      <c r="C44" s="49"/>
    </row>
    <row r="45" spans="1:16" x14ac:dyDescent="0.2">
      <c r="B45" s="152"/>
      <c r="C45" s="49"/>
    </row>
    <row r="46" spans="1:16" x14ac:dyDescent="0.2">
      <c r="B46" s="152"/>
      <c r="C46" s="49"/>
    </row>
    <row r="47" spans="1:16" x14ac:dyDescent="0.2">
      <c r="B47" s="152"/>
      <c r="C47" s="49"/>
    </row>
    <row r="48" spans="1:16" x14ac:dyDescent="0.2">
      <c r="B48" s="152"/>
      <c r="C48" s="49"/>
    </row>
    <row r="49" spans="2:3" x14ac:dyDescent="0.2">
      <c r="B49" s="152"/>
      <c r="C49" s="49"/>
    </row>
    <row r="50" spans="2:3" x14ac:dyDescent="0.2">
      <c r="B50" s="152"/>
      <c r="C50" s="49"/>
    </row>
    <row r="51" spans="2:3" x14ac:dyDescent="0.2">
      <c r="B51" s="152"/>
      <c r="C51" s="49"/>
    </row>
    <row r="52" spans="2:3" x14ac:dyDescent="0.2">
      <c r="B52" s="152"/>
      <c r="C52" s="49"/>
    </row>
    <row r="53" spans="2:3" x14ac:dyDescent="0.2">
      <c r="B53" s="152"/>
      <c r="C53" s="49"/>
    </row>
    <row r="54" spans="2:3" x14ac:dyDescent="0.2">
      <c r="B54" s="152"/>
      <c r="C54" s="49"/>
    </row>
    <row r="55" spans="2:3" x14ac:dyDescent="0.2">
      <c r="B55" s="152"/>
      <c r="C55" s="49"/>
    </row>
    <row r="56" spans="2:3" x14ac:dyDescent="0.2">
      <c r="B56" s="152"/>
      <c r="C56" s="49"/>
    </row>
    <row r="57" spans="2:3" x14ac:dyDescent="0.2">
      <c r="B57" s="152"/>
      <c r="C57" s="49"/>
    </row>
    <row r="58" spans="2:3" x14ac:dyDescent="0.2">
      <c r="B58" s="152"/>
      <c r="C58" s="49"/>
    </row>
    <row r="59" spans="2:3" x14ac:dyDescent="0.2">
      <c r="B59" s="152"/>
      <c r="C59" s="49"/>
    </row>
    <row r="60" spans="2:3" x14ac:dyDescent="0.2">
      <c r="B60" s="152"/>
      <c r="C60" s="49"/>
    </row>
    <row r="61" spans="2:3" x14ac:dyDescent="0.2">
      <c r="B61" s="152"/>
      <c r="C61" s="49"/>
    </row>
    <row r="62" spans="2:3" x14ac:dyDescent="0.2">
      <c r="B62" s="152"/>
      <c r="C62" s="49"/>
    </row>
    <row r="63" spans="2:3" x14ac:dyDescent="0.2">
      <c r="B63" s="152"/>
      <c r="C63" s="49"/>
    </row>
    <row r="64" spans="2:3" x14ac:dyDescent="0.2">
      <c r="B64" s="152"/>
      <c r="C64" s="49"/>
    </row>
    <row r="65" spans="2:3" x14ac:dyDescent="0.2">
      <c r="B65" s="152"/>
      <c r="C65" s="49"/>
    </row>
    <row r="66" spans="2:3" x14ac:dyDescent="0.2">
      <c r="B66" s="152"/>
      <c r="C66" s="49"/>
    </row>
    <row r="67" spans="2:3" x14ac:dyDescent="0.2">
      <c r="B67" s="152"/>
      <c r="C67" s="49"/>
    </row>
    <row r="68" spans="2:3" x14ac:dyDescent="0.2">
      <c r="B68" s="152"/>
      <c r="C68" s="49"/>
    </row>
    <row r="69" spans="2:3" x14ac:dyDescent="0.2">
      <c r="B69" s="152"/>
      <c r="C69" s="49"/>
    </row>
    <row r="70" spans="2:3" x14ac:dyDescent="0.2">
      <c r="B70" s="152"/>
      <c r="C70" s="49"/>
    </row>
    <row r="71" spans="2:3" x14ac:dyDescent="0.2">
      <c r="B71" s="152"/>
      <c r="C71" s="49"/>
    </row>
    <row r="72" spans="2:3" x14ac:dyDescent="0.2">
      <c r="B72" s="152"/>
      <c r="C72" s="49"/>
    </row>
    <row r="73" spans="2:3" x14ac:dyDescent="0.2">
      <c r="B73" s="152"/>
      <c r="C73" s="49"/>
    </row>
    <row r="74" spans="2:3" x14ac:dyDescent="0.2">
      <c r="B74" s="152"/>
      <c r="C74" s="49"/>
    </row>
    <row r="75" spans="2:3" x14ac:dyDescent="0.2">
      <c r="B75" s="152"/>
      <c r="C75" s="49"/>
    </row>
    <row r="76" spans="2:3" x14ac:dyDescent="0.2">
      <c r="B76" s="152"/>
      <c r="C76" s="49"/>
    </row>
    <row r="77" spans="2:3" x14ac:dyDescent="0.2">
      <c r="B77" s="152"/>
      <c r="C77" s="49"/>
    </row>
    <row r="78" spans="2:3" x14ac:dyDescent="0.2">
      <c r="B78" s="152"/>
      <c r="C78" s="49"/>
    </row>
    <row r="79" spans="2:3" x14ac:dyDescent="0.2">
      <c r="B79" s="152"/>
      <c r="C79" s="49"/>
    </row>
    <row r="80" spans="2:3" x14ac:dyDescent="0.2">
      <c r="B80" s="152"/>
      <c r="C80" s="49"/>
    </row>
    <row r="81" spans="2:3" x14ac:dyDescent="0.2">
      <c r="B81" s="152"/>
      <c r="C81" s="49"/>
    </row>
    <row r="82" spans="2:3" x14ac:dyDescent="0.2">
      <c r="B82" s="152"/>
      <c r="C82" s="49"/>
    </row>
    <row r="83" spans="2:3" x14ac:dyDescent="0.2">
      <c r="B83" s="152"/>
      <c r="C83" s="49"/>
    </row>
    <row r="84" spans="2:3" x14ac:dyDescent="0.2">
      <c r="B84" s="152"/>
      <c r="C84" s="49"/>
    </row>
    <row r="85" spans="2:3" x14ac:dyDescent="0.2">
      <c r="B85" s="152"/>
      <c r="C85" s="49"/>
    </row>
    <row r="86" spans="2:3" x14ac:dyDescent="0.2">
      <c r="B86" s="152"/>
      <c r="C86" s="49"/>
    </row>
    <row r="87" spans="2:3" x14ac:dyDescent="0.2">
      <c r="B87" s="155"/>
    </row>
    <row r="88" spans="2:3" x14ac:dyDescent="0.2">
      <c r="B88" s="155"/>
    </row>
    <row r="89" spans="2:3" x14ac:dyDescent="0.2">
      <c r="B89" s="155"/>
    </row>
  </sheetData>
  <mergeCells count="2">
    <mergeCell ref="I4:J4"/>
    <mergeCell ref="L4:M4"/>
  </mergeCells>
  <phoneticPr fontId="0" type="noConversion"/>
  <pageMargins left="0.75" right="0.75" top="1" bottom="1" header="0.5" footer="0.5"/>
  <pageSetup orientation="landscape" r:id="rId1"/>
  <headerFooter alignWithMargins="0">
    <oddFooter>&amp;RExhibit JW-7
Page 2 of 3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G72"/>
  <sheetViews>
    <sheetView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6.7109375" style="14" customWidth="1"/>
    <col min="2" max="2" width="30.85546875" style="29" customWidth="1"/>
    <col min="3" max="3" width="8.42578125" style="28" customWidth="1"/>
    <col min="4" max="4" width="13.28515625" style="28" customWidth="1"/>
    <col min="5" max="5" width="12.85546875" style="28" customWidth="1"/>
    <col min="6" max="6" width="15.42578125" style="28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tr">
        <f>'Summary of Returns'!A1</f>
        <v>MEADE COUNTY R.E.C.C.</v>
      </c>
    </row>
    <row r="2" spans="1:7" x14ac:dyDescent="0.2">
      <c r="A2" s="13" t="s">
        <v>699</v>
      </c>
    </row>
    <row r="4" spans="1:7" ht="45.75" customHeight="1" thickBot="1" x14ac:dyDescent="0.25">
      <c r="A4" s="61" t="s">
        <v>952</v>
      </c>
      <c r="B4" s="86" t="s">
        <v>753</v>
      </c>
      <c r="C4" s="142" t="s">
        <v>760</v>
      </c>
      <c r="D4" s="81" t="s">
        <v>878</v>
      </c>
      <c r="E4" s="81" t="s">
        <v>877</v>
      </c>
      <c r="F4" s="81" t="s">
        <v>864</v>
      </c>
      <c r="G4" s="81" t="s">
        <v>754</v>
      </c>
    </row>
    <row r="5" spans="1:7" x14ac:dyDescent="0.2">
      <c r="A5" s="29"/>
      <c r="B5" s="13"/>
      <c r="C5" s="16"/>
      <c r="G5" s="28"/>
    </row>
    <row r="6" spans="1:7" x14ac:dyDescent="0.2">
      <c r="A6" s="29">
        <v>1</v>
      </c>
      <c r="B6" s="14" t="str">
        <f>'Summary of Returns'!B10</f>
        <v>Residential</v>
      </c>
      <c r="C6" s="143">
        <f>'Summary of Returns'!C10</f>
        <v>1</v>
      </c>
      <c r="D6" s="116">
        <f>'Billing Det'!C8</f>
        <v>29248</v>
      </c>
      <c r="E6" s="144">
        <v>9625.7999999999993</v>
      </c>
      <c r="F6" s="144">
        <f t="shared" ref="F6:F11" si="0">E6*D6</f>
        <v>281535398.39999998</v>
      </c>
      <c r="G6" s="145">
        <f t="shared" ref="G6:G11" si="1">F6/$F$33</f>
        <v>0.89578491809128602</v>
      </c>
    </row>
    <row r="7" spans="1:7" x14ac:dyDescent="0.2">
      <c r="A7" s="29">
        <v>2</v>
      </c>
      <c r="B7" s="14" t="str">
        <f>'Summary of Returns'!B11</f>
        <v>Small Comm</v>
      </c>
      <c r="C7" s="143">
        <f>'Summary of Returns'!C11</f>
        <v>2</v>
      </c>
      <c r="D7" s="116">
        <f>'Billing Det'!C9</f>
        <v>1819</v>
      </c>
      <c r="E7" s="144">
        <v>10889.05</v>
      </c>
      <c r="F7" s="144">
        <f t="shared" si="0"/>
        <v>19807181.949999999</v>
      </c>
      <c r="G7" s="145">
        <f t="shared" si="1"/>
        <v>6.3022181088187981E-2</v>
      </c>
    </row>
    <row r="8" spans="1:7" x14ac:dyDescent="0.2">
      <c r="A8" s="29">
        <v>3</v>
      </c>
      <c r="B8" s="14" t="str">
        <f>'Summary of Returns'!B12</f>
        <v>3 Phase</v>
      </c>
      <c r="C8" s="143">
        <f>'Summary of Returns'!C12</f>
        <v>3</v>
      </c>
      <c r="D8" s="116">
        <f>'Billing Det'!C10</f>
        <v>402</v>
      </c>
      <c r="E8" s="144">
        <v>30868.37</v>
      </c>
      <c r="F8" s="144">
        <f t="shared" si="0"/>
        <v>12409084.74</v>
      </c>
      <c r="G8" s="145">
        <f t="shared" si="1"/>
        <v>3.9483031336668778E-2</v>
      </c>
    </row>
    <row r="9" spans="1:7" x14ac:dyDescent="0.2">
      <c r="A9" s="29">
        <v>4</v>
      </c>
      <c r="B9" s="14" t="str">
        <f>'Summary of Returns'!B13</f>
        <v>3 Ph 0-999 KVA TOD</v>
      </c>
      <c r="C9" s="143" t="str">
        <f>'Summary of Returns'!C13</f>
        <v>3A</v>
      </c>
      <c r="D9" s="116">
        <f>'Billing Det'!C11</f>
        <v>4</v>
      </c>
      <c r="E9" s="144">
        <v>30868.37</v>
      </c>
      <c r="F9" s="144">
        <f t="shared" si="0"/>
        <v>123473.48</v>
      </c>
      <c r="G9" s="145">
        <f t="shared" si="1"/>
        <v>3.9286598344944054E-4</v>
      </c>
    </row>
    <row r="10" spans="1:7" x14ac:dyDescent="0.2">
      <c r="A10" s="29">
        <v>5</v>
      </c>
      <c r="B10" s="14" t="str">
        <f>'Summary of Returns'!B14</f>
        <v>Large 1000 KVA TOD</v>
      </c>
      <c r="C10" s="143">
        <f>'Summary of Returns'!C14</f>
        <v>4</v>
      </c>
      <c r="D10" s="116">
        <f>'Billing Det'!C12</f>
        <v>5</v>
      </c>
      <c r="E10" s="144">
        <v>74294.929999999993</v>
      </c>
      <c r="F10" s="144">
        <f t="shared" si="0"/>
        <v>371474.64999999997</v>
      </c>
      <c r="G10" s="145">
        <f t="shared" si="1"/>
        <v>1.1819522192035626E-3</v>
      </c>
    </row>
    <row r="11" spans="1:7" x14ac:dyDescent="0.2">
      <c r="A11" s="29">
        <v>6</v>
      </c>
      <c r="B11" s="14" t="str">
        <f>'Summary of Returns'!B15</f>
        <v>Private Outdoor Lighting</v>
      </c>
      <c r="C11" s="143">
        <f>'Summary of Returns'!C15</f>
        <v>5</v>
      </c>
      <c r="D11" s="116">
        <f>'Billing Det'!C13</f>
        <v>0</v>
      </c>
      <c r="E11" s="144">
        <f>E10</f>
        <v>74294.929999999993</v>
      </c>
      <c r="F11" s="144">
        <f t="shared" si="0"/>
        <v>0</v>
      </c>
      <c r="G11" s="145">
        <f t="shared" si="1"/>
        <v>0</v>
      </c>
    </row>
    <row r="12" spans="1:7" x14ac:dyDescent="0.2">
      <c r="A12" s="29">
        <v>7</v>
      </c>
      <c r="B12" s="14" t="str">
        <f>'Summary of Returns'!B16</f>
        <v>Street &amp; Hwy Lights</v>
      </c>
      <c r="C12" s="143">
        <f>'Summary of Returns'!C16</f>
        <v>6</v>
      </c>
      <c r="D12" s="116">
        <f>'Billing Det'!C14</f>
        <v>6</v>
      </c>
      <c r="E12" s="144">
        <v>7074.19</v>
      </c>
      <c r="F12" s="144">
        <f t="shared" ref="F12:F16" si="2">E12*D12</f>
        <v>42445.14</v>
      </c>
      <c r="G12" s="145">
        <f t="shared" ref="G12:G16" si="3">F12/$F$33</f>
        <v>1.3505128120426497E-4</v>
      </c>
    </row>
    <row r="13" spans="1:7" hidden="1" x14ac:dyDescent="0.2">
      <c r="A13" s="29">
        <v>8</v>
      </c>
      <c r="B13" s="14" t="str">
        <f>'Summary of Returns'!B17</f>
        <v>Special Contract</v>
      </c>
      <c r="C13" s="143" t="str">
        <f>'Summary of Returns'!C17</f>
        <v>SC</v>
      </c>
      <c r="D13" s="116">
        <f>'Billing Det'!C15</f>
        <v>1</v>
      </c>
      <c r="E13" s="144">
        <v>0</v>
      </c>
      <c r="F13" s="144">
        <f t="shared" si="2"/>
        <v>0</v>
      </c>
      <c r="G13" s="145">
        <f t="shared" si="3"/>
        <v>0</v>
      </c>
    </row>
    <row r="14" spans="1:7" hidden="1" x14ac:dyDescent="0.2">
      <c r="A14" s="29">
        <v>9</v>
      </c>
      <c r="B14" s="14" t="str">
        <f>'Summary of Returns'!B18</f>
        <v>reserved</v>
      </c>
      <c r="C14" s="143" t="str">
        <f>'Summary of Returns'!C18</f>
        <v>X</v>
      </c>
      <c r="D14" s="116">
        <f>'Billing Det'!C16</f>
        <v>0</v>
      </c>
      <c r="E14" s="144">
        <v>0</v>
      </c>
      <c r="F14" s="144">
        <f t="shared" si="2"/>
        <v>0</v>
      </c>
      <c r="G14" s="145">
        <f t="shared" si="3"/>
        <v>0</v>
      </c>
    </row>
    <row r="15" spans="1:7" hidden="1" x14ac:dyDescent="0.2">
      <c r="A15" s="29">
        <v>10</v>
      </c>
      <c r="B15" s="14" t="str">
        <f>'Summary of Returns'!B19</f>
        <v>reserved</v>
      </c>
      <c r="C15" s="143" t="str">
        <f>'Summary of Returns'!C19</f>
        <v>X</v>
      </c>
      <c r="D15" s="116">
        <f>'Billing Det'!C17</f>
        <v>0</v>
      </c>
      <c r="E15" s="144">
        <v>0</v>
      </c>
      <c r="F15" s="144">
        <f t="shared" si="2"/>
        <v>0</v>
      </c>
      <c r="G15" s="145">
        <f t="shared" si="3"/>
        <v>0</v>
      </c>
    </row>
    <row r="16" spans="1:7" hidden="1" x14ac:dyDescent="0.2">
      <c r="A16" s="29"/>
      <c r="B16" s="14">
        <f>'Summary of Returns'!B20</f>
        <v>0</v>
      </c>
      <c r="C16" s="143">
        <f>'Summary of Returns'!C20</f>
        <v>0</v>
      </c>
      <c r="D16" s="116">
        <f>'Billing Det'!C18</f>
        <v>0</v>
      </c>
      <c r="E16" s="144">
        <v>0</v>
      </c>
      <c r="F16" s="144">
        <f t="shared" si="2"/>
        <v>0</v>
      </c>
      <c r="G16" s="145">
        <f t="shared" si="3"/>
        <v>0</v>
      </c>
    </row>
    <row r="17" spans="1:7" hidden="1" x14ac:dyDescent="0.2">
      <c r="A17" s="29"/>
      <c r="B17" s="14"/>
      <c r="C17" s="29"/>
      <c r="D17" s="116"/>
      <c r="E17" s="144"/>
      <c r="F17" s="144"/>
      <c r="G17" s="145"/>
    </row>
    <row r="18" spans="1:7" hidden="1" x14ac:dyDescent="0.2">
      <c r="A18" s="29"/>
      <c r="B18" s="118"/>
      <c r="C18" s="29"/>
      <c r="D18" s="116"/>
      <c r="E18" s="144"/>
      <c r="F18" s="144"/>
      <c r="G18" s="145"/>
    </row>
    <row r="19" spans="1:7" hidden="1" x14ac:dyDescent="0.2">
      <c r="A19" s="29"/>
      <c r="B19" s="14"/>
      <c r="C19" s="29"/>
      <c r="D19" s="116"/>
      <c r="E19" s="144"/>
      <c r="F19" s="144"/>
      <c r="G19" s="145"/>
    </row>
    <row r="20" spans="1:7" hidden="1" x14ac:dyDescent="0.2">
      <c r="A20" s="29"/>
      <c r="B20" s="14"/>
      <c r="C20" s="29"/>
      <c r="D20" s="116"/>
      <c r="E20" s="144"/>
      <c r="F20" s="144"/>
      <c r="G20" s="145"/>
    </row>
    <row r="21" spans="1:7" hidden="1" x14ac:dyDescent="0.2">
      <c r="A21" s="29"/>
      <c r="B21" s="14"/>
      <c r="C21" s="29"/>
      <c r="D21" s="116"/>
      <c r="E21" s="144"/>
      <c r="F21" s="144"/>
      <c r="G21" s="145"/>
    </row>
    <row r="22" spans="1:7" hidden="1" x14ac:dyDescent="0.2">
      <c r="A22" s="29"/>
      <c r="B22" s="14"/>
      <c r="C22" s="29"/>
      <c r="D22" s="116"/>
      <c r="E22" s="144"/>
      <c r="F22" s="144"/>
      <c r="G22" s="145"/>
    </row>
    <row r="23" spans="1:7" hidden="1" x14ac:dyDescent="0.2">
      <c r="A23" s="29"/>
      <c r="B23" s="14"/>
      <c r="C23" s="29"/>
      <c r="D23" s="116"/>
      <c r="E23" s="144"/>
      <c r="F23" s="144"/>
      <c r="G23" s="145"/>
    </row>
    <row r="24" spans="1:7" hidden="1" x14ac:dyDescent="0.2">
      <c r="A24" s="29"/>
      <c r="B24" s="14"/>
      <c r="C24" s="29"/>
      <c r="D24" s="116"/>
      <c r="E24" s="144"/>
      <c r="F24" s="144"/>
      <c r="G24" s="145"/>
    </row>
    <row r="25" spans="1:7" hidden="1" x14ac:dyDescent="0.2">
      <c r="A25" s="29"/>
      <c r="B25" s="14"/>
      <c r="C25" s="29"/>
      <c r="D25" s="116"/>
      <c r="E25" s="144"/>
      <c r="F25" s="144"/>
      <c r="G25" s="145"/>
    </row>
    <row r="26" spans="1:7" hidden="1" x14ac:dyDescent="0.2">
      <c r="A26" s="29"/>
      <c r="B26" s="14"/>
      <c r="C26" s="29"/>
      <c r="D26" s="116"/>
      <c r="E26" s="144"/>
      <c r="F26" s="144"/>
      <c r="G26" s="145"/>
    </row>
    <row r="27" spans="1:7" hidden="1" x14ac:dyDescent="0.2">
      <c r="A27" s="29"/>
      <c r="B27" s="14"/>
      <c r="C27" s="29"/>
      <c r="D27" s="116"/>
      <c r="E27" s="144"/>
      <c r="F27" s="144"/>
      <c r="G27" s="145"/>
    </row>
    <row r="28" spans="1:7" hidden="1" x14ac:dyDescent="0.2">
      <c r="A28" s="29"/>
      <c r="B28" s="14"/>
      <c r="C28" s="29"/>
      <c r="D28" s="116"/>
      <c r="E28" s="144"/>
      <c r="F28" s="144"/>
      <c r="G28" s="145"/>
    </row>
    <row r="29" spans="1:7" hidden="1" x14ac:dyDescent="0.2">
      <c r="A29" s="29"/>
      <c r="B29" s="14"/>
      <c r="C29" s="29"/>
      <c r="D29" s="116"/>
      <c r="E29" s="144"/>
      <c r="F29" s="144"/>
      <c r="G29" s="145"/>
    </row>
    <row r="30" spans="1:7" hidden="1" x14ac:dyDescent="0.2">
      <c r="A30" s="29"/>
      <c r="B30" s="14"/>
      <c r="C30" s="29"/>
      <c r="D30" s="116"/>
      <c r="E30" s="144"/>
      <c r="F30" s="144"/>
      <c r="G30" s="145"/>
    </row>
    <row r="31" spans="1:7" hidden="1" x14ac:dyDescent="0.2">
      <c r="A31" s="29"/>
      <c r="B31" s="14"/>
      <c r="C31" s="29"/>
      <c r="D31" s="116"/>
      <c r="E31" s="144"/>
      <c r="F31" s="144"/>
      <c r="G31" s="145"/>
    </row>
    <row r="32" spans="1:7" hidden="1" x14ac:dyDescent="0.2">
      <c r="A32" s="29"/>
      <c r="B32" s="14"/>
      <c r="C32" s="29"/>
      <c r="D32" s="116"/>
      <c r="E32" s="144"/>
      <c r="F32" s="144"/>
      <c r="G32" s="113"/>
    </row>
    <row r="33" spans="1:7" ht="13.5" thickBot="1" x14ac:dyDescent="0.25">
      <c r="A33" s="29">
        <v>8</v>
      </c>
      <c r="B33" s="146" t="s">
        <v>0</v>
      </c>
      <c r="C33" s="147"/>
      <c r="D33" s="156">
        <f>SUM(D6:D32)</f>
        <v>31485</v>
      </c>
      <c r="E33" s="157">
        <f>F33/D33</f>
        <v>9982.1838450055566</v>
      </c>
      <c r="F33" s="158">
        <f>SUM(F6:F32)</f>
        <v>314289058.35999995</v>
      </c>
      <c r="G33" s="159">
        <f>SUM(G6:G32)</f>
        <v>1</v>
      </c>
    </row>
    <row r="34" spans="1:7" ht="13.5" thickTop="1" x14ac:dyDescent="0.2">
      <c r="B34" s="153"/>
      <c r="C34" s="160"/>
    </row>
    <row r="35" spans="1:7" x14ac:dyDescent="0.2">
      <c r="B35" s="153"/>
      <c r="C35" s="160"/>
    </row>
    <row r="36" spans="1:7" x14ac:dyDescent="0.2">
      <c r="B36" s="153"/>
      <c r="C36" s="160"/>
    </row>
    <row r="37" spans="1:7" x14ac:dyDescent="0.2">
      <c r="B37" s="153"/>
      <c r="C37" s="160"/>
    </row>
    <row r="38" spans="1:7" x14ac:dyDescent="0.2">
      <c r="B38" s="153"/>
      <c r="C38" s="160"/>
    </row>
    <row r="39" spans="1:7" x14ac:dyDescent="0.2">
      <c r="B39" s="153"/>
      <c r="C39" s="160"/>
    </row>
    <row r="40" spans="1:7" x14ac:dyDescent="0.2">
      <c r="B40" s="153"/>
      <c r="C40" s="160"/>
    </row>
    <row r="41" spans="1:7" x14ac:dyDescent="0.2">
      <c r="B41" s="153"/>
      <c r="C41" s="160"/>
    </row>
    <row r="42" spans="1:7" x14ac:dyDescent="0.2">
      <c r="B42" s="153"/>
      <c r="C42" s="160"/>
    </row>
    <row r="43" spans="1:7" x14ac:dyDescent="0.2">
      <c r="B43" s="153"/>
      <c r="C43" s="160"/>
    </row>
    <row r="44" spans="1:7" x14ac:dyDescent="0.2">
      <c r="B44" s="153"/>
      <c r="C44" s="160"/>
    </row>
    <row r="45" spans="1:7" x14ac:dyDescent="0.2">
      <c r="B45" s="153"/>
      <c r="C45" s="160"/>
    </row>
    <row r="46" spans="1:7" x14ac:dyDescent="0.2">
      <c r="B46" s="153"/>
      <c r="C46" s="160"/>
    </row>
    <row r="47" spans="1:7" x14ac:dyDescent="0.2">
      <c r="B47" s="153"/>
      <c r="C47" s="160"/>
    </row>
    <row r="48" spans="1:7" x14ac:dyDescent="0.2">
      <c r="B48" s="153"/>
      <c r="C48" s="160"/>
    </row>
    <row r="49" spans="2:3" x14ac:dyDescent="0.2">
      <c r="B49" s="153"/>
      <c r="C49" s="160"/>
    </row>
    <row r="50" spans="2:3" x14ac:dyDescent="0.2">
      <c r="B50" s="153"/>
      <c r="C50" s="160"/>
    </row>
    <row r="51" spans="2:3" x14ac:dyDescent="0.2">
      <c r="B51" s="153"/>
      <c r="C51" s="160"/>
    </row>
    <row r="52" spans="2:3" x14ac:dyDescent="0.2">
      <c r="B52" s="153"/>
      <c r="C52" s="160"/>
    </row>
    <row r="53" spans="2:3" x14ac:dyDescent="0.2">
      <c r="B53" s="153"/>
      <c r="C53" s="160"/>
    </row>
    <row r="54" spans="2:3" x14ac:dyDescent="0.2">
      <c r="B54" s="153"/>
      <c r="C54" s="160"/>
    </row>
    <row r="55" spans="2:3" x14ac:dyDescent="0.2">
      <c r="B55" s="153"/>
      <c r="C55" s="160"/>
    </row>
    <row r="56" spans="2:3" x14ac:dyDescent="0.2">
      <c r="B56" s="153"/>
      <c r="C56" s="160"/>
    </row>
    <row r="57" spans="2:3" x14ac:dyDescent="0.2">
      <c r="B57" s="153"/>
      <c r="C57" s="160"/>
    </row>
    <row r="58" spans="2:3" x14ac:dyDescent="0.2">
      <c r="B58" s="153"/>
      <c r="C58" s="160"/>
    </row>
    <row r="59" spans="2:3" x14ac:dyDescent="0.2">
      <c r="B59" s="153"/>
      <c r="C59" s="160"/>
    </row>
    <row r="60" spans="2:3" x14ac:dyDescent="0.2">
      <c r="B60" s="153"/>
      <c r="C60" s="160"/>
    </row>
    <row r="61" spans="2:3" x14ac:dyDescent="0.2">
      <c r="B61" s="153"/>
      <c r="C61" s="160"/>
    </row>
    <row r="62" spans="2:3" x14ac:dyDescent="0.2">
      <c r="B62" s="153"/>
      <c r="C62" s="160"/>
    </row>
    <row r="63" spans="2:3" x14ac:dyDescent="0.2">
      <c r="B63" s="153"/>
      <c r="C63" s="160"/>
    </row>
    <row r="64" spans="2:3" x14ac:dyDescent="0.2">
      <c r="B64" s="153"/>
      <c r="C64" s="160"/>
    </row>
    <row r="65" spans="2:3" x14ac:dyDescent="0.2">
      <c r="B65" s="153"/>
      <c r="C65" s="160"/>
    </row>
    <row r="66" spans="2:3" x14ac:dyDescent="0.2">
      <c r="B66" s="153"/>
      <c r="C66" s="160"/>
    </row>
    <row r="67" spans="2:3" x14ac:dyDescent="0.2">
      <c r="B67" s="153"/>
      <c r="C67" s="160"/>
    </row>
    <row r="68" spans="2:3" x14ac:dyDescent="0.2">
      <c r="B68" s="153"/>
      <c r="C68" s="160"/>
    </row>
    <row r="69" spans="2:3" x14ac:dyDescent="0.2">
      <c r="B69" s="153"/>
      <c r="C69" s="160"/>
    </row>
    <row r="70" spans="2:3" x14ac:dyDescent="0.2">
      <c r="B70" s="153"/>
      <c r="C70" s="160"/>
    </row>
    <row r="71" spans="2:3" x14ac:dyDescent="0.2">
      <c r="B71" s="153"/>
      <c r="C71" s="160"/>
    </row>
    <row r="72" spans="2:3" x14ac:dyDescent="0.2">
      <c r="B72" s="153"/>
      <c r="C72" s="160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3 of 3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208</v>
      </c>
      <c r="E2" s="5" t="s">
        <v>0</v>
      </c>
      <c r="F2" s="10" t="s">
        <v>713</v>
      </c>
      <c r="G2" s="10" t="s">
        <v>722</v>
      </c>
      <c r="H2" s="10" t="s">
        <v>726</v>
      </c>
      <c r="I2" s="10" t="s">
        <v>727</v>
      </c>
      <c r="J2" s="10" t="s">
        <v>728</v>
      </c>
      <c r="K2" s="10" t="s">
        <v>729</v>
      </c>
      <c r="L2" s="10" t="s">
        <v>730</v>
      </c>
      <c r="M2" s="10" t="s">
        <v>731</v>
      </c>
      <c r="N2" s="10" t="s">
        <v>718</v>
      </c>
      <c r="O2" s="10" t="s">
        <v>719</v>
      </c>
      <c r="P2" s="10" t="s">
        <v>720</v>
      </c>
      <c r="Q2" s="10" t="s">
        <v>721</v>
      </c>
      <c r="R2" s="10" t="s">
        <v>732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725</v>
      </c>
      <c r="G3" s="9" t="s">
        <v>737</v>
      </c>
      <c r="H3" s="9" t="s">
        <v>736</v>
      </c>
      <c r="I3" s="9" t="s">
        <v>734</v>
      </c>
      <c r="J3" s="9" t="s">
        <v>735</v>
      </c>
      <c r="K3" s="9" t="s">
        <v>714</v>
      </c>
      <c r="L3" s="9" t="s">
        <v>702</v>
      </c>
      <c r="M3" s="9" t="s">
        <v>738</v>
      </c>
      <c r="N3" s="9" t="s">
        <v>739</v>
      </c>
      <c r="O3" s="9" t="s">
        <v>740</v>
      </c>
      <c r="P3" s="9" t="s">
        <v>741</v>
      </c>
      <c r="Q3" s="9" t="s">
        <v>742</v>
      </c>
      <c r="R3" s="9" t="s">
        <v>733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743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744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745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147"/>
  <sheetViews>
    <sheetView tabSelected="1" view="pageBreakPreview" topLeftCell="A117" zoomScaleNormal="100" zoomScaleSheetLayoutView="100" workbookViewId="0">
      <selection activeCell="C73" sqref="C73:E116"/>
    </sheetView>
  </sheetViews>
  <sheetFormatPr defaultRowHeight="12.75" x14ac:dyDescent="0.2"/>
  <cols>
    <col min="1" max="1" width="3.140625" style="14" customWidth="1"/>
    <col min="2" max="2" width="37.2851562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3.28515625" style="14" customWidth="1"/>
    <col min="7" max="7" width="3.7109375" style="14" customWidth="1"/>
    <col min="8" max="8" width="14.5703125" style="14" customWidth="1"/>
    <col min="9" max="9" width="18.42578125" style="14" customWidth="1"/>
    <col min="10" max="10" width="11.28515625" style="14" customWidth="1"/>
    <col min="11" max="11" width="2.28515625" style="14" customWidth="1"/>
    <col min="12" max="12" width="6.28515625" style="29" customWidth="1"/>
    <col min="13" max="13" width="8.7109375" style="14" bestFit="1" customWidth="1"/>
    <col min="14" max="14" width="22.140625" style="14" bestFit="1" customWidth="1"/>
    <col min="15" max="15" width="9.140625" style="14"/>
    <col min="16" max="16" width="14" style="14" bestFit="1" customWidth="1"/>
    <col min="17" max="19" width="9.140625" style="14"/>
    <col min="20" max="20" width="11.85546875" style="14" bestFit="1" customWidth="1"/>
    <col min="21" max="21" width="10.85546875" style="14" bestFit="1" customWidth="1"/>
    <col min="22" max="16384" width="9.140625" style="14"/>
  </cols>
  <sheetData>
    <row r="1" spans="1:13" x14ac:dyDescent="0.2">
      <c r="A1" s="13" t="str">
        <f>'Summary of Returns'!A1</f>
        <v>MEADE COUNTY R.E.C.C.</v>
      </c>
    </row>
    <row r="2" spans="1:13" x14ac:dyDescent="0.2">
      <c r="A2" s="13" t="s">
        <v>998</v>
      </c>
    </row>
    <row r="4" spans="1:13" x14ac:dyDescent="0.2">
      <c r="A4" s="13" t="s">
        <v>986</v>
      </c>
      <c r="B4" s="15"/>
      <c r="D4" s="33"/>
      <c r="E4" s="33"/>
      <c r="F4" s="33"/>
      <c r="G4" s="33"/>
      <c r="H4" s="33"/>
      <c r="I4" s="33"/>
      <c r="J4" s="33"/>
      <c r="K4" s="33"/>
      <c r="L4" s="34"/>
      <c r="M4" s="33"/>
    </row>
    <row r="5" spans="1:13" x14ac:dyDescent="0.2">
      <c r="C5" s="287"/>
      <c r="F5" s="16" t="s">
        <v>961</v>
      </c>
      <c r="I5" s="16" t="s">
        <v>962</v>
      </c>
    </row>
    <row r="6" spans="1:13" x14ac:dyDescent="0.2">
      <c r="D6" s="16"/>
      <c r="E6" s="17"/>
      <c r="F6" s="16" t="s">
        <v>963</v>
      </c>
      <c r="H6" s="16"/>
      <c r="I6" s="16"/>
      <c r="J6" s="16"/>
      <c r="K6" s="16"/>
    </row>
    <row r="7" spans="1:13" x14ac:dyDescent="0.2">
      <c r="B7" s="18" t="s">
        <v>6</v>
      </c>
      <c r="C7" s="19" t="s">
        <v>964</v>
      </c>
      <c r="D7" s="20" t="s">
        <v>965</v>
      </c>
      <c r="E7" s="21" t="s">
        <v>966</v>
      </c>
      <c r="F7" s="20" t="s">
        <v>967</v>
      </c>
      <c r="H7" s="22" t="s">
        <v>968</v>
      </c>
      <c r="I7" s="22" t="s">
        <v>969</v>
      </c>
      <c r="J7" s="22" t="s">
        <v>970</v>
      </c>
      <c r="K7" s="23"/>
    </row>
    <row r="8" spans="1:13" x14ac:dyDescent="0.2">
      <c r="B8" s="14" t="s">
        <v>1073</v>
      </c>
      <c r="C8" s="25">
        <v>41.74</v>
      </c>
      <c r="D8" s="41">
        <v>11988.849999999999</v>
      </c>
      <c r="E8" s="24">
        <v>13849</v>
      </c>
      <c r="F8" s="25">
        <f t="shared" ref="F8:F9" si="0">D8/E8</f>
        <v>0.86568344284785892</v>
      </c>
      <c r="G8" s="35"/>
      <c r="H8" s="25">
        <f t="shared" ref="H8:H9" si="1">F8*E8^0.5</f>
        <v>101.8751635276555</v>
      </c>
      <c r="I8" s="25">
        <f t="shared" ref="I8:I9" si="2">E8^0.5</f>
        <v>117.6817742898194</v>
      </c>
      <c r="J8" s="25">
        <f t="shared" ref="J8:J9" si="3">C8*E8^0.5</f>
        <v>4912.0372588570617</v>
      </c>
      <c r="K8" s="25"/>
    </row>
    <row r="9" spans="1:13" x14ac:dyDescent="0.2">
      <c r="B9" s="14" t="s">
        <v>1074</v>
      </c>
      <c r="C9" s="25">
        <v>26.25</v>
      </c>
      <c r="D9" s="41">
        <v>2515.6099999999997</v>
      </c>
      <c r="E9" s="24">
        <v>100145</v>
      </c>
      <c r="F9" s="25">
        <f t="shared" si="0"/>
        <v>2.5119676469119775E-2</v>
      </c>
      <c r="G9" s="35"/>
      <c r="H9" s="25">
        <f t="shared" si="1"/>
        <v>7.9492961526466219</v>
      </c>
      <c r="I9" s="25">
        <f t="shared" si="2"/>
        <v>316.45694809878955</v>
      </c>
      <c r="J9" s="25">
        <f t="shared" si="3"/>
        <v>8306.9948875932259</v>
      </c>
      <c r="K9" s="25"/>
    </row>
    <row r="10" spans="1:13" x14ac:dyDescent="0.2">
      <c r="B10" s="14" t="s">
        <v>1075</v>
      </c>
      <c r="C10" s="25">
        <v>105.53</v>
      </c>
      <c r="D10" s="41">
        <v>45527.839999999997</v>
      </c>
      <c r="E10" s="24">
        <v>445242</v>
      </c>
      <c r="F10" s="25">
        <f t="shared" ref="F10:F12" si="4">D10/E10</f>
        <v>0.10225414493691071</v>
      </c>
      <c r="G10" s="35"/>
      <c r="H10" s="25">
        <f t="shared" ref="H10:H12" si="5">F10*E10^0.5</f>
        <v>68.230567563405771</v>
      </c>
      <c r="I10" s="25">
        <f t="shared" ref="I10:I12" si="6">E10^0.5</f>
        <v>667.26456522132207</v>
      </c>
      <c r="J10" s="25">
        <f t="shared" ref="J10:J12" si="7">C10*E10^0.5</f>
        <v>70416.429567806117</v>
      </c>
      <c r="K10" s="25"/>
    </row>
    <row r="11" spans="1:13" x14ac:dyDescent="0.2">
      <c r="B11" s="14" t="s">
        <v>1076</v>
      </c>
      <c r="C11" s="25">
        <v>105.53</v>
      </c>
      <c r="D11" s="41">
        <v>727618.26</v>
      </c>
      <c r="E11" s="24">
        <v>2662746</v>
      </c>
      <c r="F11" s="25">
        <f t="shared" si="4"/>
        <v>0.27325860596542068</v>
      </c>
      <c r="G11" s="35"/>
      <c r="H11" s="25">
        <f t="shared" si="5"/>
        <v>445.90127988444374</v>
      </c>
      <c r="I11" s="25">
        <f t="shared" si="6"/>
        <v>1631.7922661907674</v>
      </c>
      <c r="J11" s="25">
        <f t="shared" si="7"/>
        <v>172203.03785111167</v>
      </c>
      <c r="K11" s="25"/>
    </row>
    <row r="12" spans="1:13" x14ac:dyDescent="0.2">
      <c r="B12" s="14" t="s">
        <v>1077</v>
      </c>
      <c r="C12" s="25">
        <v>167.8</v>
      </c>
      <c r="D12" s="41">
        <v>2999516.29</v>
      </c>
      <c r="E12" s="24">
        <v>7265722</v>
      </c>
      <c r="F12" s="25">
        <f t="shared" si="4"/>
        <v>0.41283113914900682</v>
      </c>
      <c r="G12" s="35"/>
      <c r="H12" s="25">
        <f t="shared" si="5"/>
        <v>1112.7864695873609</v>
      </c>
      <c r="I12" s="25">
        <f t="shared" si="6"/>
        <v>2695.5003246150795</v>
      </c>
      <c r="J12" s="25">
        <f t="shared" si="7"/>
        <v>452304.95447041036</v>
      </c>
      <c r="K12" s="25"/>
    </row>
    <row r="13" spans="1:13" x14ac:dyDescent="0.2">
      <c r="B13" s="14" t="s">
        <v>1078</v>
      </c>
      <c r="C13" s="25">
        <v>66.37</v>
      </c>
      <c r="D13" s="41">
        <v>7782207.7199999997</v>
      </c>
      <c r="E13" s="24">
        <v>16463793</v>
      </c>
      <c r="F13" s="25">
        <f t="shared" ref="F13" si="8">D13/E13</f>
        <v>0.47268619813186424</v>
      </c>
      <c r="G13" s="35"/>
      <c r="H13" s="25">
        <f t="shared" ref="H13" si="9">F13*E13^0.5</f>
        <v>1917.9526011450969</v>
      </c>
      <c r="I13" s="25">
        <f t="shared" ref="I13" si="10">E13^0.5</f>
        <v>4057.5599810723684</v>
      </c>
      <c r="J13" s="25">
        <f t="shared" ref="J13" si="11">C13*E13^0.5</f>
        <v>269300.25594377308</v>
      </c>
      <c r="K13" s="25"/>
    </row>
    <row r="14" spans="1:13" x14ac:dyDescent="0.2">
      <c r="B14" s="14" t="s">
        <v>1079</v>
      </c>
      <c r="C14" s="25">
        <v>41.74</v>
      </c>
      <c r="D14" s="41">
        <v>869143.30999999994</v>
      </c>
      <c r="E14" s="24">
        <v>4178245</v>
      </c>
      <c r="F14" s="25">
        <f t="shared" ref="F14:F19" si="12">D14/E14</f>
        <v>0.20801635854288103</v>
      </c>
      <c r="G14" s="35"/>
      <c r="H14" s="25">
        <f t="shared" ref="H14:H19" si="13">F14*E14^0.5</f>
        <v>425.20115992093247</v>
      </c>
      <c r="I14" s="25">
        <f t="shared" ref="I14:I19" si="14">E14^0.5</f>
        <v>2044.0755856865958</v>
      </c>
      <c r="J14" s="25">
        <f t="shared" ref="J14:J19" si="15">C14*E14^0.5</f>
        <v>85319.71494655851</v>
      </c>
      <c r="K14" s="25"/>
    </row>
    <row r="15" spans="1:13" x14ac:dyDescent="0.2">
      <c r="B15" s="14" t="s">
        <v>1080</v>
      </c>
      <c r="C15" s="25">
        <v>105.53</v>
      </c>
      <c r="D15" s="41">
        <v>850.73</v>
      </c>
      <c r="E15" s="24">
        <v>6</v>
      </c>
      <c r="F15" s="25">
        <f t="shared" si="12"/>
        <v>141.78833333333333</v>
      </c>
      <c r="G15" s="35"/>
      <c r="H15" s="25">
        <f t="shared" si="13"/>
        <v>347.30906814632215</v>
      </c>
      <c r="I15" s="25">
        <f t="shared" si="14"/>
        <v>2.4494897427831779</v>
      </c>
      <c r="J15" s="25">
        <f t="shared" si="15"/>
        <v>258.49465255590877</v>
      </c>
      <c r="K15" s="25"/>
    </row>
    <row r="16" spans="1:13" x14ac:dyDescent="0.2">
      <c r="B16" s="14" t="s">
        <v>1081</v>
      </c>
      <c r="C16" s="25">
        <v>41.74</v>
      </c>
      <c r="D16" s="41">
        <v>85671.98000000001</v>
      </c>
      <c r="E16" s="24">
        <v>15947</v>
      </c>
      <c r="F16" s="25">
        <f t="shared" si="12"/>
        <v>5.3722944754499284</v>
      </c>
      <c r="G16" s="35"/>
      <c r="H16" s="25">
        <f t="shared" si="13"/>
        <v>678.42103803969462</v>
      </c>
      <c r="I16" s="25">
        <f t="shared" si="14"/>
        <v>126.28143173087641</v>
      </c>
      <c r="J16" s="25">
        <f t="shared" si="15"/>
        <v>5270.9869604467813</v>
      </c>
      <c r="K16" s="25"/>
    </row>
    <row r="17" spans="2:11" x14ac:dyDescent="0.2">
      <c r="B17" s="14" t="s">
        <v>1082</v>
      </c>
      <c r="C17" s="25">
        <v>500</v>
      </c>
      <c r="D17" s="41">
        <v>14115.72</v>
      </c>
      <c r="E17" s="24">
        <v>4079</v>
      </c>
      <c r="F17" s="25">
        <f t="shared" si="12"/>
        <v>3.4605834763422405</v>
      </c>
      <c r="G17" s="35"/>
      <c r="H17" s="25">
        <f t="shared" si="13"/>
        <v>221.01725586178489</v>
      </c>
      <c r="I17" s="25">
        <f t="shared" si="14"/>
        <v>63.86704940734306</v>
      </c>
      <c r="J17" s="25">
        <f t="shared" si="15"/>
        <v>31933.52470367153</v>
      </c>
      <c r="K17" s="25"/>
    </row>
    <row r="18" spans="2:11" x14ac:dyDescent="0.2">
      <c r="B18" s="14" t="s">
        <v>1083</v>
      </c>
      <c r="C18" s="25">
        <v>336.4</v>
      </c>
      <c r="D18" s="41">
        <v>479760.24</v>
      </c>
      <c r="E18" s="24">
        <v>397535</v>
      </c>
      <c r="F18" s="25">
        <f t="shared" si="12"/>
        <v>1.2068377375576993</v>
      </c>
      <c r="G18" s="35"/>
      <c r="H18" s="25">
        <f t="shared" si="13"/>
        <v>760.91573949533915</v>
      </c>
      <c r="I18" s="25">
        <f t="shared" si="14"/>
        <v>630.50376684045273</v>
      </c>
      <c r="J18" s="25">
        <f t="shared" si="15"/>
        <v>212101.46716512827</v>
      </c>
      <c r="K18" s="25"/>
    </row>
    <row r="19" spans="2:11" x14ac:dyDescent="0.2">
      <c r="B19" s="14" t="s">
        <v>1084</v>
      </c>
      <c r="C19" s="25">
        <v>1344</v>
      </c>
      <c r="D19" s="41">
        <v>56211.7</v>
      </c>
      <c r="E19" s="24">
        <v>7089</v>
      </c>
      <c r="F19" s="25">
        <f t="shared" si="12"/>
        <v>7.9294258710678509</v>
      </c>
      <c r="G19" s="35"/>
      <c r="H19" s="25">
        <f t="shared" si="13"/>
        <v>667.62752207851997</v>
      </c>
      <c r="I19" s="25">
        <f t="shared" si="14"/>
        <v>84.196199439167088</v>
      </c>
      <c r="J19" s="25">
        <f t="shared" si="15"/>
        <v>113159.69204624057</v>
      </c>
      <c r="K19" s="25"/>
    </row>
    <row r="20" spans="2:11" x14ac:dyDescent="0.2">
      <c r="B20" s="26" t="s">
        <v>862</v>
      </c>
      <c r="D20" s="36">
        <f>SUM(D8:D19)</f>
        <v>13075128.250000002</v>
      </c>
      <c r="E20" s="37">
        <f>SUM(E8:E19)</f>
        <v>31554398</v>
      </c>
    </row>
    <row r="22" spans="2:11" x14ac:dyDescent="0.2">
      <c r="B22" s="18" t="s">
        <v>971</v>
      </c>
      <c r="H22" s="241" t="s">
        <v>972</v>
      </c>
      <c r="I22" s="241"/>
    </row>
    <row r="24" spans="2:11" x14ac:dyDescent="0.2">
      <c r="B24" s="14" t="s">
        <v>973</v>
      </c>
      <c r="D24" s="38">
        <f>H24</f>
        <v>1.5857774151294619E-3</v>
      </c>
      <c r="H24" s="38">
        <f t="array" ref="H24:I26">LINEST(H8:H19,I8:J19,FALSE,TRUE)</f>
        <v>1.5857774151294619E-3</v>
      </c>
      <c r="I24" s="38">
        <v>0.26543877918332737</v>
      </c>
    </row>
    <row r="25" spans="2:11" x14ac:dyDescent="0.2">
      <c r="B25" s="14" t="s">
        <v>974</v>
      </c>
      <c r="D25" s="38">
        <f>I24</f>
        <v>0.26543877918332737</v>
      </c>
      <c r="H25" s="38">
        <v>1.1413275185442392E-3</v>
      </c>
      <c r="I25" s="38">
        <v>0.12490630301775735</v>
      </c>
    </row>
    <row r="26" spans="2:11" x14ac:dyDescent="0.2">
      <c r="B26" s="14" t="s">
        <v>975</v>
      </c>
      <c r="D26" s="39">
        <f>H26</f>
        <v>0.81372480019859905</v>
      </c>
      <c r="H26" s="38">
        <v>0.81372480019859905</v>
      </c>
      <c r="I26" s="38">
        <v>360.22128164785551</v>
      </c>
    </row>
    <row r="27" spans="2:11" x14ac:dyDescent="0.2">
      <c r="H27" s="38"/>
      <c r="I27" s="38"/>
    </row>
    <row r="28" spans="2:11" x14ac:dyDescent="0.2">
      <c r="B28" s="27" t="s">
        <v>976</v>
      </c>
      <c r="C28" s="40"/>
    </row>
    <row r="29" spans="2:11" x14ac:dyDescent="0.2">
      <c r="C29" s="40"/>
    </row>
    <row r="30" spans="2:11" x14ac:dyDescent="0.2">
      <c r="B30" s="14" t="s">
        <v>977</v>
      </c>
      <c r="C30" s="40"/>
      <c r="D30" s="35">
        <f>E20</f>
        <v>31554398</v>
      </c>
    </row>
    <row r="31" spans="2:11" x14ac:dyDescent="0.2">
      <c r="B31" s="14" t="s">
        <v>978</v>
      </c>
      <c r="C31" s="40"/>
      <c r="D31" s="41">
        <f>D25</f>
        <v>0.26543877918332737</v>
      </c>
      <c r="E31" s="28"/>
      <c r="F31" s="29"/>
    </row>
    <row r="32" spans="2:11" x14ac:dyDescent="0.2">
      <c r="B32" s="14" t="s">
        <v>979</v>
      </c>
      <c r="C32" s="40"/>
      <c r="D32" s="41">
        <f>MIN(F8:F19)</f>
        <v>2.5119676469119775E-2</v>
      </c>
    </row>
    <row r="33" spans="1:19" x14ac:dyDescent="0.2">
      <c r="B33" s="14" t="s">
        <v>980</v>
      </c>
      <c r="C33" s="40"/>
      <c r="D33" s="184" t="s">
        <v>987</v>
      </c>
    </row>
    <row r="34" spans="1:19" x14ac:dyDescent="0.2">
      <c r="B34" s="14" t="s">
        <v>981</v>
      </c>
      <c r="C34" s="40"/>
      <c r="D34" s="42">
        <f>IF(D33="Z",D30*D31,D30*D32)</f>
        <v>8375760.8829848263</v>
      </c>
    </row>
    <row r="35" spans="1:19" x14ac:dyDescent="0.2">
      <c r="B35" s="14" t="s">
        <v>982</v>
      </c>
      <c r="C35" s="40"/>
      <c r="D35" s="42">
        <f>D20</f>
        <v>13075128.250000002</v>
      </c>
    </row>
    <row r="36" spans="1:19" x14ac:dyDescent="0.2">
      <c r="B36" s="14" t="s">
        <v>983</v>
      </c>
      <c r="C36" s="40"/>
      <c r="D36" s="43">
        <f>D34/D35</f>
        <v>0.64058728318667357</v>
      </c>
    </row>
    <row r="37" spans="1:19" x14ac:dyDescent="0.2">
      <c r="B37" s="14" t="s">
        <v>984</v>
      </c>
      <c r="C37" s="40"/>
      <c r="D37" s="44">
        <f>D36</f>
        <v>0.64058728318667357</v>
      </c>
    </row>
    <row r="38" spans="1:19" x14ac:dyDescent="0.2">
      <c r="B38" s="14" t="s">
        <v>985</v>
      </c>
      <c r="C38" s="40"/>
      <c r="D38" s="45">
        <f>1-D37</f>
        <v>0.35941271681332643</v>
      </c>
    </row>
    <row r="41" spans="1:19" x14ac:dyDescent="0.2">
      <c r="A41" s="13" t="s">
        <v>988</v>
      </c>
      <c r="B41" s="15"/>
      <c r="D41" s="33"/>
      <c r="E41" s="33"/>
      <c r="F41" s="33"/>
      <c r="G41" s="33"/>
      <c r="H41" s="33"/>
      <c r="I41" s="33"/>
      <c r="J41" s="33"/>
      <c r="K41" s="33"/>
      <c r="L41" s="34"/>
      <c r="M41" s="33"/>
    </row>
    <row r="42" spans="1:19" x14ac:dyDescent="0.2">
      <c r="C42" s="287"/>
      <c r="F42" s="16" t="s">
        <v>961</v>
      </c>
      <c r="I42" s="16" t="s">
        <v>962</v>
      </c>
    </row>
    <row r="43" spans="1:19" x14ac:dyDescent="0.2">
      <c r="D43" s="16"/>
      <c r="E43" s="17"/>
      <c r="F43" s="16" t="s">
        <v>963</v>
      </c>
      <c r="H43" s="16"/>
      <c r="I43" s="16"/>
      <c r="J43" s="16"/>
      <c r="K43" s="16"/>
    </row>
    <row r="44" spans="1:19" x14ac:dyDescent="0.2">
      <c r="B44" s="18" t="s">
        <v>6</v>
      </c>
      <c r="C44" s="19" t="s">
        <v>964</v>
      </c>
      <c r="D44" s="20" t="s">
        <v>965</v>
      </c>
      <c r="E44" s="21" t="s">
        <v>966</v>
      </c>
      <c r="F44" s="20" t="s">
        <v>967</v>
      </c>
      <c r="H44" s="22" t="s">
        <v>968</v>
      </c>
      <c r="I44" s="22" t="s">
        <v>969</v>
      </c>
      <c r="J44" s="22" t="s">
        <v>970</v>
      </c>
      <c r="K44" s="23"/>
    </row>
    <row r="45" spans="1:19" x14ac:dyDescent="0.2">
      <c r="B45" s="14" t="s">
        <v>1085</v>
      </c>
      <c r="C45" s="25">
        <v>211.59</v>
      </c>
      <c r="D45" s="41">
        <v>4367580.6999999993</v>
      </c>
      <c r="E45" s="24">
        <v>861823</v>
      </c>
      <c r="F45" s="25">
        <f t="shared" ref="F45:F47" si="16">D45/E45</f>
        <v>5.067839567985537</v>
      </c>
      <c r="G45" s="35"/>
      <c r="H45" s="25">
        <f t="shared" ref="H45:H47" si="17">F45*E45^0.5</f>
        <v>4704.6995959178912</v>
      </c>
      <c r="I45" s="25">
        <f t="shared" ref="I45:I47" si="18">E45^0.5</f>
        <v>928.34422495106844</v>
      </c>
      <c r="J45" s="25">
        <f t="shared" ref="J45:J47" si="19">C45*E45^0.5</f>
        <v>196428.35455739658</v>
      </c>
      <c r="K45" s="25"/>
      <c r="O45" s="188"/>
      <c r="P45" s="198"/>
      <c r="Q45" s="187"/>
      <c r="S45" s="77"/>
    </row>
    <row r="46" spans="1:19" x14ac:dyDescent="0.2">
      <c r="B46" s="14" t="s">
        <v>1086</v>
      </c>
      <c r="C46" s="25">
        <v>105.53</v>
      </c>
      <c r="D46" s="41">
        <v>830772.94000000006</v>
      </c>
      <c r="E46" s="24">
        <v>195329</v>
      </c>
      <c r="F46" s="25">
        <f t="shared" ref="F46" si="20">D46/E46</f>
        <v>4.2531981426209118</v>
      </c>
      <c r="G46" s="35"/>
      <c r="H46" s="25">
        <f t="shared" ref="H46" si="21">F46*E46^0.5</f>
        <v>1879.7451756415589</v>
      </c>
      <c r="I46" s="25">
        <f t="shared" ref="I46" si="22">E46^0.5</f>
        <v>441.96040546637209</v>
      </c>
      <c r="J46" s="25">
        <f t="shared" ref="J46" si="23">C46*E46^0.5</f>
        <v>46640.081588866247</v>
      </c>
      <c r="K46" s="25"/>
      <c r="O46" s="188"/>
      <c r="P46" s="198"/>
      <c r="Q46" s="187"/>
      <c r="S46" s="77"/>
    </row>
    <row r="47" spans="1:19" x14ac:dyDescent="0.2">
      <c r="B47" s="14" t="s">
        <v>1087</v>
      </c>
      <c r="C47" s="25">
        <v>350</v>
      </c>
      <c r="D47" s="41">
        <v>69291.010000000009</v>
      </c>
      <c r="E47" s="24">
        <v>9956</v>
      </c>
      <c r="F47" s="25">
        <f t="shared" si="16"/>
        <v>6.9597237846524722</v>
      </c>
      <c r="G47" s="35"/>
      <c r="H47" s="25">
        <f t="shared" si="17"/>
        <v>694.4395512638896</v>
      </c>
      <c r="I47" s="25">
        <f t="shared" si="18"/>
        <v>99.779757466131372</v>
      </c>
      <c r="J47" s="25">
        <f t="shared" si="19"/>
        <v>34922.91511314598</v>
      </c>
      <c r="K47" s="25"/>
      <c r="O47" s="188"/>
      <c r="P47" s="198"/>
      <c r="Q47" s="187"/>
      <c r="S47" s="77"/>
    </row>
    <row r="48" spans="1:19" x14ac:dyDescent="0.2">
      <c r="B48" s="26" t="s">
        <v>862</v>
      </c>
      <c r="C48" s="178"/>
      <c r="D48" s="36">
        <f>SUM(D45:D47)</f>
        <v>5267644.6499999994</v>
      </c>
      <c r="E48" s="37">
        <f>SUM(E45:E47)</f>
        <v>1067108</v>
      </c>
    </row>
    <row r="50" spans="2:9" x14ac:dyDescent="0.2">
      <c r="B50" s="18" t="s">
        <v>971</v>
      </c>
      <c r="H50" s="241" t="s">
        <v>972</v>
      </c>
      <c r="I50" s="241"/>
    </row>
    <row r="52" spans="2:9" x14ac:dyDescent="0.2">
      <c r="B52" s="14" t="s">
        <v>973</v>
      </c>
      <c r="D52" s="38">
        <f>H52</f>
        <v>8.3148605756891095E-3</v>
      </c>
      <c r="H52" s="38">
        <f t="array" ref="H52:I54">LINEST(H45:H47,I45:J47,FALSE,TRUE)</f>
        <v>8.3148605756891095E-3</v>
      </c>
      <c r="I52" s="38">
        <v>3.3277185152666235</v>
      </c>
    </row>
    <row r="53" spans="2:9" x14ac:dyDescent="0.2">
      <c r="B53" s="14" t="s">
        <v>974</v>
      </c>
      <c r="D53" s="38">
        <f>I52</f>
        <v>3.3277185152666235</v>
      </c>
      <c r="H53" s="38">
        <v>1.7097079492529284E-3</v>
      </c>
      <c r="I53" s="38">
        <v>0.33910470603671561</v>
      </c>
    </row>
    <row r="54" spans="2:9" x14ac:dyDescent="0.2">
      <c r="B54" s="14" t="s">
        <v>975</v>
      </c>
      <c r="D54" s="39">
        <f>H54</f>
        <v>0.99977224635580808</v>
      </c>
      <c r="H54" s="38">
        <v>0.99977224635580808</v>
      </c>
      <c r="I54" s="38">
        <v>77.173388848650461</v>
      </c>
    </row>
    <row r="55" spans="2:9" x14ac:dyDescent="0.2">
      <c r="H55" s="38"/>
      <c r="I55" s="38"/>
    </row>
    <row r="56" spans="2:9" x14ac:dyDescent="0.2">
      <c r="B56" s="27" t="s">
        <v>976</v>
      </c>
      <c r="C56" s="40"/>
    </row>
    <row r="57" spans="2:9" x14ac:dyDescent="0.2">
      <c r="C57" s="40"/>
    </row>
    <row r="58" spans="2:9" x14ac:dyDescent="0.2">
      <c r="B58" s="14" t="s">
        <v>977</v>
      </c>
      <c r="C58" s="40"/>
      <c r="D58" s="35">
        <f>E48</f>
        <v>1067108</v>
      </c>
    </row>
    <row r="59" spans="2:9" x14ac:dyDescent="0.2">
      <c r="B59" s="14" t="s">
        <v>978</v>
      </c>
      <c r="C59" s="40"/>
      <c r="D59" s="41">
        <f>D53</f>
        <v>3.3277185152666235</v>
      </c>
      <c r="E59" s="28"/>
      <c r="F59" s="29"/>
    </row>
    <row r="60" spans="2:9" x14ac:dyDescent="0.2">
      <c r="B60" s="14" t="s">
        <v>979</v>
      </c>
      <c r="C60" s="40"/>
      <c r="D60" s="41">
        <f>MIN(F45:F47)</f>
        <v>4.2531981426209118</v>
      </c>
    </row>
    <row r="61" spans="2:9" x14ac:dyDescent="0.2">
      <c r="B61" s="14" t="s">
        <v>980</v>
      </c>
      <c r="C61" s="40"/>
      <c r="D61" s="184" t="s">
        <v>987</v>
      </c>
    </row>
    <row r="62" spans="2:9" x14ac:dyDescent="0.2">
      <c r="B62" s="14" t="s">
        <v>981</v>
      </c>
      <c r="C62" s="40"/>
      <c r="D62" s="42">
        <f>IF(D61="Z",D58*D59,D58*D60)</f>
        <v>3551035.049389136</v>
      </c>
    </row>
    <row r="63" spans="2:9" x14ac:dyDescent="0.2">
      <c r="B63" s="14" t="s">
        <v>982</v>
      </c>
      <c r="C63" s="40"/>
      <c r="D63" s="42">
        <f>D48</f>
        <v>5267644.6499999994</v>
      </c>
    </row>
    <row r="64" spans="2:9" x14ac:dyDescent="0.2">
      <c r="B64" s="14" t="s">
        <v>983</v>
      </c>
      <c r="C64" s="40"/>
      <c r="D64" s="43">
        <f>D62/D63</f>
        <v>0.67412198151770475</v>
      </c>
    </row>
    <row r="65" spans="1:13" x14ac:dyDescent="0.2">
      <c r="B65" s="14" t="s">
        <v>984</v>
      </c>
      <c r="C65" s="40"/>
      <c r="D65" s="44">
        <f>D64</f>
        <v>0.67412198151770475</v>
      </c>
    </row>
    <row r="66" spans="1:13" x14ac:dyDescent="0.2">
      <c r="B66" s="14" t="s">
        <v>985</v>
      </c>
      <c r="C66" s="40"/>
      <c r="D66" s="45">
        <f>1-D65</f>
        <v>0.32587801848229525</v>
      </c>
    </row>
    <row r="69" spans="1:13" x14ac:dyDescent="0.2">
      <c r="A69" s="13" t="s">
        <v>989</v>
      </c>
      <c r="B69" s="15"/>
      <c r="C69" s="33"/>
      <c r="D69" s="33"/>
      <c r="E69" s="33"/>
      <c r="F69" s="33"/>
      <c r="G69" s="33"/>
      <c r="H69" s="33"/>
      <c r="I69" s="33"/>
      <c r="J69" s="33"/>
      <c r="K69" s="33"/>
      <c r="L69" s="34"/>
      <c r="M69" s="33"/>
    </row>
    <row r="70" spans="1:13" x14ac:dyDescent="0.2">
      <c r="C70" s="287"/>
      <c r="F70" s="16" t="s">
        <v>961</v>
      </c>
      <c r="I70" s="16" t="s">
        <v>962</v>
      </c>
      <c r="L70" s="242" t="s">
        <v>990</v>
      </c>
      <c r="M70" s="242"/>
    </row>
    <row r="71" spans="1:13" x14ac:dyDescent="0.2">
      <c r="D71" s="16"/>
      <c r="E71" s="17"/>
      <c r="F71" s="16" t="s">
        <v>963</v>
      </c>
      <c r="H71" s="16"/>
      <c r="I71" s="16"/>
      <c r="J71" s="16"/>
      <c r="K71" s="16"/>
    </row>
    <row r="72" spans="1:13" x14ac:dyDescent="0.2">
      <c r="B72" s="18" t="s">
        <v>6</v>
      </c>
      <c r="C72" s="19" t="s">
        <v>964</v>
      </c>
      <c r="D72" s="20" t="s">
        <v>965</v>
      </c>
      <c r="E72" s="21" t="s">
        <v>966</v>
      </c>
      <c r="F72" s="20" t="s">
        <v>967</v>
      </c>
      <c r="H72" s="22" t="s">
        <v>968</v>
      </c>
      <c r="I72" s="22" t="s">
        <v>969</v>
      </c>
      <c r="J72" s="22" t="s">
        <v>970</v>
      </c>
      <c r="K72" s="23"/>
      <c r="L72" s="21" t="s">
        <v>991</v>
      </c>
      <c r="M72" s="30" t="s">
        <v>992</v>
      </c>
    </row>
    <row r="73" spans="1:13" x14ac:dyDescent="0.2">
      <c r="B73" s="14" t="s">
        <v>1153</v>
      </c>
      <c r="C73" s="25">
        <v>167</v>
      </c>
      <c r="D73" s="41">
        <v>230170.93</v>
      </c>
      <c r="E73" s="24">
        <v>101</v>
      </c>
      <c r="F73" s="25">
        <f t="shared" ref="F73" si="24">D73/E73</f>
        <v>2278.9200990099007</v>
      </c>
      <c r="G73" s="35"/>
      <c r="H73" s="25">
        <f t="shared" ref="H73" si="25">F73*E73^0.5</f>
        <v>22902.863545522006</v>
      </c>
      <c r="I73" s="25">
        <f t="shared" ref="I73" si="26">E73^0.5</f>
        <v>10.04987562112089</v>
      </c>
      <c r="J73" s="25">
        <f t="shared" ref="J73" si="27">C73*E73^0.5</f>
        <v>1678.3292287271886</v>
      </c>
      <c r="K73" s="25"/>
      <c r="L73" s="29">
        <f t="shared" ref="L73" si="28">IF(C73&gt;50,0,1)</f>
        <v>0</v>
      </c>
      <c r="M73" s="35">
        <f t="shared" ref="M73" si="29">L73*E73</f>
        <v>0</v>
      </c>
    </row>
    <row r="74" spans="1:13" x14ac:dyDescent="0.2">
      <c r="B74" s="14" t="s">
        <v>1088</v>
      </c>
      <c r="C74" s="25">
        <v>1.5</v>
      </c>
      <c r="D74" s="41">
        <v>58862.05</v>
      </c>
      <c r="E74" s="24">
        <v>150</v>
      </c>
      <c r="F74" s="25">
        <f t="shared" ref="F74" si="30">D74/E74</f>
        <v>392.4136666666667</v>
      </c>
      <c r="G74" s="35"/>
      <c r="H74" s="25">
        <f t="shared" ref="H74" si="31">F74*E74^0.5</f>
        <v>4806.0662571396861</v>
      </c>
      <c r="I74" s="25">
        <f t="shared" ref="I74" si="32">E74^0.5</f>
        <v>12.24744871391589</v>
      </c>
      <c r="J74" s="25">
        <f t="shared" ref="J74" si="33">C74*E74^0.5</f>
        <v>18.371173070873837</v>
      </c>
      <c r="K74" s="25"/>
      <c r="L74" s="29">
        <f t="shared" ref="L74" si="34">IF(C74&gt;50,0,1)</f>
        <v>1</v>
      </c>
      <c r="M74" s="35">
        <f t="shared" ref="M74" si="35">L74*E74</f>
        <v>150</v>
      </c>
    </row>
    <row r="75" spans="1:13" x14ac:dyDescent="0.2">
      <c r="B75" s="14" t="s">
        <v>1089</v>
      </c>
      <c r="C75" s="25">
        <v>3</v>
      </c>
      <c r="D75" s="41">
        <v>3021.5299999999997</v>
      </c>
      <c r="E75" s="24">
        <v>46</v>
      </c>
      <c r="F75" s="25">
        <f t="shared" ref="F75:F115" si="36">D75/E75</f>
        <v>65.685434782608695</v>
      </c>
      <c r="G75" s="35"/>
      <c r="H75" s="25">
        <f t="shared" ref="H75:H115" si="37">F75*E75^0.5</f>
        <v>445.50029378070633</v>
      </c>
      <c r="I75" s="25">
        <f t="shared" ref="I75:I115" si="38">E75^0.5</f>
        <v>6.7823299831252681</v>
      </c>
      <c r="J75" s="25">
        <f t="shared" ref="J75:J115" si="39">C75*E75^0.5</f>
        <v>20.346989949375804</v>
      </c>
      <c r="K75" s="25"/>
      <c r="L75" s="29">
        <f t="shared" ref="L75:L115" si="40">IF(C75&gt;50,0,1)</f>
        <v>1</v>
      </c>
      <c r="M75" s="35">
        <f t="shared" ref="M75:M115" si="41">L75*E75</f>
        <v>46</v>
      </c>
    </row>
    <row r="76" spans="1:13" x14ac:dyDescent="0.2">
      <c r="B76" s="14" t="s">
        <v>1090</v>
      </c>
      <c r="C76" s="25">
        <v>5</v>
      </c>
      <c r="D76" s="41">
        <v>17169.86</v>
      </c>
      <c r="E76" s="24">
        <v>131</v>
      </c>
      <c r="F76" s="25">
        <f t="shared" si="36"/>
        <v>131.06763358778628</v>
      </c>
      <c r="G76" s="35"/>
      <c r="H76" s="25">
        <f t="shared" si="37"/>
        <v>1500.1376334302092</v>
      </c>
      <c r="I76" s="25">
        <f t="shared" si="38"/>
        <v>11.445523142259598</v>
      </c>
      <c r="J76" s="25">
        <f t="shared" si="39"/>
        <v>57.227615711297986</v>
      </c>
      <c r="K76" s="25"/>
      <c r="L76" s="29">
        <f t="shared" si="40"/>
        <v>1</v>
      </c>
      <c r="M76" s="35">
        <f t="shared" si="41"/>
        <v>131</v>
      </c>
    </row>
    <row r="77" spans="1:13" x14ac:dyDescent="0.2">
      <c r="B77" s="14" t="s">
        <v>1091</v>
      </c>
      <c r="C77" s="25">
        <v>7.5</v>
      </c>
      <c r="D77" s="41">
        <v>600.86999999999989</v>
      </c>
      <c r="E77" s="24">
        <v>5</v>
      </c>
      <c r="F77" s="25">
        <f t="shared" si="36"/>
        <v>120.17399999999998</v>
      </c>
      <c r="G77" s="35"/>
      <c r="H77" s="25">
        <f t="shared" si="37"/>
        <v>268.71723312805972</v>
      </c>
      <c r="I77" s="25">
        <f t="shared" si="38"/>
        <v>2.2360679774997898</v>
      </c>
      <c r="J77" s="25">
        <f t="shared" si="39"/>
        <v>16.770509831248425</v>
      </c>
      <c r="K77" s="25"/>
      <c r="L77" s="29">
        <f t="shared" si="40"/>
        <v>1</v>
      </c>
      <c r="M77" s="35">
        <f t="shared" si="41"/>
        <v>5</v>
      </c>
    </row>
    <row r="78" spans="1:13" x14ac:dyDescent="0.2">
      <c r="B78" s="14" t="s">
        <v>1092</v>
      </c>
      <c r="C78" s="25">
        <v>10</v>
      </c>
      <c r="D78" s="41">
        <v>149325.59999999998</v>
      </c>
      <c r="E78" s="24">
        <v>364</v>
      </c>
      <c r="F78" s="25">
        <f t="shared" si="36"/>
        <v>410.23516483516477</v>
      </c>
      <c r="G78" s="35"/>
      <c r="H78" s="25">
        <f t="shared" si="37"/>
        <v>7826.7881107201229</v>
      </c>
      <c r="I78" s="25">
        <f t="shared" si="38"/>
        <v>19.078784028338912</v>
      </c>
      <c r="J78" s="25">
        <f t="shared" si="39"/>
        <v>190.78784028338913</v>
      </c>
      <c r="K78" s="25"/>
      <c r="L78" s="29">
        <f t="shared" si="40"/>
        <v>1</v>
      </c>
      <c r="M78" s="35">
        <f t="shared" si="41"/>
        <v>364</v>
      </c>
    </row>
    <row r="79" spans="1:13" x14ac:dyDescent="0.2">
      <c r="B79" s="14" t="s">
        <v>1093</v>
      </c>
      <c r="C79" s="25">
        <v>15</v>
      </c>
      <c r="D79" s="41">
        <v>135715.16999999998</v>
      </c>
      <c r="E79" s="24">
        <v>249</v>
      </c>
      <c r="F79" s="25">
        <f t="shared" si="36"/>
        <v>545.04084337349389</v>
      </c>
      <c r="G79" s="35"/>
      <c r="H79" s="25">
        <f t="shared" si="37"/>
        <v>8600.5994393052097</v>
      </c>
      <c r="I79" s="25">
        <f t="shared" si="38"/>
        <v>15.779733838059499</v>
      </c>
      <c r="J79" s="25">
        <f t="shared" si="39"/>
        <v>236.6960075708925</v>
      </c>
      <c r="K79" s="25"/>
      <c r="L79" s="29">
        <f t="shared" si="40"/>
        <v>1</v>
      </c>
      <c r="M79" s="35">
        <f t="shared" si="41"/>
        <v>249</v>
      </c>
    </row>
    <row r="80" spans="1:13" x14ac:dyDescent="0.2">
      <c r="B80" s="14" t="s">
        <v>1094</v>
      </c>
      <c r="C80" s="25">
        <v>25</v>
      </c>
      <c r="D80" s="41">
        <v>219078.09</v>
      </c>
      <c r="E80" s="24">
        <v>325</v>
      </c>
      <c r="F80" s="25">
        <f t="shared" si="36"/>
        <v>674.08643076923079</v>
      </c>
      <c r="G80" s="35"/>
      <c r="H80" s="25">
        <f t="shared" si="37"/>
        <v>12152.26595116484</v>
      </c>
      <c r="I80" s="25">
        <f t="shared" si="38"/>
        <v>18.027756377319946</v>
      </c>
      <c r="J80" s="25">
        <f t="shared" si="39"/>
        <v>450.69390943299868</v>
      </c>
      <c r="K80" s="25"/>
      <c r="L80" s="29">
        <f t="shared" si="40"/>
        <v>1</v>
      </c>
      <c r="M80" s="35">
        <f t="shared" si="41"/>
        <v>325</v>
      </c>
    </row>
    <row r="81" spans="2:13" x14ac:dyDescent="0.2">
      <c r="B81" s="14" t="s">
        <v>1095</v>
      </c>
      <c r="C81" s="25">
        <v>37.5</v>
      </c>
      <c r="D81" s="41">
        <v>232415.88</v>
      </c>
      <c r="E81" s="24">
        <v>272</v>
      </c>
      <c r="F81" s="25">
        <f t="shared" si="36"/>
        <v>854.4701470588235</v>
      </c>
      <c r="G81" s="35"/>
      <c r="H81" s="25">
        <f t="shared" si="37"/>
        <v>14092.282681042339</v>
      </c>
      <c r="I81" s="25">
        <f t="shared" si="38"/>
        <v>16.492422502470642</v>
      </c>
      <c r="J81" s="25">
        <f t="shared" si="39"/>
        <v>618.46584384264906</v>
      </c>
      <c r="K81" s="25"/>
      <c r="L81" s="29">
        <f t="shared" si="40"/>
        <v>1</v>
      </c>
      <c r="M81" s="35">
        <f t="shared" si="41"/>
        <v>272</v>
      </c>
    </row>
    <row r="82" spans="2:13" x14ac:dyDescent="0.2">
      <c r="B82" s="14" t="s">
        <v>1096</v>
      </c>
      <c r="C82" s="25">
        <v>50</v>
      </c>
      <c r="D82" s="41">
        <v>218221.59</v>
      </c>
      <c r="E82" s="24">
        <v>222</v>
      </c>
      <c r="F82" s="25">
        <f t="shared" si="36"/>
        <v>982.98013513513513</v>
      </c>
      <c r="G82" s="35"/>
      <c r="H82" s="25">
        <f t="shared" si="37"/>
        <v>14646.074150693217</v>
      </c>
      <c r="I82" s="25">
        <f t="shared" si="38"/>
        <v>14.89966442575134</v>
      </c>
      <c r="J82" s="25">
        <f t="shared" si="39"/>
        <v>744.98322128756695</v>
      </c>
      <c r="K82" s="25"/>
      <c r="L82" s="29">
        <f t="shared" si="40"/>
        <v>1</v>
      </c>
      <c r="M82" s="35">
        <f t="shared" si="41"/>
        <v>222</v>
      </c>
    </row>
    <row r="83" spans="2:13" x14ac:dyDescent="0.2">
      <c r="B83" s="14" t="s">
        <v>1109</v>
      </c>
      <c r="C83" s="25">
        <v>75</v>
      </c>
      <c r="D83" s="41">
        <v>355247.14999999997</v>
      </c>
      <c r="E83" s="24">
        <v>214</v>
      </c>
      <c r="F83" s="25">
        <f t="shared" si="36"/>
        <v>1660.033411214953</v>
      </c>
      <c r="G83" s="35"/>
      <c r="H83" s="25">
        <f t="shared" si="37"/>
        <v>24284.195235561958</v>
      </c>
      <c r="I83" s="25">
        <f t="shared" si="38"/>
        <v>14.628738838327793</v>
      </c>
      <c r="J83" s="25">
        <f t="shared" si="39"/>
        <v>1097.1554128745845</v>
      </c>
      <c r="K83" s="25"/>
      <c r="L83" s="29">
        <f t="shared" si="40"/>
        <v>0</v>
      </c>
      <c r="M83" s="35">
        <f t="shared" si="41"/>
        <v>0</v>
      </c>
    </row>
    <row r="84" spans="2:13" x14ac:dyDescent="0.2">
      <c r="B84" s="14" t="s">
        <v>1110</v>
      </c>
      <c r="C84" s="25">
        <v>100</v>
      </c>
      <c r="D84" s="41">
        <v>347139.14</v>
      </c>
      <c r="E84" s="24">
        <v>178</v>
      </c>
      <c r="F84" s="25">
        <f t="shared" si="36"/>
        <v>1950.2198876404495</v>
      </c>
      <c r="G84" s="35"/>
      <c r="H84" s="25">
        <f t="shared" si="37"/>
        <v>26019.178592077082</v>
      </c>
      <c r="I84" s="25">
        <f t="shared" si="38"/>
        <v>13.341664064126334</v>
      </c>
      <c r="J84" s="25">
        <f t="shared" si="39"/>
        <v>1334.1664064126335</v>
      </c>
      <c r="K84" s="25"/>
      <c r="L84" s="29">
        <f t="shared" si="40"/>
        <v>0</v>
      </c>
      <c r="M84" s="35">
        <f t="shared" si="41"/>
        <v>0</v>
      </c>
    </row>
    <row r="85" spans="2:13" x14ac:dyDescent="0.2">
      <c r="B85" s="14" t="s">
        <v>1111</v>
      </c>
      <c r="C85" s="25">
        <v>150</v>
      </c>
      <c r="D85" s="41">
        <v>2898.44</v>
      </c>
      <c r="E85" s="24">
        <v>1</v>
      </c>
      <c r="F85" s="25">
        <f t="shared" si="36"/>
        <v>2898.44</v>
      </c>
      <c r="G85" s="35"/>
      <c r="H85" s="25">
        <f t="shared" si="37"/>
        <v>2898.44</v>
      </c>
      <c r="I85" s="25">
        <f t="shared" si="38"/>
        <v>1</v>
      </c>
      <c r="J85" s="25">
        <f t="shared" si="39"/>
        <v>150</v>
      </c>
      <c r="K85" s="25"/>
      <c r="L85" s="29">
        <f t="shared" si="40"/>
        <v>0</v>
      </c>
      <c r="M85" s="35">
        <f t="shared" si="41"/>
        <v>0</v>
      </c>
    </row>
    <row r="86" spans="2:13" x14ac:dyDescent="0.2">
      <c r="B86" s="14" t="s">
        <v>1112</v>
      </c>
      <c r="C86" s="25">
        <v>250</v>
      </c>
      <c r="D86" s="41">
        <v>129967.4</v>
      </c>
      <c r="E86" s="24">
        <v>37</v>
      </c>
      <c r="F86" s="25">
        <f t="shared" si="36"/>
        <v>3512.6324324324323</v>
      </c>
      <c r="G86" s="35"/>
      <c r="H86" s="25">
        <f t="shared" si="37"/>
        <v>21366.50894271029</v>
      </c>
      <c r="I86" s="25">
        <f t="shared" si="38"/>
        <v>6.0827625302982193</v>
      </c>
      <c r="J86" s="25">
        <f t="shared" si="39"/>
        <v>1520.6906325745549</v>
      </c>
      <c r="K86" s="25"/>
      <c r="L86" s="29">
        <f t="shared" si="40"/>
        <v>0</v>
      </c>
      <c r="M86" s="35">
        <f t="shared" si="41"/>
        <v>0</v>
      </c>
    </row>
    <row r="87" spans="2:13" x14ac:dyDescent="0.2">
      <c r="B87" s="14" t="s">
        <v>1113</v>
      </c>
      <c r="C87" s="25">
        <v>500</v>
      </c>
      <c r="D87" s="41">
        <v>66592.72</v>
      </c>
      <c r="E87" s="24">
        <v>20</v>
      </c>
      <c r="F87" s="25">
        <f t="shared" si="36"/>
        <v>3329.636</v>
      </c>
      <c r="G87" s="35"/>
      <c r="H87" s="25">
        <f t="shared" si="37"/>
        <v>14890.58487266098</v>
      </c>
      <c r="I87" s="25">
        <f t="shared" si="38"/>
        <v>4.4721359549995796</v>
      </c>
      <c r="J87" s="25">
        <f t="shared" si="39"/>
        <v>2236.0679774997898</v>
      </c>
      <c r="K87" s="25"/>
      <c r="L87" s="29">
        <f t="shared" si="40"/>
        <v>0</v>
      </c>
      <c r="M87" s="35">
        <f t="shared" si="41"/>
        <v>0</v>
      </c>
    </row>
    <row r="88" spans="2:13" x14ac:dyDescent="0.2">
      <c r="B88" s="14" t="s">
        <v>1097</v>
      </c>
      <c r="C88" s="25">
        <v>1.5</v>
      </c>
      <c r="D88" s="41">
        <v>98019.1</v>
      </c>
      <c r="E88" s="24">
        <v>225</v>
      </c>
      <c r="F88" s="25">
        <f t="shared" si="36"/>
        <v>435.64044444444448</v>
      </c>
      <c r="G88" s="35"/>
      <c r="H88" s="25">
        <f t="shared" si="37"/>
        <v>6534.6066666666675</v>
      </c>
      <c r="I88" s="25">
        <f t="shared" si="38"/>
        <v>15</v>
      </c>
      <c r="J88" s="25">
        <f t="shared" si="39"/>
        <v>22.5</v>
      </c>
      <c r="K88" s="25"/>
      <c r="L88" s="29">
        <f t="shared" si="40"/>
        <v>1</v>
      </c>
      <c r="M88" s="35">
        <f t="shared" si="41"/>
        <v>225</v>
      </c>
    </row>
    <row r="89" spans="2:13" x14ac:dyDescent="0.2">
      <c r="B89" s="14" t="s">
        <v>1098</v>
      </c>
      <c r="C89" s="25">
        <v>3</v>
      </c>
      <c r="D89" s="41">
        <v>50963.5</v>
      </c>
      <c r="E89" s="24">
        <v>407</v>
      </c>
      <c r="F89" s="25">
        <f t="shared" si="36"/>
        <v>125.21744471744472</v>
      </c>
      <c r="G89" s="35"/>
      <c r="H89" s="25">
        <f t="shared" si="37"/>
        <v>2526.166907363307</v>
      </c>
      <c r="I89" s="25">
        <f t="shared" si="38"/>
        <v>20.174241001832016</v>
      </c>
      <c r="J89" s="25">
        <f t="shared" si="39"/>
        <v>60.522723005496047</v>
      </c>
      <c r="K89" s="25"/>
      <c r="L89" s="29">
        <f t="shared" si="40"/>
        <v>1</v>
      </c>
      <c r="M89" s="35">
        <f t="shared" si="41"/>
        <v>407</v>
      </c>
    </row>
    <row r="90" spans="2:13" x14ac:dyDescent="0.2">
      <c r="B90" s="14" t="s">
        <v>1099</v>
      </c>
      <c r="C90" s="25">
        <v>5</v>
      </c>
      <c r="D90" s="41">
        <v>563574.63</v>
      </c>
      <c r="E90" s="24">
        <v>1074</v>
      </c>
      <c r="F90" s="25">
        <f t="shared" si="36"/>
        <v>524.74360335195536</v>
      </c>
      <c r="G90" s="35"/>
      <c r="H90" s="25">
        <f t="shared" si="37"/>
        <v>17196.865473217644</v>
      </c>
      <c r="I90" s="25">
        <f t="shared" si="38"/>
        <v>32.771939216347882</v>
      </c>
      <c r="J90" s="25">
        <f t="shared" si="39"/>
        <v>163.8596960817394</v>
      </c>
      <c r="K90" s="25"/>
      <c r="L90" s="29">
        <f t="shared" si="40"/>
        <v>1</v>
      </c>
      <c r="M90" s="35">
        <f t="shared" si="41"/>
        <v>1074</v>
      </c>
    </row>
    <row r="91" spans="2:13" x14ac:dyDescent="0.2">
      <c r="B91" s="14" t="s">
        <v>1100</v>
      </c>
      <c r="C91" s="25">
        <v>7.5</v>
      </c>
      <c r="D91" s="41">
        <v>9622.16</v>
      </c>
      <c r="E91" s="24">
        <v>47</v>
      </c>
      <c r="F91" s="25">
        <f t="shared" si="36"/>
        <v>204.72680851063831</v>
      </c>
      <c r="G91" s="35"/>
      <c r="H91" s="25">
        <f t="shared" si="37"/>
        <v>1403.536286591381</v>
      </c>
      <c r="I91" s="25">
        <f t="shared" si="38"/>
        <v>6.8556546004010439</v>
      </c>
      <c r="J91" s="25">
        <f t="shared" si="39"/>
        <v>51.417409503007832</v>
      </c>
      <c r="K91" s="25"/>
      <c r="L91" s="29">
        <f t="shared" si="40"/>
        <v>1</v>
      </c>
      <c r="M91" s="35">
        <f t="shared" si="41"/>
        <v>47</v>
      </c>
    </row>
    <row r="92" spans="2:13" x14ac:dyDescent="0.2">
      <c r="B92" s="14" t="s">
        <v>1101</v>
      </c>
      <c r="C92" s="25">
        <v>10</v>
      </c>
      <c r="D92" s="41">
        <v>2484993.35</v>
      </c>
      <c r="E92" s="24">
        <v>4401</v>
      </c>
      <c r="F92" s="25">
        <f t="shared" si="36"/>
        <v>564.64288798000462</v>
      </c>
      <c r="G92" s="35"/>
      <c r="H92" s="25">
        <f t="shared" si="37"/>
        <v>37458.427913556472</v>
      </c>
      <c r="I92" s="25">
        <f t="shared" si="38"/>
        <v>66.340033162487941</v>
      </c>
      <c r="J92" s="25">
        <f t="shared" si="39"/>
        <v>663.40033162487941</v>
      </c>
      <c r="K92" s="25"/>
      <c r="L92" s="29">
        <f t="shared" si="40"/>
        <v>1</v>
      </c>
      <c r="M92" s="35">
        <f t="shared" si="41"/>
        <v>4401</v>
      </c>
    </row>
    <row r="93" spans="2:13" x14ac:dyDescent="0.2">
      <c r="B93" s="14" t="s">
        <v>1102</v>
      </c>
      <c r="C93" s="25">
        <v>15</v>
      </c>
      <c r="D93" s="41">
        <v>7375074.6800000006</v>
      </c>
      <c r="E93" s="24">
        <v>11566</v>
      </c>
      <c r="F93" s="25">
        <f t="shared" si="36"/>
        <v>637.6512778834516</v>
      </c>
      <c r="G93" s="35"/>
      <c r="H93" s="25">
        <f t="shared" si="37"/>
        <v>68576.423019780559</v>
      </c>
      <c r="I93" s="25">
        <f t="shared" si="38"/>
        <v>107.54533927604673</v>
      </c>
      <c r="J93" s="25">
        <f t="shared" si="39"/>
        <v>1613.1800891407011</v>
      </c>
      <c r="K93" s="25"/>
      <c r="L93" s="29">
        <f t="shared" si="40"/>
        <v>1</v>
      </c>
      <c r="M93" s="35">
        <f t="shared" si="41"/>
        <v>11566</v>
      </c>
    </row>
    <row r="94" spans="2:13" x14ac:dyDescent="0.2">
      <c r="B94" s="14" t="s">
        <v>1103</v>
      </c>
      <c r="C94" s="25">
        <v>25</v>
      </c>
      <c r="D94" s="41">
        <v>3467341.14</v>
      </c>
      <c r="E94" s="24">
        <v>4113</v>
      </c>
      <c r="F94" s="25">
        <f t="shared" si="36"/>
        <v>843.01997082421599</v>
      </c>
      <c r="G94" s="35"/>
      <c r="H94" s="25">
        <f t="shared" si="37"/>
        <v>54065.125789924918</v>
      </c>
      <c r="I94" s="25">
        <f t="shared" si="38"/>
        <v>64.132674979295857</v>
      </c>
      <c r="J94" s="25">
        <f t="shared" si="39"/>
        <v>1603.3168744823963</v>
      </c>
      <c r="K94" s="25"/>
      <c r="L94" s="29">
        <f t="shared" si="40"/>
        <v>1</v>
      </c>
      <c r="M94" s="35">
        <f t="shared" si="41"/>
        <v>4113</v>
      </c>
    </row>
    <row r="95" spans="2:13" x14ac:dyDescent="0.2">
      <c r="B95" s="14" t="s">
        <v>1104</v>
      </c>
      <c r="C95" s="25">
        <v>37.5</v>
      </c>
      <c r="D95" s="41">
        <v>541173.76000000001</v>
      </c>
      <c r="E95" s="24">
        <v>474</v>
      </c>
      <c r="F95" s="25">
        <f t="shared" si="36"/>
        <v>1141.7167932489451</v>
      </c>
      <c r="G95" s="35"/>
      <c r="H95" s="25">
        <f t="shared" si="37"/>
        <v>24856.934039773976</v>
      </c>
      <c r="I95" s="25">
        <f t="shared" si="38"/>
        <v>21.77154105707724</v>
      </c>
      <c r="J95" s="25">
        <f t="shared" si="39"/>
        <v>816.43278964039655</v>
      </c>
      <c r="K95" s="25"/>
      <c r="L95" s="29">
        <f t="shared" si="40"/>
        <v>1</v>
      </c>
      <c r="M95" s="35">
        <f t="shared" si="41"/>
        <v>474</v>
      </c>
    </row>
    <row r="96" spans="2:13" x14ac:dyDescent="0.2">
      <c r="B96" s="14" t="s">
        <v>1105</v>
      </c>
      <c r="C96" s="25">
        <v>50</v>
      </c>
      <c r="D96" s="41">
        <v>276751.09000000003</v>
      </c>
      <c r="E96" s="24">
        <v>221</v>
      </c>
      <c r="F96" s="25">
        <f t="shared" si="36"/>
        <v>1252.267375565611</v>
      </c>
      <c r="G96" s="35"/>
      <c r="H96" s="25">
        <f t="shared" si="37"/>
        <v>18616.292895182498</v>
      </c>
      <c r="I96" s="25">
        <f t="shared" si="38"/>
        <v>14.866068747318506</v>
      </c>
      <c r="J96" s="25">
        <f t="shared" si="39"/>
        <v>743.30343736592533</v>
      </c>
      <c r="K96" s="25"/>
      <c r="L96" s="29">
        <f t="shared" si="40"/>
        <v>1</v>
      </c>
      <c r="M96" s="35">
        <f t="shared" si="41"/>
        <v>221</v>
      </c>
    </row>
    <row r="97" spans="2:13" x14ac:dyDescent="0.2">
      <c r="B97" s="14" t="s">
        <v>1154</v>
      </c>
      <c r="C97" s="25">
        <v>75</v>
      </c>
      <c r="D97" s="41">
        <v>6107.84</v>
      </c>
      <c r="E97" s="24">
        <v>2</v>
      </c>
      <c r="F97" s="25">
        <f t="shared" si="36"/>
        <v>3053.92</v>
      </c>
      <c r="G97" s="35"/>
      <c r="H97" s="25">
        <f t="shared" si="37"/>
        <v>4318.8950824024432</v>
      </c>
      <c r="I97" s="25">
        <f t="shared" si="38"/>
        <v>1.4142135623730951</v>
      </c>
      <c r="J97" s="25">
        <f t="shared" si="39"/>
        <v>106.06601717798213</v>
      </c>
      <c r="K97" s="25"/>
      <c r="L97" s="29">
        <f t="shared" si="40"/>
        <v>0</v>
      </c>
      <c r="M97" s="35">
        <f t="shared" si="41"/>
        <v>0</v>
      </c>
    </row>
    <row r="98" spans="2:13" x14ac:dyDescent="0.2">
      <c r="B98" s="14" t="s">
        <v>1114</v>
      </c>
      <c r="C98" s="25">
        <v>333</v>
      </c>
      <c r="D98" s="41">
        <v>77212.47</v>
      </c>
      <c r="E98" s="24">
        <v>19</v>
      </c>
      <c r="F98" s="25">
        <f t="shared" si="36"/>
        <v>4063.8142105263159</v>
      </c>
      <c r="G98" s="35"/>
      <c r="H98" s="25">
        <f t="shared" si="37"/>
        <v>17713.755469008738</v>
      </c>
      <c r="I98" s="25">
        <f t="shared" si="38"/>
        <v>4.358898943540674</v>
      </c>
      <c r="J98" s="25">
        <f t="shared" si="39"/>
        <v>1451.5133481990445</v>
      </c>
      <c r="K98" s="25"/>
      <c r="L98" s="29">
        <f t="shared" si="40"/>
        <v>0</v>
      </c>
      <c r="M98" s="35">
        <f t="shared" si="41"/>
        <v>0</v>
      </c>
    </row>
    <row r="99" spans="2:13" x14ac:dyDescent="0.2">
      <c r="B99" s="14" t="s">
        <v>1155</v>
      </c>
      <c r="C99" s="25">
        <v>15</v>
      </c>
      <c r="D99" s="41">
        <v>10852.75</v>
      </c>
      <c r="E99" s="24">
        <v>5</v>
      </c>
      <c r="F99" s="25">
        <f t="shared" si="36"/>
        <v>2170.5500000000002</v>
      </c>
      <c r="G99" s="35"/>
      <c r="H99" s="25">
        <f t="shared" si="37"/>
        <v>4853.4973485621695</v>
      </c>
      <c r="I99" s="25">
        <f t="shared" si="38"/>
        <v>2.2360679774997898</v>
      </c>
      <c r="J99" s="25">
        <f t="shared" si="39"/>
        <v>33.541019662496851</v>
      </c>
      <c r="K99" s="25"/>
      <c r="L99" s="29">
        <f t="shared" si="40"/>
        <v>1</v>
      </c>
      <c r="M99" s="35">
        <f t="shared" si="41"/>
        <v>5</v>
      </c>
    </row>
    <row r="100" spans="2:13" x14ac:dyDescent="0.2">
      <c r="B100" s="14" t="s">
        <v>1106</v>
      </c>
      <c r="C100" s="25">
        <v>25</v>
      </c>
      <c r="D100" s="41">
        <v>396305.14999999997</v>
      </c>
      <c r="E100" s="24">
        <v>189</v>
      </c>
      <c r="F100" s="25">
        <f t="shared" si="36"/>
        <v>2096.8526455026454</v>
      </c>
      <c r="G100" s="35"/>
      <c r="H100" s="25">
        <f t="shared" si="37"/>
        <v>28826.957907552831</v>
      </c>
      <c r="I100" s="25">
        <f t="shared" si="38"/>
        <v>13.74772708486752</v>
      </c>
      <c r="J100" s="25">
        <f t="shared" si="39"/>
        <v>343.693177121688</v>
      </c>
      <c r="K100" s="25"/>
      <c r="L100" s="29">
        <f t="shared" si="40"/>
        <v>1</v>
      </c>
      <c r="M100" s="35">
        <f t="shared" si="41"/>
        <v>189</v>
      </c>
    </row>
    <row r="101" spans="2:13" x14ac:dyDescent="0.2">
      <c r="B101" s="14" t="s">
        <v>1107</v>
      </c>
      <c r="C101" s="25">
        <v>37.5</v>
      </c>
      <c r="D101" s="41">
        <v>147026.43</v>
      </c>
      <c r="E101" s="24">
        <v>107</v>
      </c>
      <c r="F101" s="25">
        <f t="shared" si="36"/>
        <v>1374.0787850467289</v>
      </c>
      <c r="G101" s="35"/>
      <c r="H101" s="25">
        <f t="shared" si="37"/>
        <v>14213.581473511802</v>
      </c>
      <c r="I101" s="25">
        <f t="shared" si="38"/>
        <v>10.344080432788601</v>
      </c>
      <c r="J101" s="25">
        <f t="shared" si="39"/>
        <v>387.90301622957253</v>
      </c>
      <c r="K101" s="25"/>
      <c r="L101" s="29">
        <f t="shared" si="40"/>
        <v>1</v>
      </c>
      <c r="M101" s="35">
        <f t="shared" si="41"/>
        <v>107</v>
      </c>
    </row>
    <row r="102" spans="2:13" x14ac:dyDescent="0.2">
      <c r="B102" s="14" t="s">
        <v>1108</v>
      </c>
      <c r="C102" s="25">
        <v>50</v>
      </c>
      <c r="D102" s="41">
        <v>68583.48</v>
      </c>
      <c r="E102" s="24">
        <v>28</v>
      </c>
      <c r="F102" s="25">
        <f t="shared" si="36"/>
        <v>2449.41</v>
      </c>
      <c r="G102" s="35"/>
      <c r="H102" s="25">
        <f t="shared" si="37"/>
        <v>12961.059437669437</v>
      </c>
      <c r="I102" s="25">
        <f t="shared" si="38"/>
        <v>5.2915026221291814</v>
      </c>
      <c r="J102" s="25">
        <f t="shared" si="39"/>
        <v>264.57513110645908</v>
      </c>
      <c r="K102" s="25"/>
      <c r="L102" s="29">
        <f t="shared" si="40"/>
        <v>1</v>
      </c>
      <c r="M102" s="35">
        <f t="shared" si="41"/>
        <v>28</v>
      </c>
    </row>
    <row r="103" spans="2:13" x14ac:dyDescent="0.2">
      <c r="B103" s="14" t="s">
        <v>1115</v>
      </c>
      <c r="C103" s="25">
        <v>75</v>
      </c>
      <c r="D103" s="41">
        <v>36536.89</v>
      </c>
      <c r="E103" s="24">
        <v>11</v>
      </c>
      <c r="F103" s="25">
        <f t="shared" si="36"/>
        <v>3321.5354545454543</v>
      </c>
      <c r="G103" s="35"/>
      <c r="H103" s="25">
        <f t="shared" si="37"/>
        <v>11016.286830589845</v>
      </c>
      <c r="I103" s="25">
        <f t="shared" si="38"/>
        <v>3.3166247903553998</v>
      </c>
      <c r="J103" s="25">
        <f t="shared" si="39"/>
        <v>248.74685927665499</v>
      </c>
      <c r="K103" s="25"/>
      <c r="L103" s="29">
        <f t="shared" si="40"/>
        <v>0</v>
      </c>
      <c r="M103" s="35">
        <f t="shared" si="41"/>
        <v>0</v>
      </c>
    </row>
    <row r="104" spans="2:13" x14ac:dyDescent="0.2">
      <c r="B104" s="14" t="s">
        <v>1156</v>
      </c>
      <c r="C104" s="25">
        <v>100</v>
      </c>
      <c r="D104" s="41">
        <v>6754.1</v>
      </c>
      <c r="E104" s="24">
        <v>2</v>
      </c>
      <c r="F104" s="25">
        <f t="shared" si="36"/>
        <v>3377.05</v>
      </c>
      <c r="G104" s="35"/>
      <c r="H104" s="25">
        <f t="shared" si="37"/>
        <v>4775.8699108120609</v>
      </c>
      <c r="I104" s="25">
        <f t="shared" si="38"/>
        <v>1.4142135623730951</v>
      </c>
      <c r="J104" s="25">
        <f t="shared" si="39"/>
        <v>141.42135623730951</v>
      </c>
      <c r="K104" s="25"/>
      <c r="L104" s="29">
        <f t="shared" si="40"/>
        <v>0</v>
      </c>
      <c r="M104" s="35">
        <f t="shared" si="41"/>
        <v>0</v>
      </c>
    </row>
    <row r="105" spans="2:13" x14ac:dyDescent="0.2">
      <c r="B105" s="14" t="s">
        <v>1116</v>
      </c>
      <c r="C105" s="25">
        <v>75</v>
      </c>
      <c r="D105" s="41">
        <v>21093.16</v>
      </c>
      <c r="E105" s="24">
        <v>4</v>
      </c>
      <c r="F105" s="25">
        <f t="shared" ref="F105:F114" si="42">D105/E105</f>
        <v>5273.29</v>
      </c>
      <c r="G105" s="35"/>
      <c r="H105" s="25">
        <f t="shared" ref="H105:H114" si="43">F105*E105^0.5</f>
        <v>10546.58</v>
      </c>
      <c r="I105" s="25">
        <f t="shared" ref="I105:I114" si="44">E105^0.5</f>
        <v>2</v>
      </c>
      <c r="J105" s="25">
        <f t="shared" ref="J105:J114" si="45">C105*E105^0.5</f>
        <v>150</v>
      </c>
      <c r="K105" s="25"/>
      <c r="L105" s="29">
        <f t="shared" ref="L105:L114" si="46">IF(C105&gt;50,0,1)</f>
        <v>0</v>
      </c>
      <c r="M105" s="35">
        <f t="shared" ref="M105:M114" si="47">L105*E105</f>
        <v>0</v>
      </c>
    </row>
    <row r="106" spans="2:13" x14ac:dyDescent="0.2">
      <c r="B106" s="14" t="s">
        <v>1117</v>
      </c>
      <c r="C106" s="25">
        <v>112.5</v>
      </c>
      <c r="D106" s="41">
        <v>12142.5</v>
      </c>
      <c r="E106" s="24">
        <v>2</v>
      </c>
      <c r="F106" s="25">
        <f t="shared" si="42"/>
        <v>6071.25</v>
      </c>
      <c r="G106" s="35"/>
      <c r="H106" s="25">
        <f t="shared" si="43"/>
        <v>8586.0440905576543</v>
      </c>
      <c r="I106" s="25">
        <f t="shared" si="44"/>
        <v>1.4142135623730951</v>
      </c>
      <c r="J106" s="25">
        <f t="shared" si="45"/>
        <v>159.0990257669732</v>
      </c>
      <c r="K106" s="25"/>
      <c r="L106" s="29">
        <f t="shared" si="46"/>
        <v>0</v>
      </c>
      <c r="M106" s="35">
        <f t="shared" si="47"/>
        <v>0</v>
      </c>
    </row>
    <row r="107" spans="2:13" x14ac:dyDescent="0.2">
      <c r="B107" s="14" t="s">
        <v>1118</v>
      </c>
      <c r="C107" s="25">
        <v>150</v>
      </c>
      <c r="D107" s="41">
        <v>25301.5</v>
      </c>
      <c r="E107" s="24">
        <v>4</v>
      </c>
      <c r="F107" s="25">
        <f t="shared" si="42"/>
        <v>6325.375</v>
      </c>
      <c r="G107" s="35"/>
      <c r="H107" s="25">
        <f t="shared" si="43"/>
        <v>12650.75</v>
      </c>
      <c r="I107" s="25">
        <f t="shared" si="44"/>
        <v>2</v>
      </c>
      <c r="J107" s="25">
        <f t="shared" si="45"/>
        <v>300</v>
      </c>
      <c r="K107" s="25"/>
      <c r="L107" s="29">
        <f t="shared" si="46"/>
        <v>0</v>
      </c>
      <c r="M107" s="35">
        <f t="shared" si="47"/>
        <v>0</v>
      </c>
    </row>
    <row r="108" spans="2:13" x14ac:dyDescent="0.2">
      <c r="B108" s="14" t="s">
        <v>1157</v>
      </c>
      <c r="C108" s="25">
        <v>225</v>
      </c>
      <c r="D108" s="41">
        <v>9344.11</v>
      </c>
      <c r="E108" s="24">
        <v>1</v>
      </c>
      <c r="F108" s="25">
        <f t="shared" si="42"/>
        <v>9344.11</v>
      </c>
      <c r="G108" s="35"/>
      <c r="H108" s="25">
        <f t="shared" si="43"/>
        <v>9344.11</v>
      </c>
      <c r="I108" s="25">
        <f t="shared" si="44"/>
        <v>1</v>
      </c>
      <c r="J108" s="25">
        <f t="shared" si="45"/>
        <v>225</v>
      </c>
      <c r="K108" s="25"/>
      <c r="L108" s="29">
        <f t="shared" si="46"/>
        <v>0</v>
      </c>
      <c r="M108" s="35">
        <f t="shared" si="47"/>
        <v>0</v>
      </c>
    </row>
    <row r="109" spans="2:13" x14ac:dyDescent="0.2">
      <c r="B109" s="14" t="s">
        <v>1119</v>
      </c>
      <c r="C109" s="25">
        <v>300</v>
      </c>
      <c r="D109" s="41">
        <v>41550.800000000003</v>
      </c>
      <c r="E109" s="24">
        <v>5</v>
      </c>
      <c r="F109" s="25">
        <f t="shared" si="42"/>
        <v>8310.16</v>
      </c>
      <c r="G109" s="35"/>
      <c r="H109" s="25">
        <f t="shared" si="43"/>
        <v>18582.082663899651</v>
      </c>
      <c r="I109" s="25">
        <f t="shared" si="44"/>
        <v>2.2360679774997898</v>
      </c>
      <c r="J109" s="25">
        <f t="shared" si="45"/>
        <v>670.82039324993696</v>
      </c>
      <c r="K109" s="25"/>
      <c r="L109" s="29">
        <f t="shared" si="46"/>
        <v>0</v>
      </c>
      <c r="M109" s="35">
        <f t="shared" si="47"/>
        <v>0</v>
      </c>
    </row>
    <row r="110" spans="2:13" x14ac:dyDescent="0.2">
      <c r="B110" s="14" t="s">
        <v>1120</v>
      </c>
      <c r="C110" s="25">
        <v>500</v>
      </c>
      <c r="D110" s="41">
        <v>52669.51</v>
      </c>
      <c r="E110" s="24">
        <v>5</v>
      </c>
      <c r="F110" s="25">
        <f t="shared" si="42"/>
        <v>10533.902</v>
      </c>
      <c r="G110" s="35"/>
      <c r="H110" s="25">
        <f t="shared" si="43"/>
        <v>23554.520940320992</v>
      </c>
      <c r="I110" s="25">
        <f t="shared" si="44"/>
        <v>2.2360679774997898</v>
      </c>
      <c r="J110" s="25">
        <f t="shared" si="45"/>
        <v>1118.0339887498949</v>
      </c>
      <c r="K110" s="25"/>
      <c r="L110" s="29">
        <f t="shared" si="46"/>
        <v>0</v>
      </c>
      <c r="M110" s="35">
        <f t="shared" si="47"/>
        <v>0</v>
      </c>
    </row>
    <row r="111" spans="2:13" x14ac:dyDescent="0.2">
      <c r="B111" s="14" t="s">
        <v>1121</v>
      </c>
      <c r="C111" s="25">
        <v>750</v>
      </c>
      <c r="D111" s="41">
        <v>90697.42</v>
      </c>
      <c r="E111" s="24">
        <v>5</v>
      </c>
      <c r="F111" s="25">
        <f t="shared" si="42"/>
        <v>18139.484</v>
      </c>
      <c r="G111" s="35"/>
      <c r="H111" s="25">
        <f t="shared" si="43"/>
        <v>40561.119300769795</v>
      </c>
      <c r="I111" s="25">
        <f t="shared" si="44"/>
        <v>2.2360679774997898</v>
      </c>
      <c r="J111" s="25">
        <f t="shared" si="45"/>
        <v>1677.0509831248423</v>
      </c>
      <c r="K111" s="25"/>
      <c r="L111" s="29">
        <f t="shared" si="46"/>
        <v>0</v>
      </c>
      <c r="M111" s="35">
        <f t="shared" si="47"/>
        <v>0</v>
      </c>
    </row>
    <row r="112" spans="2:13" x14ac:dyDescent="0.2">
      <c r="B112" s="14" t="s">
        <v>1122</v>
      </c>
      <c r="C112" s="25">
        <v>1000</v>
      </c>
      <c r="D112" s="41">
        <v>114549.46</v>
      </c>
      <c r="E112" s="24">
        <v>7</v>
      </c>
      <c r="F112" s="25">
        <f t="shared" si="42"/>
        <v>16364.208571428573</v>
      </c>
      <c r="G112" s="35"/>
      <c r="H112" s="25">
        <f t="shared" si="43"/>
        <v>43295.62628239156</v>
      </c>
      <c r="I112" s="25">
        <f t="shared" si="44"/>
        <v>2.6457513110645907</v>
      </c>
      <c r="J112" s="25">
        <f t="shared" si="45"/>
        <v>2645.7513110645909</v>
      </c>
      <c r="K112" s="25"/>
      <c r="L112" s="29">
        <f t="shared" si="46"/>
        <v>0</v>
      </c>
      <c r="M112" s="35">
        <f t="shared" si="47"/>
        <v>0</v>
      </c>
    </row>
    <row r="113" spans="2:13" x14ac:dyDescent="0.2">
      <c r="B113" s="14" t="s">
        <v>1123</v>
      </c>
      <c r="C113" s="25">
        <v>1500</v>
      </c>
      <c r="D113" s="41">
        <v>142959.67000000001</v>
      </c>
      <c r="E113" s="24">
        <v>7</v>
      </c>
      <c r="F113" s="25">
        <f t="shared" si="42"/>
        <v>20422.810000000001</v>
      </c>
      <c r="G113" s="35"/>
      <c r="H113" s="25">
        <f t="shared" si="43"/>
        <v>54033.67633312304</v>
      </c>
      <c r="I113" s="25">
        <f t="shared" si="44"/>
        <v>2.6457513110645907</v>
      </c>
      <c r="J113" s="25">
        <f t="shared" si="45"/>
        <v>3968.6269665968862</v>
      </c>
      <c r="K113" s="25"/>
      <c r="L113" s="29">
        <f t="shared" si="46"/>
        <v>0</v>
      </c>
      <c r="M113" s="35">
        <f t="shared" si="47"/>
        <v>0</v>
      </c>
    </row>
    <row r="114" spans="2:13" x14ac:dyDescent="0.2">
      <c r="B114" s="14" t="s">
        <v>1125</v>
      </c>
      <c r="C114" s="25">
        <v>2000</v>
      </c>
      <c r="D114" s="41">
        <v>115254.33</v>
      </c>
      <c r="E114" s="24">
        <v>3</v>
      </c>
      <c r="F114" s="25">
        <f t="shared" si="42"/>
        <v>38418.11</v>
      </c>
      <c r="G114" s="35"/>
      <c r="H114" s="25">
        <f t="shared" si="43"/>
        <v>66542.118450769951</v>
      </c>
      <c r="I114" s="25">
        <f t="shared" si="44"/>
        <v>1.7320508075688772</v>
      </c>
      <c r="J114" s="25">
        <f t="shared" si="45"/>
        <v>3464.1016151377544</v>
      </c>
      <c r="K114" s="25"/>
      <c r="L114" s="29">
        <f t="shared" si="46"/>
        <v>0</v>
      </c>
      <c r="M114" s="35">
        <f t="shared" si="47"/>
        <v>0</v>
      </c>
    </row>
    <row r="115" spans="2:13" x14ac:dyDescent="0.2">
      <c r="B115" s="14" t="s">
        <v>1124</v>
      </c>
      <c r="C115" s="25">
        <v>2500</v>
      </c>
      <c r="D115" s="41">
        <v>60836.5</v>
      </c>
      <c r="E115" s="24">
        <v>2</v>
      </c>
      <c r="F115" s="25">
        <f t="shared" si="36"/>
        <v>30418.25</v>
      </c>
      <c r="G115" s="35"/>
      <c r="H115" s="25">
        <f t="shared" si="37"/>
        <v>43017.901693655404</v>
      </c>
      <c r="I115" s="25">
        <f t="shared" si="38"/>
        <v>1.4142135623730951</v>
      </c>
      <c r="J115" s="25">
        <f t="shared" si="39"/>
        <v>3535.533905932738</v>
      </c>
      <c r="K115" s="25"/>
      <c r="L115" s="29">
        <f t="shared" si="40"/>
        <v>0</v>
      </c>
      <c r="M115" s="35">
        <f t="shared" si="41"/>
        <v>0</v>
      </c>
    </row>
    <row r="116" spans="2:13" x14ac:dyDescent="0.2">
      <c r="B116" s="26" t="s">
        <v>862</v>
      </c>
      <c r="C116" s="178"/>
      <c r="D116" s="36">
        <f>SUM(D73:D115)</f>
        <v>18469717.900000006</v>
      </c>
      <c r="E116" s="37">
        <f>SUM(E73:E115)</f>
        <v>25251</v>
      </c>
      <c r="M116" s="37">
        <f>SUM(M73:M115)</f>
        <v>24621</v>
      </c>
    </row>
    <row r="118" spans="2:13" x14ac:dyDescent="0.2">
      <c r="B118" s="18" t="s">
        <v>971</v>
      </c>
      <c r="H118" s="241" t="s">
        <v>972</v>
      </c>
      <c r="I118" s="241"/>
    </row>
    <row r="120" spans="2:13" x14ac:dyDescent="0.2">
      <c r="B120" s="14" t="s">
        <v>973</v>
      </c>
      <c r="D120" s="38">
        <f>H120</f>
        <v>14.608565889380881</v>
      </c>
      <c r="H120" s="38">
        <f t="array" ref="H120:I122">LINEST(H73:H115,I73:J115,FALSE,TRUE)</f>
        <v>14.608565889380881</v>
      </c>
      <c r="I120" s="38">
        <v>430.7703953547483</v>
      </c>
    </row>
    <row r="121" spans="2:13" x14ac:dyDescent="0.2">
      <c r="B121" s="14" t="s">
        <v>974</v>
      </c>
      <c r="D121" s="38">
        <f>I120</f>
        <v>430.7703953547483</v>
      </c>
      <c r="H121" s="38">
        <v>0.84477262429086897</v>
      </c>
      <c r="I121" s="38">
        <v>46.262884884615175</v>
      </c>
    </row>
    <row r="122" spans="2:13" x14ac:dyDescent="0.2">
      <c r="B122" s="14" t="s">
        <v>975</v>
      </c>
      <c r="D122" s="39">
        <f>H122</f>
        <v>0.93503791257287272</v>
      </c>
      <c r="H122" s="38">
        <v>0.93503791257287272</v>
      </c>
      <c r="I122" s="38">
        <v>6812.4768100798628</v>
      </c>
    </row>
    <row r="123" spans="2:13" x14ac:dyDescent="0.2">
      <c r="H123" s="38"/>
      <c r="I123" s="38"/>
    </row>
    <row r="124" spans="2:13" x14ac:dyDescent="0.2">
      <c r="B124" s="27" t="s">
        <v>976</v>
      </c>
      <c r="C124" s="40"/>
    </row>
    <row r="125" spans="2:13" x14ac:dyDescent="0.2">
      <c r="C125" s="40"/>
      <c r="F125" s="32"/>
    </row>
    <row r="126" spans="2:13" x14ac:dyDescent="0.2">
      <c r="B126" s="14" t="s">
        <v>977</v>
      </c>
      <c r="C126" s="31" t="s">
        <v>993</v>
      </c>
      <c r="D126" s="35">
        <f>M116</f>
        <v>24621</v>
      </c>
      <c r="F126" s="32" t="s">
        <v>994</v>
      </c>
    </row>
    <row r="127" spans="2:13" x14ac:dyDescent="0.2">
      <c r="B127" s="14" t="s">
        <v>978</v>
      </c>
      <c r="C127" s="40"/>
      <c r="D127" s="41">
        <f>D121</f>
        <v>430.7703953547483</v>
      </c>
      <c r="E127" s="28"/>
      <c r="F127" s="32" t="s">
        <v>995</v>
      </c>
    </row>
    <row r="128" spans="2:13" x14ac:dyDescent="0.2">
      <c r="B128" s="14" t="s">
        <v>979</v>
      </c>
      <c r="C128" s="40"/>
      <c r="D128" s="41">
        <f>MIN(F73:F115)</f>
        <v>65.685434782608695</v>
      </c>
    </row>
    <row r="129" spans="1:8" x14ac:dyDescent="0.2">
      <c r="B129" s="14" t="s">
        <v>980</v>
      </c>
      <c r="C129" s="40"/>
      <c r="D129" s="184" t="s">
        <v>987</v>
      </c>
    </row>
    <row r="130" spans="1:8" x14ac:dyDescent="0.2">
      <c r="B130" s="14" t="s">
        <v>981</v>
      </c>
      <c r="C130" s="40"/>
      <c r="D130" s="42">
        <f>IF(D129="Z",D126*D127,D126*D128)</f>
        <v>10605997.904029258</v>
      </c>
    </row>
    <row r="131" spans="1:8" x14ac:dyDescent="0.2">
      <c r="B131" s="14" t="s">
        <v>982</v>
      </c>
      <c r="C131" s="40"/>
      <c r="D131" s="42">
        <f>D116</f>
        <v>18469717.900000006</v>
      </c>
    </row>
    <row r="132" spans="1:8" x14ac:dyDescent="0.2">
      <c r="B132" s="14" t="s">
        <v>983</v>
      </c>
      <c r="C132" s="40"/>
      <c r="D132" s="43">
        <f>D130/D131</f>
        <v>0.57423713569708901</v>
      </c>
    </row>
    <row r="133" spans="1:8" x14ac:dyDescent="0.2">
      <c r="B133" s="14" t="s">
        <v>984</v>
      </c>
      <c r="C133" s="40"/>
      <c r="D133" s="44">
        <f>D132</f>
        <v>0.57423713569708901</v>
      </c>
    </row>
    <row r="134" spans="1:8" x14ac:dyDescent="0.2">
      <c r="B134" s="14" t="s">
        <v>985</v>
      </c>
      <c r="C134" s="40"/>
      <c r="D134" s="45">
        <f>1-D133</f>
        <v>0.42576286430291099</v>
      </c>
    </row>
    <row r="138" spans="1:8" x14ac:dyDescent="0.2">
      <c r="A138" s="13"/>
      <c r="H138" s="29"/>
    </row>
    <row r="139" spans="1:8" x14ac:dyDescent="0.2">
      <c r="A139" s="13"/>
      <c r="B139" s="161" t="s">
        <v>996</v>
      </c>
      <c r="C139" s="61" t="s">
        <v>997</v>
      </c>
      <c r="D139" s="162" t="s">
        <v>10</v>
      </c>
      <c r="E139" s="162" t="s">
        <v>12</v>
      </c>
      <c r="H139" s="61" t="s">
        <v>1029</v>
      </c>
    </row>
    <row r="140" spans="1:8" x14ac:dyDescent="0.2">
      <c r="B140" s="14" t="s">
        <v>201</v>
      </c>
      <c r="C140" s="29">
        <v>365</v>
      </c>
      <c r="D140" s="39">
        <f>D38</f>
        <v>0.35941271681332643</v>
      </c>
      <c r="E140" s="39">
        <f>D37</f>
        <v>0.64058728318667357</v>
      </c>
      <c r="H140" s="189" t="str">
        <f>D33</f>
        <v>Z</v>
      </c>
    </row>
    <row r="141" spans="1:8" x14ac:dyDescent="0.2">
      <c r="B141" s="14" t="s">
        <v>202</v>
      </c>
      <c r="C141" s="29">
        <v>367</v>
      </c>
      <c r="D141" s="39">
        <f>D66</f>
        <v>0.32587801848229525</v>
      </c>
      <c r="E141" s="39">
        <f>D65</f>
        <v>0.67412198151770475</v>
      </c>
      <c r="H141" s="189" t="str">
        <f>D61</f>
        <v>Z</v>
      </c>
    </row>
    <row r="142" spans="1:8" x14ac:dyDescent="0.2">
      <c r="B142" s="14" t="s">
        <v>203</v>
      </c>
      <c r="C142" s="29">
        <v>368</v>
      </c>
      <c r="D142" s="163">
        <f>D134</f>
        <v>0.42576286430291099</v>
      </c>
      <c r="E142" s="163">
        <f>D133</f>
        <v>0.57423713569708901</v>
      </c>
      <c r="H142" s="189" t="str">
        <f>D129</f>
        <v>Z</v>
      </c>
    </row>
    <row r="144" spans="1:8" x14ac:dyDescent="0.2">
      <c r="D144" s="39"/>
      <c r="E144" s="39"/>
    </row>
    <row r="145" spans="4:5" x14ac:dyDescent="0.2">
      <c r="D145" s="39"/>
      <c r="E145" s="39"/>
    </row>
    <row r="146" spans="4:5" x14ac:dyDescent="0.2">
      <c r="D146" s="39"/>
      <c r="E146" s="39"/>
    </row>
    <row r="147" spans="4:5" x14ac:dyDescent="0.2">
      <c r="D147" s="163"/>
      <c r="E147" s="163"/>
    </row>
  </sheetData>
  <mergeCells count="4">
    <mergeCell ref="H22:I22"/>
    <mergeCell ref="H50:I50"/>
    <mergeCell ref="L70:M70"/>
    <mergeCell ref="H118:I118"/>
  </mergeCells>
  <pageMargins left="0.7" right="0.7" top="0.75" bottom="0.75" header="0.3" footer="0.3"/>
  <pageSetup scale="73" fitToHeight="3" orientation="landscape" r:id="rId1"/>
  <headerFooter>
    <oddFooter>&amp;RExhibit JW-8
Page &amp;P of &amp;N</oddFooter>
  </headerFooter>
  <rowBreaks count="3" manualBreakCount="3">
    <brk id="39" max="16383" man="1"/>
    <brk id="67" max="16383" man="1"/>
    <brk id="122" max="16383" man="1"/>
  </rowBreaks>
  <ignoredErrors>
    <ignoredError sqref="D25 D53 D1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 Wolfram</cp:lastModifiedBy>
  <cp:lastPrinted>2025-07-10T01:22:57Z</cp:lastPrinted>
  <dcterms:created xsi:type="dcterms:W3CDTF">1999-02-10T22:20:33Z</dcterms:created>
  <dcterms:modified xsi:type="dcterms:W3CDTF">2025-07-10T01:23:46Z</dcterms:modified>
</cp:coreProperties>
</file>